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xampp\htdocs\spreadsheet123\files\free-templates\"/>
    </mc:Choice>
  </mc:AlternateContent>
  <bookViews>
    <workbookView xWindow="240" yWindow="60" windowWidth="15060" windowHeight="6300" tabRatio="679"/>
  </bookViews>
  <sheets>
    <sheet name="Settings" sheetId="15" r:id="rId1"/>
    <sheet name="Inventory" sheetId="1" r:id="rId2"/>
    <sheet name="Budget" sheetId="12" r:id="rId3"/>
    <sheet name="Stock Opening" sheetId="5" r:id="rId4"/>
    <sheet name="Week 1" sheetId="11" r:id="rId5"/>
    <sheet name="Week 2" sheetId="16" r:id="rId6"/>
    <sheet name="Week 3" sheetId="17" r:id="rId7"/>
    <sheet name="Week 4" sheetId="18" r:id="rId8"/>
    <sheet name="Week 5" sheetId="19" r:id="rId9"/>
    <sheet name="Key Lines" sheetId="4" r:id="rId10"/>
    <sheet name="HELP" sheetId="21" r:id="rId11"/>
    <sheet name="EULA" sheetId="14" r:id="rId12"/>
  </sheets>
  <definedNames>
    <definedName name="bb_size">Settings!$B$34:$B$38</definedName>
    <definedName name="case">Settings!$A$64:$A$73</definedName>
    <definedName name="case_size">Settings!$A$64:$B$73</definedName>
    <definedName name="draught_beer">Settings!$B$56:$B$59</definedName>
    <definedName name="draught_beer_size">Settings!$B$56:$C$59</definedName>
    <definedName name="min_port">Settings!$A$42:$C$52</definedName>
    <definedName name="min_size">Settings!$B$42:$B$52</definedName>
    <definedName name="_xlnm.Print_Area" localSheetId="2">Budget!$A$1:$M$42</definedName>
    <definedName name="_xlnm.Print_Area" localSheetId="1">Inventory!$A$1:$L$198</definedName>
    <definedName name="_xlnm.Print_Area" localSheetId="9">'Key Lines'!$A$1:$O$180</definedName>
    <definedName name="_xlnm.Print_Area" localSheetId="3">'Stock Opening'!$A$1:$I$216</definedName>
    <definedName name="_xlnm.Print_Area" localSheetId="4">'Week 1'!$A$1:$P$229</definedName>
    <definedName name="_xlnm.Print_Area" localSheetId="5">'Week 2'!$A$1:$P$229</definedName>
    <definedName name="_xlnm.Print_Area" localSheetId="6">'Week 3'!$A$1:$P$229</definedName>
    <definedName name="_xlnm.Print_Area" localSheetId="7">'Week 4'!$A$1:$P$229</definedName>
    <definedName name="_xlnm.Print_Area" localSheetId="8">'Week 5'!$A$1:$P$229</definedName>
    <definedName name="spirit_size">Settings!$B$25:$C$30</definedName>
    <definedName name="spirits">Settings!$B$25:$B$30</definedName>
  </definedNames>
  <calcPr calcId="152511"/>
</workbook>
</file>

<file path=xl/calcChain.xml><?xml version="1.0" encoding="utf-8"?>
<calcChain xmlns="http://schemas.openxmlformats.org/spreadsheetml/2006/main">
  <c r="A151" i="4" l="1"/>
  <c r="C151" i="4"/>
  <c r="E151" i="4"/>
  <c r="G151" i="4"/>
  <c r="I151" i="4"/>
  <c r="K151" i="4"/>
  <c r="L151" i="4"/>
  <c r="M151" i="4"/>
  <c r="O151" i="4" s="1"/>
  <c r="N151" i="4" s="1"/>
  <c r="A152" i="4"/>
  <c r="C152" i="4"/>
  <c r="M152" i="4" s="1"/>
  <c r="O152" i="4" s="1"/>
  <c r="N152" i="4" s="1"/>
  <c r="E152" i="4"/>
  <c r="G152" i="4"/>
  <c r="I152" i="4"/>
  <c r="K152" i="4"/>
  <c r="L152" i="4"/>
  <c r="A153" i="4"/>
  <c r="C153" i="4"/>
  <c r="E153" i="4"/>
  <c r="M153" i="4" s="1"/>
  <c r="O153" i="4" s="1"/>
  <c r="N153" i="4" s="1"/>
  <c r="G153" i="4"/>
  <c r="I153" i="4"/>
  <c r="K153" i="4"/>
  <c r="L153" i="4"/>
  <c r="A154" i="4"/>
  <c r="C154" i="4"/>
  <c r="M154" i="4" s="1"/>
  <c r="O154" i="4" s="1"/>
  <c r="N154" i="4" s="1"/>
  <c r="E154" i="4"/>
  <c r="G154" i="4"/>
  <c r="I154" i="4"/>
  <c r="K154" i="4"/>
  <c r="L154" i="4"/>
  <c r="A155" i="4"/>
  <c r="C155" i="4"/>
  <c r="E155" i="4"/>
  <c r="G155" i="4"/>
  <c r="I155" i="4"/>
  <c r="K155" i="4"/>
  <c r="L155" i="4"/>
  <c r="M155" i="4"/>
  <c r="O155" i="4" s="1"/>
  <c r="N155" i="4" s="1"/>
  <c r="A156" i="4"/>
  <c r="C156" i="4"/>
  <c r="M156" i="4" s="1"/>
  <c r="O156" i="4" s="1"/>
  <c r="N156" i="4" s="1"/>
  <c r="E156" i="4"/>
  <c r="G156" i="4"/>
  <c r="I156" i="4"/>
  <c r="K156" i="4"/>
  <c r="L156" i="4"/>
  <c r="A157" i="4"/>
  <c r="C157" i="4"/>
  <c r="E157" i="4"/>
  <c r="M157" i="4" s="1"/>
  <c r="O157" i="4" s="1"/>
  <c r="N157" i="4" s="1"/>
  <c r="G157" i="4"/>
  <c r="I157" i="4"/>
  <c r="K157" i="4"/>
  <c r="L157" i="4"/>
  <c r="A158" i="4"/>
  <c r="C158" i="4"/>
  <c r="M158" i="4" s="1"/>
  <c r="O158" i="4" s="1"/>
  <c r="N158" i="4" s="1"/>
  <c r="E158" i="4"/>
  <c r="G158" i="4"/>
  <c r="I158" i="4"/>
  <c r="K158" i="4"/>
  <c r="L158" i="4"/>
  <c r="A159" i="4"/>
  <c r="C159" i="4"/>
  <c r="E159" i="4"/>
  <c r="G159" i="4"/>
  <c r="I159" i="4"/>
  <c r="K159" i="4"/>
  <c r="L159" i="4"/>
  <c r="M159" i="4"/>
  <c r="O159" i="4" s="1"/>
  <c r="N159" i="4" s="1"/>
  <c r="A160" i="4"/>
  <c r="C160" i="4"/>
  <c r="M160" i="4" s="1"/>
  <c r="O160" i="4" s="1"/>
  <c r="N160" i="4" s="1"/>
  <c r="E160" i="4"/>
  <c r="G160" i="4"/>
  <c r="I160" i="4"/>
  <c r="K160" i="4"/>
  <c r="L160" i="4"/>
  <c r="A161" i="4"/>
  <c r="C161" i="4"/>
  <c r="E161" i="4"/>
  <c r="M161" i="4" s="1"/>
  <c r="O161" i="4" s="1"/>
  <c r="N161" i="4" s="1"/>
  <c r="G161" i="4"/>
  <c r="I161" i="4"/>
  <c r="K161" i="4"/>
  <c r="L161" i="4"/>
  <c r="A162" i="4"/>
  <c r="C162" i="4"/>
  <c r="M162" i="4" s="1"/>
  <c r="O162" i="4" s="1"/>
  <c r="N162" i="4" s="1"/>
  <c r="E162" i="4"/>
  <c r="G162" i="4"/>
  <c r="I162" i="4"/>
  <c r="K162" i="4"/>
  <c r="L162" i="4"/>
  <c r="A163" i="4"/>
  <c r="C163" i="4"/>
  <c r="E163" i="4"/>
  <c r="G163" i="4"/>
  <c r="I163" i="4"/>
  <c r="K163" i="4"/>
  <c r="L163" i="4"/>
  <c r="M163" i="4"/>
  <c r="N163" i="4"/>
  <c r="O163" i="4"/>
  <c r="A164" i="4"/>
  <c r="C164" i="4"/>
  <c r="E164" i="4"/>
  <c r="G164" i="4"/>
  <c r="I164" i="4"/>
  <c r="K164" i="4"/>
  <c r="L164" i="4"/>
  <c r="M164" i="4"/>
  <c r="O164" i="4"/>
  <c r="N164" i="4" s="1"/>
  <c r="A165" i="4"/>
  <c r="C165" i="4"/>
  <c r="E165" i="4"/>
  <c r="G165" i="4"/>
  <c r="I165" i="4"/>
  <c r="K165" i="4"/>
  <c r="L165" i="4"/>
  <c r="M165" i="4"/>
  <c r="N165" i="4"/>
  <c r="O165" i="4"/>
  <c r="A166" i="4"/>
  <c r="C166" i="4"/>
  <c r="E166" i="4"/>
  <c r="G166" i="4"/>
  <c r="I166" i="4"/>
  <c r="K166" i="4"/>
  <c r="L166" i="4"/>
  <c r="M166" i="4"/>
  <c r="O166" i="4"/>
  <c r="N166" i="4" s="1"/>
  <c r="A167" i="4"/>
  <c r="C167" i="4"/>
  <c r="E167" i="4"/>
  <c r="G167" i="4"/>
  <c r="I167" i="4"/>
  <c r="K167" i="4"/>
  <c r="L167" i="4"/>
  <c r="M167" i="4"/>
  <c r="N167" i="4"/>
  <c r="O167" i="4"/>
  <c r="A168" i="4"/>
  <c r="C168" i="4"/>
  <c r="E168" i="4"/>
  <c r="G168" i="4"/>
  <c r="I168" i="4"/>
  <c r="K168" i="4"/>
  <c r="L168" i="4"/>
  <c r="M168" i="4"/>
  <c r="O168" i="4"/>
  <c r="N168" i="4" s="1"/>
  <c r="A169" i="4"/>
  <c r="C169" i="4"/>
  <c r="E169" i="4"/>
  <c r="G169" i="4"/>
  <c r="I169" i="4"/>
  <c r="K169" i="4"/>
  <c r="L169" i="4"/>
  <c r="M169" i="4"/>
  <c r="N169" i="4"/>
  <c r="O169" i="4"/>
  <c r="L150" i="4"/>
  <c r="K150" i="4"/>
  <c r="I150" i="4"/>
  <c r="G150" i="4"/>
  <c r="E150" i="4"/>
  <c r="C150" i="4"/>
  <c r="M150" i="4" s="1"/>
  <c r="O150" i="4" s="1"/>
  <c r="N150" i="4" s="1"/>
  <c r="A150" i="4"/>
  <c r="A139" i="4"/>
  <c r="C139" i="4"/>
  <c r="E139" i="4"/>
  <c r="G139" i="4"/>
  <c r="I139" i="4"/>
  <c r="K139" i="4"/>
  <c r="L139" i="4"/>
  <c r="M139" i="4"/>
  <c r="O139" i="4" s="1"/>
  <c r="N139" i="4" s="1"/>
  <c r="A140" i="4"/>
  <c r="C140" i="4"/>
  <c r="E140" i="4"/>
  <c r="G140" i="4"/>
  <c r="I140" i="4"/>
  <c r="K140" i="4"/>
  <c r="L140" i="4"/>
  <c r="M140" i="4"/>
  <c r="N140" i="4"/>
  <c r="O140" i="4"/>
  <c r="A141" i="4"/>
  <c r="C141" i="4"/>
  <c r="E141" i="4"/>
  <c r="G141" i="4"/>
  <c r="I141" i="4"/>
  <c r="K141" i="4"/>
  <c r="L141" i="4"/>
  <c r="M141" i="4"/>
  <c r="N141" i="4"/>
  <c r="O141" i="4"/>
  <c r="A142" i="4"/>
  <c r="C142" i="4"/>
  <c r="E142" i="4"/>
  <c r="G142" i="4"/>
  <c r="I142" i="4"/>
  <c r="K142" i="4"/>
  <c r="L142" i="4"/>
  <c r="M142" i="4"/>
  <c r="O142" i="4"/>
  <c r="N142" i="4" s="1"/>
  <c r="A143" i="4"/>
  <c r="C143" i="4"/>
  <c r="E143" i="4"/>
  <c r="G143" i="4"/>
  <c r="I143" i="4"/>
  <c r="K143" i="4"/>
  <c r="L143" i="4"/>
  <c r="M143" i="4"/>
  <c r="N143" i="4"/>
  <c r="O143" i="4"/>
  <c r="A144" i="4"/>
  <c r="C144" i="4"/>
  <c r="E144" i="4"/>
  <c r="G144" i="4"/>
  <c r="I144" i="4"/>
  <c r="K144" i="4"/>
  <c r="L144" i="4"/>
  <c r="M144" i="4"/>
  <c r="N144" i="4"/>
  <c r="O144" i="4"/>
  <c r="A145" i="4"/>
  <c r="C145" i="4"/>
  <c r="E145" i="4"/>
  <c r="G145" i="4"/>
  <c r="I145" i="4"/>
  <c r="K145" i="4"/>
  <c r="L145" i="4"/>
  <c r="M145" i="4"/>
  <c r="N145" i="4"/>
  <c r="O145" i="4"/>
  <c r="A146" i="4"/>
  <c r="C146" i="4"/>
  <c r="E146" i="4"/>
  <c r="G146" i="4"/>
  <c r="I146" i="4"/>
  <c r="K146" i="4"/>
  <c r="L146" i="4"/>
  <c r="M146" i="4"/>
  <c r="O146" i="4"/>
  <c r="N146" i="4" s="1"/>
  <c r="M138" i="4"/>
  <c r="O138" i="4" s="1"/>
  <c r="N138" i="4" s="1"/>
  <c r="L138" i="4"/>
  <c r="K138" i="4"/>
  <c r="I138" i="4"/>
  <c r="G138" i="4"/>
  <c r="E138" i="4"/>
  <c r="C138" i="4"/>
  <c r="A138" i="4"/>
  <c r="A120" i="4"/>
  <c r="C120" i="4"/>
  <c r="E120" i="4"/>
  <c r="G120" i="4"/>
  <c r="I120" i="4"/>
  <c r="K120" i="4"/>
  <c r="M120" i="4" s="1"/>
  <c r="O120" i="4" s="1"/>
  <c r="N120" i="4" s="1"/>
  <c r="L120" i="4"/>
  <c r="A121" i="4"/>
  <c r="C121" i="4"/>
  <c r="E121" i="4"/>
  <c r="G121" i="4"/>
  <c r="M121" i="4" s="1"/>
  <c r="O121" i="4" s="1"/>
  <c r="N121" i="4" s="1"/>
  <c r="I121" i="4"/>
  <c r="K121" i="4"/>
  <c r="L121" i="4"/>
  <c r="A122" i="4"/>
  <c r="C122" i="4"/>
  <c r="M122" i="4" s="1"/>
  <c r="O122" i="4" s="1"/>
  <c r="N122" i="4" s="1"/>
  <c r="E122" i="4"/>
  <c r="G122" i="4"/>
  <c r="I122" i="4"/>
  <c r="K122" i="4"/>
  <c r="L122" i="4"/>
  <c r="A123" i="4"/>
  <c r="C123" i="4"/>
  <c r="E123" i="4"/>
  <c r="M123" i="4" s="1"/>
  <c r="O123" i="4" s="1"/>
  <c r="N123" i="4" s="1"/>
  <c r="G123" i="4"/>
  <c r="I123" i="4"/>
  <c r="K123" i="4"/>
  <c r="L123" i="4"/>
  <c r="A124" i="4"/>
  <c r="C124" i="4"/>
  <c r="E124" i="4"/>
  <c r="G124" i="4"/>
  <c r="I124" i="4"/>
  <c r="K124" i="4"/>
  <c r="M124" i="4" s="1"/>
  <c r="O124" i="4" s="1"/>
  <c r="N124" i="4" s="1"/>
  <c r="L124" i="4"/>
  <c r="A125" i="4"/>
  <c r="C125" i="4"/>
  <c r="E125" i="4"/>
  <c r="M125" i="4" s="1"/>
  <c r="O125" i="4" s="1"/>
  <c r="N125" i="4" s="1"/>
  <c r="G125" i="4"/>
  <c r="I125" i="4"/>
  <c r="K125" i="4"/>
  <c r="L125" i="4"/>
  <c r="A126" i="4"/>
  <c r="C126" i="4"/>
  <c r="M126" i="4" s="1"/>
  <c r="O126" i="4" s="1"/>
  <c r="N126" i="4" s="1"/>
  <c r="E126" i="4"/>
  <c r="G126" i="4"/>
  <c r="I126" i="4"/>
  <c r="K126" i="4"/>
  <c r="L126" i="4"/>
  <c r="A127" i="4"/>
  <c r="C127" i="4"/>
  <c r="E127" i="4"/>
  <c r="G127" i="4"/>
  <c r="I127" i="4"/>
  <c r="K127" i="4"/>
  <c r="L127" i="4"/>
  <c r="M127" i="4"/>
  <c r="N127" i="4"/>
  <c r="O127" i="4"/>
  <c r="A128" i="4"/>
  <c r="C128" i="4"/>
  <c r="E128" i="4"/>
  <c r="G128" i="4"/>
  <c r="I128" i="4"/>
  <c r="K128" i="4"/>
  <c r="L128" i="4"/>
  <c r="M128" i="4"/>
  <c r="N128" i="4"/>
  <c r="O128" i="4"/>
  <c r="A129" i="4"/>
  <c r="C129" i="4"/>
  <c r="E129" i="4"/>
  <c r="G129" i="4"/>
  <c r="I129" i="4"/>
  <c r="K129" i="4"/>
  <c r="L129" i="4"/>
  <c r="M129" i="4"/>
  <c r="N129" i="4"/>
  <c r="O129" i="4"/>
  <c r="A130" i="4"/>
  <c r="C130" i="4"/>
  <c r="E130" i="4"/>
  <c r="G130" i="4"/>
  <c r="I130" i="4"/>
  <c r="K130" i="4"/>
  <c r="L130" i="4"/>
  <c r="M130" i="4"/>
  <c r="O130" i="4"/>
  <c r="N130" i="4" s="1"/>
  <c r="A131" i="4"/>
  <c r="C131" i="4"/>
  <c r="E131" i="4"/>
  <c r="G131" i="4"/>
  <c r="I131" i="4"/>
  <c r="K131" i="4"/>
  <c r="L131" i="4"/>
  <c r="M131" i="4"/>
  <c r="N131" i="4"/>
  <c r="O131" i="4"/>
  <c r="A132" i="4"/>
  <c r="C132" i="4"/>
  <c r="E132" i="4"/>
  <c r="G132" i="4"/>
  <c r="I132" i="4"/>
  <c r="K132" i="4"/>
  <c r="L132" i="4"/>
  <c r="M132" i="4"/>
  <c r="N132" i="4"/>
  <c r="O132" i="4"/>
  <c r="A133" i="4"/>
  <c r="C133" i="4"/>
  <c r="E133" i="4"/>
  <c r="G133" i="4"/>
  <c r="I133" i="4"/>
  <c r="K133" i="4"/>
  <c r="L133" i="4"/>
  <c r="M133" i="4"/>
  <c r="N133" i="4"/>
  <c r="O133" i="4"/>
  <c r="A134" i="4"/>
  <c r="C134" i="4"/>
  <c r="E134" i="4"/>
  <c r="G134" i="4"/>
  <c r="I134" i="4"/>
  <c r="K134" i="4"/>
  <c r="L134" i="4"/>
  <c r="M134" i="4"/>
  <c r="O134" i="4"/>
  <c r="N134" i="4" s="1"/>
  <c r="L119" i="4"/>
  <c r="K119" i="4"/>
  <c r="I119" i="4"/>
  <c r="G119" i="4"/>
  <c r="E119" i="4"/>
  <c r="C119" i="4"/>
  <c r="M119" i="4" s="1"/>
  <c r="O119" i="4" s="1"/>
  <c r="N119" i="4" s="1"/>
  <c r="A119" i="4"/>
  <c r="A77" i="4"/>
  <c r="C77" i="4"/>
  <c r="E77" i="4"/>
  <c r="G77" i="4"/>
  <c r="I77" i="4"/>
  <c r="K77" i="4"/>
  <c r="L77" i="4"/>
  <c r="M77" i="4"/>
  <c r="O77" i="4" s="1"/>
  <c r="N77" i="4" s="1"/>
  <c r="A78" i="4"/>
  <c r="C78" i="4"/>
  <c r="E78" i="4"/>
  <c r="G78" i="4"/>
  <c r="I78" i="4"/>
  <c r="K78" i="4"/>
  <c r="M78" i="4" s="1"/>
  <c r="O78" i="4" s="1"/>
  <c r="N78" i="4" s="1"/>
  <c r="L78" i="4"/>
  <c r="A79" i="4"/>
  <c r="C79" i="4"/>
  <c r="E79" i="4"/>
  <c r="G79" i="4"/>
  <c r="M79" i="4" s="1"/>
  <c r="O79" i="4" s="1"/>
  <c r="N79" i="4" s="1"/>
  <c r="I79" i="4"/>
  <c r="K79" i="4"/>
  <c r="L79" i="4"/>
  <c r="A80" i="4"/>
  <c r="C80" i="4"/>
  <c r="M80" i="4" s="1"/>
  <c r="O80" i="4" s="1"/>
  <c r="N80" i="4" s="1"/>
  <c r="E80" i="4"/>
  <c r="G80" i="4"/>
  <c r="I80" i="4"/>
  <c r="K80" i="4"/>
  <c r="L80" i="4"/>
  <c r="A81" i="4"/>
  <c r="C81" i="4"/>
  <c r="E81" i="4"/>
  <c r="G81" i="4"/>
  <c r="I81" i="4"/>
  <c r="K81" i="4"/>
  <c r="L81" i="4"/>
  <c r="M81" i="4"/>
  <c r="O81" i="4" s="1"/>
  <c r="N81" i="4" s="1"/>
  <c r="A82" i="4"/>
  <c r="C82" i="4"/>
  <c r="E82" i="4"/>
  <c r="G82" i="4"/>
  <c r="I82" i="4"/>
  <c r="K82" i="4"/>
  <c r="M82" i="4" s="1"/>
  <c r="O82" i="4" s="1"/>
  <c r="N82" i="4" s="1"/>
  <c r="L82" i="4"/>
  <c r="A83" i="4"/>
  <c r="C83" i="4"/>
  <c r="E83" i="4"/>
  <c r="G83" i="4"/>
  <c r="M83" i="4" s="1"/>
  <c r="O83" i="4" s="1"/>
  <c r="N83" i="4" s="1"/>
  <c r="I83" i="4"/>
  <c r="K83" i="4"/>
  <c r="L83" i="4"/>
  <c r="A84" i="4"/>
  <c r="C84" i="4"/>
  <c r="M84" i="4" s="1"/>
  <c r="O84" i="4" s="1"/>
  <c r="N84" i="4" s="1"/>
  <c r="E84" i="4"/>
  <c r="G84" i="4"/>
  <c r="I84" i="4"/>
  <c r="K84" i="4"/>
  <c r="L84" i="4"/>
  <c r="A85" i="4"/>
  <c r="C85" i="4"/>
  <c r="M85" i="4" s="1"/>
  <c r="O85" i="4" s="1"/>
  <c r="N85" i="4" s="1"/>
  <c r="E85" i="4"/>
  <c r="G85" i="4"/>
  <c r="I85" i="4"/>
  <c r="K85" i="4"/>
  <c r="L85" i="4"/>
  <c r="A86" i="4"/>
  <c r="C86" i="4"/>
  <c r="E86" i="4"/>
  <c r="G86" i="4"/>
  <c r="I86" i="4"/>
  <c r="K86" i="4"/>
  <c r="L86" i="4"/>
  <c r="M86" i="4"/>
  <c r="O86" i="4" s="1"/>
  <c r="N86" i="4" s="1"/>
  <c r="A87" i="4"/>
  <c r="C87" i="4"/>
  <c r="E87" i="4"/>
  <c r="G87" i="4"/>
  <c r="I87" i="4"/>
  <c r="M87" i="4" s="1"/>
  <c r="O87" i="4" s="1"/>
  <c r="N87" i="4" s="1"/>
  <c r="K87" i="4"/>
  <c r="L87" i="4"/>
  <c r="A88" i="4"/>
  <c r="C88" i="4"/>
  <c r="M88" i="4" s="1"/>
  <c r="O88" i="4" s="1"/>
  <c r="N88" i="4" s="1"/>
  <c r="E88" i="4"/>
  <c r="G88" i="4"/>
  <c r="I88" i="4"/>
  <c r="K88" i="4"/>
  <c r="L88" i="4"/>
  <c r="A89" i="4"/>
  <c r="C89" i="4"/>
  <c r="E89" i="4"/>
  <c r="G89" i="4"/>
  <c r="I89" i="4"/>
  <c r="K89" i="4"/>
  <c r="L89" i="4"/>
  <c r="M89" i="4"/>
  <c r="O89" i="4"/>
  <c r="N89" i="4" s="1"/>
  <c r="A90" i="4"/>
  <c r="C90" i="4"/>
  <c r="E90" i="4"/>
  <c r="G90" i="4"/>
  <c r="I90" i="4"/>
  <c r="K90" i="4"/>
  <c r="L90" i="4"/>
  <c r="M90" i="4"/>
  <c r="N90" i="4"/>
  <c r="O90" i="4"/>
  <c r="A91" i="4"/>
  <c r="C91" i="4"/>
  <c r="E91" i="4"/>
  <c r="G91" i="4"/>
  <c r="I91" i="4"/>
  <c r="K91" i="4"/>
  <c r="L91" i="4"/>
  <c r="M91" i="4"/>
  <c r="N91" i="4"/>
  <c r="O91" i="4"/>
  <c r="A92" i="4"/>
  <c r="C92" i="4"/>
  <c r="E92" i="4"/>
  <c r="G92" i="4"/>
  <c r="I92" i="4"/>
  <c r="K92" i="4"/>
  <c r="L92" i="4"/>
  <c r="M92" i="4"/>
  <c r="O92" i="4"/>
  <c r="N92" i="4" s="1"/>
  <c r="A93" i="4"/>
  <c r="C93" i="4"/>
  <c r="E93" i="4"/>
  <c r="G93" i="4"/>
  <c r="I93" i="4"/>
  <c r="K93" i="4"/>
  <c r="L93" i="4"/>
  <c r="M93" i="4"/>
  <c r="O93" i="4"/>
  <c r="N93" i="4" s="1"/>
  <c r="A94" i="4"/>
  <c r="C94" i="4"/>
  <c r="E94" i="4"/>
  <c r="G94" i="4"/>
  <c r="I94" i="4"/>
  <c r="K94" i="4"/>
  <c r="L94" i="4"/>
  <c r="M94" i="4"/>
  <c r="N94" i="4"/>
  <c r="O94" i="4"/>
  <c r="A95" i="4"/>
  <c r="C95" i="4"/>
  <c r="E95" i="4"/>
  <c r="G95" i="4"/>
  <c r="I95" i="4"/>
  <c r="K95" i="4"/>
  <c r="L95" i="4"/>
  <c r="M95" i="4"/>
  <c r="N95" i="4"/>
  <c r="O95" i="4"/>
  <c r="A96" i="4"/>
  <c r="C96" i="4"/>
  <c r="E96" i="4"/>
  <c r="G96" i="4"/>
  <c r="I96" i="4"/>
  <c r="K96" i="4"/>
  <c r="L96" i="4"/>
  <c r="M96" i="4"/>
  <c r="O96" i="4"/>
  <c r="N96" i="4" s="1"/>
  <c r="A97" i="4"/>
  <c r="C97" i="4"/>
  <c r="E97" i="4"/>
  <c r="G97" i="4"/>
  <c r="I97" i="4"/>
  <c r="K97" i="4"/>
  <c r="L97" i="4"/>
  <c r="M97" i="4"/>
  <c r="O97" i="4"/>
  <c r="N97" i="4" s="1"/>
  <c r="K76" i="4"/>
  <c r="I76" i="4"/>
  <c r="G76" i="4"/>
  <c r="E76" i="4"/>
  <c r="C76" i="4"/>
  <c r="C23" i="12" l="1"/>
  <c r="C21" i="12"/>
  <c r="C22" i="12" s="1"/>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9" i="5"/>
  <c r="G60" i="5"/>
  <c r="G61" i="5"/>
  <c r="G62" i="5"/>
  <c r="G63" i="5"/>
  <c r="G64" i="5"/>
  <c r="G65" i="5"/>
  <c r="G66" i="5"/>
  <c r="G67" i="5"/>
  <c r="G68" i="5"/>
  <c r="G69" i="5"/>
  <c r="G70" i="5"/>
  <c r="G71" i="5"/>
  <c r="G72" i="5"/>
  <c r="D76" i="1"/>
  <c r="D77" i="1"/>
  <c r="D78" i="1"/>
  <c r="D79" i="1"/>
  <c r="H79" i="1" s="1"/>
  <c r="G79" i="5" s="1"/>
  <c r="D80" i="1"/>
  <c r="H80" i="1" s="1"/>
  <c r="D81" i="1"/>
  <c r="D82" i="1"/>
  <c r="D83" i="1"/>
  <c r="D84" i="1"/>
  <c r="H84" i="1" s="1"/>
  <c r="D85" i="1"/>
  <c r="L85" i="1" s="1"/>
  <c r="K85" i="1" s="1"/>
  <c r="D86" i="1"/>
  <c r="D87" i="1"/>
  <c r="D88" i="1"/>
  <c r="H88" i="1" s="1"/>
  <c r="G89" i="5"/>
  <c r="G90" i="5"/>
  <c r="G91" i="5"/>
  <c r="G92" i="5"/>
  <c r="G93" i="5"/>
  <c r="G94" i="5"/>
  <c r="G95" i="5"/>
  <c r="G96" i="5"/>
  <c r="G97" i="5"/>
  <c r="G101" i="5"/>
  <c r="G102" i="5"/>
  <c r="G103" i="5"/>
  <c r="G104" i="5"/>
  <c r="F104" i="5" s="1"/>
  <c r="G105" i="5"/>
  <c r="G106" i="5"/>
  <c r="G110" i="5"/>
  <c r="G111" i="5"/>
  <c r="G112" i="5"/>
  <c r="G113" i="5"/>
  <c r="G114" i="5"/>
  <c r="G115" i="5"/>
  <c r="F115" i="5" s="1"/>
  <c r="D119" i="1"/>
  <c r="H119" i="1" s="1"/>
  <c r="D120" i="1"/>
  <c r="H120" i="1"/>
  <c r="G120" i="5" s="1"/>
  <c r="D121" i="1"/>
  <c r="H121" i="1"/>
  <c r="D122" i="1"/>
  <c r="H122" i="1" s="1"/>
  <c r="D123" i="1"/>
  <c r="H123" i="1"/>
  <c r="D124" i="1"/>
  <c r="D125" i="1"/>
  <c r="H125" i="1" s="1"/>
  <c r="G125" i="5" s="1"/>
  <c r="D126" i="1"/>
  <c r="G127" i="5"/>
  <c r="G128" i="5"/>
  <c r="G129" i="5"/>
  <c r="G130" i="5"/>
  <c r="G131" i="5"/>
  <c r="G132" i="5"/>
  <c r="G133" i="5"/>
  <c r="G134" i="5"/>
  <c r="D138" i="1"/>
  <c r="H138" i="1" s="1"/>
  <c r="D139" i="1"/>
  <c r="G140" i="5"/>
  <c r="G141" i="5"/>
  <c r="G142" i="5"/>
  <c r="G143" i="5"/>
  <c r="G144" i="5"/>
  <c r="G145" i="5"/>
  <c r="G146" i="5"/>
  <c r="D150" i="1"/>
  <c r="D151" i="1"/>
  <c r="D152" i="1"/>
  <c r="D153" i="1"/>
  <c r="H153" i="1" s="1"/>
  <c r="G153" i="5" s="1"/>
  <c r="D154" i="1"/>
  <c r="H154" i="1" s="1"/>
  <c r="D155" i="1"/>
  <c r="D156" i="1"/>
  <c r="D157" i="1"/>
  <c r="D158" i="1"/>
  <c r="D159" i="1"/>
  <c r="H159" i="1" s="1"/>
  <c r="G159" i="5" s="1"/>
  <c r="D160" i="1"/>
  <c r="H160" i="1"/>
  <c r="G160" i="5" s="1"/>
  <c r="F160" i="5" s="1"/>
  <c r="D161" i="1"/>
  <c r="H161" i="1" s="1"/>
  <c r="G161" i="5" s="1"/>
  <c r="D162" i="1"/>
  <c r="H162" i="1"/>
  <c r="G163" i="5"/>
  <c r="G164" i="5"/>
  <c r="G165" i="5"/>
  <c r="G166" i="5"/>
  <c r="G167" i="5"/>
  <c r="G168" i="5"/>
  <c r="G169" i="5"/>
  <c r="G173" i="5"/>
  <c r="G174" i="5"/>
  <c r="G175" i="5"/>
  <c r="G176" i="5"/>
  <c r="G177" i="5"/>
  <c r="G178" i="5"/>
  <c r="G182" i="5"/>
  <c r="G211" i="5" s="1"/>
  <c r="G183" i="5"/>
  <c r="G184" i="5"/>
  <c r="G185" i="5"/>
  <c r="G189" i="5"/>
  <c r="G190" i="5"/>
  <c r="G191" i="5"/>
  <c r="G192" i="5"/>
  <c r="G212" i="5"/>
  <c r="M23" i="12"/>
  <c r="L23" i="12" s="1"/>
  <c r="E23" i="12"/>
  <c r="E22" i="12"/>
  <c r="G23" i="12"/>
  <c r="G22" i="12"/>
  <c r="G24" i="12" s="1"/>
  <c r="I23" i="12"/>
  <c r="H23" i="12" s="1"/>
  <c r="I22" i="12"/>
  <c r="K22" i="12"/>
  <c r="K23" i="12"/>
  <c r="J23" i="12" s="1"/>
  <c r="K24" i="12"/>
  <c r="J24" i="12" s="1"/>
  <c r="K30" i="12"/>
  <c r="J30" i="12" s="1"/>
  <c r="D12" i="1"/>
  <c r="C12" i="4" s="1"/>
  <c r="I12" i="4"/>
  <c r="K12" i="4"/>
  <c r="D13" i="1"/>
  <c r="C13" i="4" s="1"/>
  <c r="I13" i="4"/>
  <c r="K13" i="4"/>
  <c r="D14" i="1"/>
  <c r="C14" i="4" s="1"/>
  <c r="D15" i="1"/>
  <c r="C15" i="4" s="1"/>
  <c r="I15" i="4"/>
  <c r="K15" i="4"/>
  <c r="D16" i="1"/>
  <c r="I16" i="4"/>
  <c r="D17" i="1"/>
  <c r="C17" i="4" s="1"/>
  <c r="D18" i="1"/>
  <c r="C18" i="4" s="1"/>
  <c r="I18" i="4"/>
  <c r="K18" i="4"/>
  <c r="D19" i="1"/>
  <c r="D20" i="1"/>
  <c r="C20" i="4" s="1"/>
  <c r="I20" i="4"/>
  <c r="K20" i="4"/>
  <c r="D21" i="1"/>
  <c r="C21" i="4" s="1"/>
  <c r="I21" i="4"/>
  <c r="K21" i="4"/>
  <c r="D22" i="1"/>
  <c r="C22" i="4" s="1"/>
  <c r="D23" i="1"/>
  <c r="C23" i="4" s="1"/>
  <c r="I23" i="4"/>
  <c r="K23" i="4"/>
  <c r="D24" i="1"/>
  <c r="I24" i="4"/>
  <c r="D25" i="1"/>
  <c r="C25" i="4" s="1"/>
  <c r="K25" i="4"/>
  <c r="D26" i="1"/>
  <c r="C26" i="4" s="1"/>
  <c r="I26" i="4"/>
  <c r="K26" i="4"/>
  <c r="D27" i="1"/>
  <c r="D28" i="1"/>
  <c r="C28" i="4" s="1"/>
  <c r="I28" i="4"/>
  <c r="K28" i="4"/>
  <c r="D29" i="1"/>
  <c r="C29" i="4" s="1"/>
  <c r="I29" i="4"/>
  <c r="K29" i="4"/>
  <c r="D30" i="1"/>
  <c r="C30" i="4" s="1"/>
  <c r="D31" i="1"/>
  <c r="C31" i="4" s="1"/>
  <c r="I31" i="4"/>
  <c r="K31" i="4"/>
  <c r="D32" i="1"/>
  <c r="I32" i="4" s="1"/>
  <c r="D33" i="1"/>
  <c r="C33" i="4" s="1"/>
  <c r="K33" i="4"/>
  <c r="D34" i="1"/>
  <c r="C34" i="4" s="1"/>
  <c r="I34" i="4"/>
  <c r="K34" i="4"/>
  <c r="D35" i="1"/>
  <c r="D36" i="1"/>
  <c r="C36" i="4" s="1"/>
  <c r="I36" i="4"/>
  <c r="K36" i="4"/>
  <c r="D37" i="1"/>
  <c r="C37" i="4" s="1"/>
  <c r="I37" i="4"/>
  <c r="K37" i="4"/>
  <c r="D38" i="1"/>
  <c r="C38" i="4" s="1"/>
  <c r="D39" i="1"/>
  <c r="C39" i="4" s="1"/>
  <c r="I39" i="4"/>
  <c r="K39" i="4"/>
  <c r="D40" i="1"/>
  <c r="I40" i="4" s="1"/>
  <c r="D41" i="1"/>
  <c r="C41" i="4" s="1"/>
  <c r="K41" i="4"/>
  <c r="D42" i="1"/>
  <c r="C42" i="4" s="1"/>
  <c r="I42" i="4"/>
  <c r="K42" i="4"/>
  <c r="D43" i="1"/>
  <c r="D44" i="1"/>
  <c r="C44" i="4" s="1"/>
  <c r="I44" i="4"/>
  <c r="K44" i="4"/>
  <c r="D45" i="1"/>
  <c r="C45" i="4" s="1"/>
  <c r="I45" i="4"/>
  <c r="K45" i="4"/>
  <c r="D46" i="1"/>
  <c r="C46" i="4" s="1"/>
  <c r="D47" i="1"/>
  <c r="C47" i="4" s="1"/>
  <c r="I47" i="4"/>
  <c r="K47" i="4"/>
  <c r="O48" i="4"/>
  <c r="N48" i="4" s="1"/>
  <c r="O49" i="4"/>
  <c r="O50" i="4"/>
  <c r="O51" i="4"/>
  <c r="O52" i="4"/>
  <c r="N52" i="4" s="1"/>
  <c r="O53" i="4"/>
  <c r="O54" i="4"/>
  <c r="O55" i="4"/>
  <c r="D59" i="1"/>
  <c r="I59" i="4" s="1"/>
  <c r="D60" i="1"/>
  <c r="C60" i="4" s="1"/>
  <c r="I60" i="4"/>
  <c r="K60" i="4"/>
  <c r="D61" i="1"/>
  <c r="C61" i="4" s="1"/>
  <c r="I61" i="4"/>
  <c r="K61" i="4"/>
  <c r="D62" i="1"/>
  <c r="D63" i="1"/>
  <c r="C63" i="4" s="1"/>
  <c r="K63" i="4"/>
  <c r="D64" i="1"/>
  <c r="C64" i="4" s="1"/>
  <c r="I64" i="4"/>
  <c r="K64" i="4"/>
  <c r="D65" i="1"/>
  <c r="C65" i="4" s="1"/>
  <c r="D66" i="1"/>
  <c r="C66" i="4" s="1"/>
  <c r="I66" i="4"/>
  <c r="K66" i="4"/>
  <c r="O67" i="4"/>
  <c r="N67" i="4" s="1"/>
  <c r="O68" i="4"/>
  <c r="N68" i="4" s="1"/>
  <c r="O69" i="4"/>
  <c r="O70" i="4"/>
  <c r="O71" i="4"/>
  <c r="N71" i="4" s="1"/>
  <c r="O72" i="4"/>
  <c r="D101" i="1"/>
  <c r="C101" i="4" s="1"/>
  <c r="G101" i="4"/>
  <c r="I101" i="4"/>
  <c r="K101" i="4"/>
  <c r="D102" i="1"/>
  <c r="C102" i="4" s="1"/>
  <c r="O103" i="4"/>
  <c r="O104" i="4"/>
  <c r="N104" i="4" s="1"/>
  <c r="O105" i="4"/>
  <c r="N105" i="4" s="1"/>
  <c r="O106" i="4"/>
  <c r="N106" i="4" s="1"/>
  <c r="D110" i="1"/>
  <c r="C110" i="4" s="1"/>
  <c r="D111" i="1"/>
  <c r="C111" i="4" s="1"/>
  <c r="D112" i="1"/>
  <c r="C112" i="4"/>
  <c r="O113" i="4"/>
  <c r="O114" i="4"/>
  <c r="O115" i="4"/>
  <c r="D173" i="1"/>
  <c r="D174" i="1"/>
  <c r="G174" i="4" s="1"/>
  <c r="D175" i="1"/>
  <c r="I175" i="4" s="1"/>
  <c r="D176" i="1"/>
  <c r="O177" i="4"/>
  <c r="N177" i="4" s="1"/>
  <c r="O178" i="4"/>
  <c r="N178" i="4" s="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9" i="11"/>
  <c r="J60" i="11"/>
  <c r="J61" i="11"/>
  <c r="J62" i="11"/>
  <c r="I62" i="11" s="1"/>
  <c r="J63" i="11"/>
  <c r="J64" i="11"/>
  <c r="J65" i="11"/>
  <c r="J66" i="11"/>
  <c r="J67" i="11"/>
  <c r="J68" i="11"/>
  <c r="J69" i="11"/>
  <c r="J70" i="11"/>
  <c r="I70" i="11" s="1"/>
  <c r="J71" i="11"/>
  <c r="J72" i="11"/>
  <c r="J76" i="11"/>
  <c r="J77" i="11"/>
  <c r="J78" i="11"/>
  <c r="J79" i="11"/>
  <c r="J80" i="11"/>
  <c r="J81" i="11"/>
  <c r="J82" i="11"/>
  <c r="J83" i="11"/>
  <c r="I83" i="11" s="1"/>
  <c r="J84" i="11"/>
  <c r="J85" i="11"/>
  <c r="J86" i="11"/>
  <c r="J87" i="11"/>
  <c r="J88" i="11"/>
  <c r="J89" i="11"/>
  <c r="J90" i="11"/>
  <c r="J91" i="11"/>
  <c r="I91" i="11" s="1"/>
  <c r="J92" i="11"/>
  <c r="J93" i="11"/>
  <c r="J94" i="11"/>
  <c r="J95" i="11"/>
  <c r="J96" i="11"/>
  <c r="J97" i="11"/>
  <c r="J101" i="11"/>
  <c r="J102" i="11"/>
  <c r="J103" i="11"/>
  <c r="J104" i="11"/>
  <c r="J105" i="11"/>
  <c r="J106" i="11"/>
  <c r="J110" i="11"/>
  <c r="J111" i="11"/>
  <c r="J112" i="11"/>
  <c r="J113" i="11"/>
  <c r="J114" i="11"/>
  <c r="J115" i="11"/>
  <c r="J119" i="11"/>
  <c r="J120" i="11"/>
  <c r="J121" i="11"/>
  <c r="J122" i="11"/>
  <c r="J123" i="11"/>
  <c r="J124" i="11"/>
  <c r="J125" i="11"/>
  <c r="J126" i="11"/>
  <c r="J127" i="11"/>
  <c r="J128" i="11"/>
  <c r="J129" i="11"/>
  <c r="J130" i="11"/>
  <c r="J131" i="11"/>
  <c r="J132" i="11"/>
  <c r="J133" i="11"/>
  <c r="J134" i="11"/>
  <c r="J138" i="11"/>
  <c r="J139" i="11"/>
  <c r="J140" i="11"/>
  <c r="J141" i="11"/>
  <c r="J142" i="11"/>
  <c r="J143" i="11"/>
  <c r="J144" i="11"/>
  <c r="J145" i="11"/>
  <c r="J146" i="11"/>
  <c r="J151" i="11"/>
  <c r="J152" i="11"/>
  <c r="J153" i="11"/>
  <c r="J154" i="11"/>
  <c r="J155" i="11"/>
  <c r="J156" i="11"/>
  <c r="J157" i="11"/>
  <c r="J158" i="11"/>
  <c r="J159" i="11"/>
  <c r="J160" i="11"/>
  <c r="J161" i="11"/>
  <c r="J162" i="11"/>
  <c r="J163" i="11"/>
  <c r="J164" i="11"/>
  <c r="J165" i="11"/>
  <c r="J166" i="11"/>
  <c r="J167" i="11"/>
  <c r="J168" i="11"/>
  <c r="J169" i="11"/>
  <c r="J173" i="11"/>
  <c r="J174" i="11"/>
  <c r="J175" i="11"/>
  <c r="J176" i="11"/>
  <c r="J177" i="11"/>
  <c r="J178" i="11"/>
  <c r="J182" i="11"/>
  <c r="J183" i="11"/>
  <c r="J184" i="11"/>
  <c r="J185" i="11"/>
  <c r="I185" i="11" s="1"/>
  <c r="J189" i="11"/>
  <c r="J190" i="11"/>
  <c r="J191" i="11"/>
  <c r="J192" i="11"/>
  <c r="J193" i="11"/>
  <c r="J194" i="11"/>
  <c r="J195" i="11"/>
  <c r="J196" i="11"/>
  <c r="J12" i="16"/>
  <c r="J13" i="16"/>
  <c r="J14" i="16"/>
  <c r="J15" i="16"/>
  <c r="J16" i="16"/>
  <c r="J17" i="16"/>
  <c r="J18" i="16"/>
  <c r="J19" i="16"/>
  <c r="J20" i="16"/>
  <c r="J21" i="16"/>
  <c r="J22" i="16"/>
  <c r="J23" i="16"/>
  <c r="I23" i="16" s="1"/>
  <c r="J24" i="16"/>
  <c r="J25" i="16"/>
  <c r="J26" i="16"/>
  <c r="J27" i="16"/>
  <c r="J28" i="16"/>
  <c r="J29" i="16"/>
  <c r="J30" i="16"/>
  <c r="J31" i="16"/>
  <c r="I31" i="16" s="1"/>
  <c r="J32" i="16"/>
  <c r="J33" i="16"/>
  <c r="J34" i="16"/>
  <c r="J35" i="16"/>
  <c r="J36" i="16"/>
  <c r="J37" i="16"/>
  <c r="J38" i="16"/>
  <c r="J39" i="16"/>
  <c r="I39" i="16" s="1"/>
  <c r="J40" i="16"/>
  <c r="J41" i="16"/>
  <c r="J42" i="16"/>
  <c r="J43" i="16"/>
  <c r="J44" i="16"/>
  <c r="J45" i="16"/>
  <c r="J46" i="16"/>
  <c r="J47" i="16"/>
  <c r="I47" i="16" s="1"/>
  <c r="J48" i="16"/>
  <c r="J49" i="16"/>
  <c r="J50" i="16"/>
  <c r="J51" i="16"/>
  <c r="J52" i="16"/>
  <c r="J53" i="16"/>
  <c r="J54" i="16"/>
  <c r="J55" i="16"/>
  <c r="I55" i="16" s="1"/>
  <c r="J59" i="16"/>
  <c r="J60" i="16"/>
  <c r="J61" i="16"/>
  <c r="J62" i="16"/>
  <c r="J63" i="16"/>
  <c r="J64" i="16"/>
  <c r="J65" i="16"/>
  <c r="J66" i="16"/>
  <c r="J67" i="16"/>
  <c r="J68" i="16"/>
  <c r="J69" i="16"/>
  <c r="J70" i="16"/>
  <c r="J71" i="16"/>
  <c r="J72" i="16"/>
  <c r="J76" i="16"/>
  <c r="J77" i="16"/>
  <c r="J78" i="16"/>
  <c r="J79" i="16"/>
  <c r="J80" i="16"/>
  <c r="J81" i="16"/>
  <c r="J82" i="16"/>
  <c r="J83" i="16"/>
  <c r="J84" i="16"/>
  <c r="J85" i="16"/>
  <c r="J86" i="16"/>
  <c r="J87" i="16"/>
  <c r="J88" i="16"/>
  <c r="J89" i="16"/>
  <c r="J90" i="16"/>
  <c r="J91" i="16"/>
  <c r="J92" i="16"/>
  <c r="J93" i="16"/>
  <c r="J94" i="16"/>
  <c r="J95" i="16"/>
  <c r="J96" i="16"/>
  <c r="J97" i="16"/>
  <c r="J101" i="16"/>
  <c r="J102" i="16"/>
  <c r="J103" i="16"/>
  <c r="J104" i="16"/>
  <c r="I104" i="16" s="1"/>
  <c r="J105" i="16"/>
  <c r="J106" i="16"/>
  <c r="J110" i="16"/>
  <c r="J111" i="16"/>
  <c r="J112" i="16"/>
  <c r="J113" i="16"/>
  <c r="J114" i="16"/>
  <c r="J115" i="16"/>
  <c r="I115" i="16" s="1"/>
  <c r="J119" i="16"/>
  <c r="J120" i="16"/>
  <c r="J121" i="16"/>
  <c r="J122" i="16"/>
  <c r="J123" i="16"/>
  <c r="J124" i="16"/>
  <c r="J125" i="16"/>
  <c r="J126" i="16"/>
  <c r="J127" i="16"/>
  <c r="J128" i="16"/>
  <c r="J129" i="16"/>
  <c r="J130" i="16"/>
  <c r="J131" i="16"/>
  <c r="J132" i="16"/>
  <c r="J133" i="16"/>
  <c r="J134" i="16"/>
  <c r="J138" i="16"/>
  <c r="J139" i="16"/>
  <c r="J140" i="16"/>
  <c r="J141" i="16"/>
  <c r="J142" i="16"/>
  <c r="J143" i="16"/>
  <c r="J144" i="16"/>
  <c r="J145" i="16"/>
  <c r="J146" i="16"/>
  <c r="J150" i="16"/>
  <c r="J151" i="16"/>
  <c r="J152" i="16"/>
  <c r="J153" i="16"/>
  <c r="J154" i="16"/>
  <c r="J155" i="16"/>
  <c r="J156" i="16"/>
  <c r="J157" i="16"/>
  <c r="J158" i="16"/>
  <c r="J159" i="16"/>
  <c r="J160" i="16"/>
  <c r="J161" i="16"/>
  <c r="J162" i="16"/>
  <c r="J163" i="16"/>
  <c r="J164" i="16"/>
  <c r="J165" i="16"/>
  <c r="J166" i="16"/>
  <c r="J167" i="16"/>
  <c r="J168" i="16"/>
  <c r="J169" i="16"/>
  <c r="J173" i="16"/>
  <c r="J174" i="16"/>
  <c r="J175" i="16"/>
  <c r="J176" i="16"/>
  <c r="J177" i="16"/>
  <c r="J178" i="16"/>
  <c r="J182" i="16"/>
  <c r="J183" i="16"/>
  <c r="J184" i="16"/>
  <c r="J185" i="16"/>
  <c r="J211" i="16" s="1"/>
  <c r="I211" i="16" s="1"/>
  <c r="J189" i="16"/>
  <c r="J190" i="16"/>
  <c r="J191" i="16"/>
  <c r="J192" i="16"/>
  <c r="J193" i="16"/>
  <c r="J194" i="16"/>
  <c r="J195" i="16"/>
  <c r="J196" i="16"/>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9" i="17"/>
  <c r="J60" i="17"/>
  <c r="J61" i="17"/>
  <c r="J62" i="17"/>
  <c r="J63" i="17"/>
  <c r="J64" i="17"/>
  <c r="J65" i="17"/>
  <c r="J66" i="17"/>
  <c r="J67" i="17"/>
  <c r="J68" i="17"/>
  <c r="J69" i="17"/>
  <c r="J70" i="17"/>
  <c r="J71" i="17"/>
  <c r="J72" i="17"/>
  <c r="J76" i="17"/>
  <c r="J77" i="17"/>
  <c r="J78" i="17"/>
  <c r="J79" i="17"/>
  <c r="J80" i="17"/>
  <c r="J81" i="17"/>
  <c r="J82" i="17"/>
  <c r="J83" i="17"/>
  <c r="J84" i="17"/>
  <c r="J85" i="17"/>
  <c r="J86" i="17"/>
  <c r="J87" i="17"/>
  <c r="J88" i="17"/>
  <c r="J89" i="17"/>
  <c r="J90" i="17"/>
  <c r="J91" i="17"/>
  <c r="J92" i="17"/>
  <c r="J93" i="17"/>
  <c r="J94" i="17"/>
  <c r="J95" i="17"/>
  <c r="J96" i="17"/>
  <c r="J97" i="17"/>
  <c r="J101" i="17"/>
  <c r="J102" i="17"/>
  <c r="J205" i="17" s="1"/>
  <c r="J103" i="17"/>
  <c r="J104" i="17"/>
  <c r="J105" i="17"/>
  <c r="J106" i="17"/>
  <c r="J110" i="17"/>
  <c r="J111" i="17"/>
  <c r="J112" i="17"/>
  <c r="J113" i="17"/>
  <c r="J114" i="17"/>
  <c r="J115" i="17"/>
  <c r="J119" i="17"/>
  <c r="J120" i="17"/>
  <c r="J121" i="17"/>
  <c r="J122" i="17"/>
  <c r="J123" i="17"/>
  <c r="J124" i="17"/>
  <c r="J125" i="17"/>
  <c r="J126" i="17"/>
  <c r="J127" i="17"/>
  <c r="J128" i="17"/>
  <c r="J129" i="17"/>
  <c r="J130" i="17"/>
  <c r="J131" i="17"/>
  <c r="J132" i="17"/>
  <c r="J133" i="17"/>
  <c r="J134" i="17"/>
  <c r="J138" i="17"/>
  <c r="J139" i="17"/>
  <c r="J140" i="17"/>
  <c r="J141" i="17"/>
  <c r="J142" i="17"/>
  <c r="J143" i="17"/>
  <c r="J144" i="17"/>
  <c r="J145" i="17"/>
  <c r="J146" i="17"/>
  <c r="J150" i="17"/>
  <c r="J151" i="17"/>
  <c r="J152" i="17"/>
  <c r="J153" i="17"/>
  <c r="J154" i="17"/>
  <c r="J155" i="17"/>
  <c r="J156" i="17"/>
  <c r="J157" i="17"/>
  <c r="J158" i="17"/>
  <c r="J159" i="17"/>
  <c r="J160" i="17"/>
  <c r="J161" i="17"/>
  <c r="J162" i="17"/>
  <c r="J163" i="17"/>
  <c r="J164" i="17"/>
  <c r="J165" i="17"/>
  <c r="J166" i="17"/>
  <c r="J167" i="17"/>
  <c r="J168" i="17"/>
  <c r="J169" i="17"/>
  <c r="J173" i="17"/>
  <c r="J174" i="17"/>
  <c r="J175" i="17"/>
  <c r="J176" i="17"/>
  <c r="J177" i="17"/>
  <c r="J178" i="17"/>
  <c r="J182" i="17"/>
  <c r="J183" i="17"/>
  <c r="J184" i="17"/>
  <c r="J185" i="17"/>
  <c r="J189" i="17"/>
  <c r="J190" i="17"/>
  <c r="J191" i="17"/>
  <c r="J192" i="17"/>
  <c r="J193" i="17"/>
  <c r="J194" i="17"/>
  <c r="J195" i="17"/>
  <c r="J196" i="17"/>
  <c r="J12" i="18"/>
  <c r="J13" i="18"/>
  <c r="J14" i="18"/>
  <c r="J15" i="18"/>
  <c r="J16" i="18"/>
  <c r="I16" i="18" s="1"/>
  <c r="J17" i="18"/>
  <c r="J18" i="18"/>
  <c r="J19" i="18"/>
  <c r="I19" i="18" s="1"/>
  <c r="J20" i="18"/>
  <c r="J21" i="18"/>
  <c r="J22" i="18"/>
  <c r="J23" i="18"/>
  <c r="J24" i="18"/>
  <c r="I24" i="18" s="1"/>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9" i="18"/>
  <c r="J60" i="18"/>
  <c r="J61" i="18"/>
  <c r="J62" i="18"/>
  <c r="J63" i="18"/>
  <c r="J64" i="18"/>
  <c r="J65" i="18"/>
  <c r="J66" i="18"/>
  <c r="J67" i="18"/>
  <c r="J68" i="18"/>
  <c r="J69" i="18"/>
  <c r="J70" i="18"/>
  <c r="J71" i="18"/>
  <c r="J72" i="18"/>
  <c r="J76" i="18"/>
  <c r="J77" i="18"/>
  <c r="J78" i="18"/>
  <c r="J79" i="18"/>
  <c r="J80" i="18"/>
  <c r="J81" i="18"/>
  <c r="J82" i="18"/>
  <c r="J83" i="18"/>
  <c r="J84" i="18"/>
  <c r="J85" i="18"/>
  <c r="J86" i="18"/>
  <c r="J87" i="18"/>
  <c r="J88" i="18"/>
  <c r="J89" i="18"/>
  <c r="J90" i="18"/>
  <c r="J91" i="18"/>
  <c r="J92" i="18"/>
  <c r="J93" i="18"/>
  <c r="J94" i="18"/>
  <c r="J95" i="18"/>
  <c r="J96" i="18"/>
  <c r="J97" i="18"/>
  <c r="J101" i="18"/>
  <c r="J102" i="18"/>
  <c r="J103" i="18"/>
  <c r="J104" i="18"/>
  <c r="J105" i="18"/>
  <c r="J106" i="18"/>
  <c r="J110" i="18"/>
  <c r="J111" i="18"/>
  <c r="J112" i="18"/>
  <c r="J113" i="18"/>
  <c r="J114" i="18"/>
  <c r="J115" i="18"/>
  <c r="J206" i="18"/>
  <c r="J119" i="18"/>
  <c r="J120" i="18"/>
  <c r="J121" i="18"/>
  <c r="J122" i="18"/>
  <c r="J123" i="18"/>
  <c r="J124" i="18"/>
  <c r="J125" i="18"/>
  <c r="J126" i="18"/>
  <c r="J127" i="18"/>
  <c r="J128" i="18"/>
  <c r="J129" i="18"/>
  <c r="J130" i="18"/>
  <c r="J131" i="18"/>
  <c r="J132" i="18"/>
  <c r="J133" i="18"/>
  <c r="J134" i="18"/>
  <c r="J138" i="18"/>
  <c r="J139" i="18"/>
  <c r="J140" i="18"/>
  <c r="J141" i="18"/>
  <c r="J142" i="18"/>
  <c r="J143" i="18"/>
  <c r="J144" i="18"/>
  <c r="J145" i="18"/>
  <c r="J146" i="18"/>
  <c r="I146" i="18" s="1"/>
  <c r="J150" i="18"/>
  <c r="J151" i="18"/>
  <c r="J152" i="18"/>
  <c r="J153" i="18"/>
  <c r="J154" i="18"/>
  <c r="J155" i="18"/>
  <c r="J156" i="18"/>
  <c r="J157" i="18"/>
  <c r="J158" i="18"/>
  <c r="J159" i="18"/>
  <c r="J160" i="18"/>
  <c r="J161" i="18"/>
  <c r="J162" i="18"/>
  <c r="J163" i="18"/>
  <c r="J164" i="18"/>
  <c r="J165" i="18"/>
  <c r="J166" i="18"/>
  <c r="J167" i="18"/>
  <c r="J168" i="18"/>
  <c r="J169" i="18"/>
  <c r="J173" i="18"/>
  <c r="J174" i="18"/>
  <c r="J175" i="18"/>
  <c r="J176" i="18"/>
  <c r="J177" i="18"/>
  <c r="J178" i="18"/>
  <c r="J182" i="18"/>
  <c r="J183" i="18"/>
  <c r="J184" i="18"/>
  <c r="J185" i="18"/>
  <c r="J189" i="18"/>
  <c r="J190" i="18"/>
  <c r="J191" i="18"/>
  <c r="J192" i="18"/>
  <c r="J193" i="18"/>
  <c r="J194" i="18"/>
  <c r="J195" i="18"/>
  <c r="J196" i="18"/>
  <c r="K28" i="12"/>
  <c r="J28" i="12" s="1"/>
  <c r="D22" i="12"/>
  <c r="F22" i="12"/>
  <c r="L12" i="18"/>
  <c r="L13" i="18"/>
  <c r="L14" i="18"/>
  <c r="L15" i="18"/>
  <c r="L16" i="18"/>
  <c r="K16" i="18" s="1"/>
  <c r="L17" i="18"/>
  <c r="L18" i="18"/>
  <c r="L19" i="18"/>
  <c r="L20" i="18"/>
  <c r="L21" i="18"/>
  <c r="L22" i="18"/>
  <c r="L23" i="18"/>
  <c r="L24" i="18"/>
  <c r="K24" i="18" s="1"/>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9" i="18"/>
  <c r="L60" i="18"/>
  <c r="L61" i="18"/>
  <c r="L62" i="18"/>
  <c r="L63" i="18"/>
  <c r="L64" i="18"/>
  <c r="L65" i="18"/>
  <c r="L66" i="18"/>
  <c r="L67" i="18"/>
  <c r="L68" i="18"/>
  <c r="L69" i="18"/>
  <c r="L70" i="18"/>
  <c r="L71" i="18"/>
  <c r="L72" i="18"/>
  <c r="L79" i="18"/>
  <c r="K79" i="18" s="1"/>
  <c r="L89" i="18"/>
  <c r="L90" i="18"/>
  <c r="L91" i="18"/>
  <c r="L92" i="18"/>
  <c r="K92" i="18" s="1"/>
  <c r="L93" i="18"/>
  <c r="L94" i="18"/>
  <c r="L95" i="18"/>
  <c r="L96" i="18"/>
  <c r="L97" i="18"/>
  <c r="L101" i="18"/>
  <c r="L102" i="18"/>
  <c r="L103" i="18"/>
  <c r="L104" i="18"/>
  <c r="L105" i="18"/>
  <c r="L106" i="18"/>
  <c r="L110" i="18"/>
  <c r="L111" i="18"/>
  <c r="L112" i="18"/>
  <c r="L113" i="18"/>
  <c r="L114" i="18"/>
  <c r="L115" i="18"/>
  <c r="L120" i="18"/>
  <c r="L122" i="18"/>
  <c r="L125" i="18"/>
  <c r="L127" i="18"/>
  <c r="L128" i="18"/>
  <c r="L129" i="18"/>
  <c r="L130" i="18"/>
  <c r="L131" i="18"/>
  <c r="L132" i="18"/>
  <c r="L133" i="18"/>
  <c r="L134" i="18"/>
  <c r="L140" i="18"/>
  <c r="L141" i="18"/>
  <c r="L142" i="18"/>
  <c r="L143" i="18"/>
  <c r="L144" i="18"/>
  <c r="L145" i="18"/>
  <c r="L146" i="18"/>
  <c r="L153" i="18"/>
  <c r="L160" i="18"/>
  <c r="L161" i="18"/>
  <c r="L163" i="18"/>
  <c r="L164" i="18"/>
  <c r="L165" i="18"/>
  <c r="L166" i="18"/>
  <c r="K166" i="18" s="1"/>
  <c r="L167" i="18"/>
  <c r="L168" i="18"/>
  <c r="L169" i="18"/>
  <c r="L173" i="18"/>
  <c r="L174" i="18"/>
  <c r="L175" i="18"/>
  <c r="L176" i="18"/>
  <c r="L177" i="18"/>
  <c r="K177" i="18" s="1"/>
  <c r="L178" i="18"/>
  <c r="L182" i="18"/>
  <c r="L183" i="18"/>
  <c r="L184" i="18"/>
  <c r="L185" i="18"/>
  <c r="K31" i="12"/>
  <c r="K29" i="12"/>
  <c r="J29" i="12"/>
  <c r="K36" i="12"/>
  <c r="J36" i="12" s="1"/>
  <c r="J41" i="12"/>
  <c r="L12" i="17"/>
  <c r="L13" i="17"/>
  <c r="L14" i="17"/>
  <c r="L15" i="17"/>
  <c r="L16" i="17"/>
  <c r="L17" i="17"/>
  <c r="K17" i="17" s="1"/>
  <c r="L18" i="17"/>
  <c r="L19" i="17"/>
  <c r="L20" i="17"/>
  <c r="L21" i="17"/>
  <c r="L22" i="17"/>
  <c r="L23" i="17"/>
  <c r="L24" i="17"/>
  <c r="L25" i="17"/>
  <c r="K25" i="17" s="1"/>
  <c r="L26" i="17"/>
  <c r="L27" i="17"/>
  <c r="L28" i="17"/>
  <c r="L29" i="17"/>
  <c r="L30" i="17"/>
  <c r="L31" i="17"/>
  <c r="L32" i="17"/>
  <c r="L33" i="17"/>
  <c r="K33" i="17" s="1"/>
  <c r="L34" i="17"/>
  <c r="L35" i="17"/>
  <c r="L36" i="17"/>
  <c r="L37" i="17"/>
  <c r="L38" i="17"/>
  <c r="L39" i="17"/>
  <c r="L40" i="17"/>
  <c r="L41" i="17"/>
  <c r="K41" i="17" s="1"/>
  <c r="L42" i="17"/>
  <c r="L43" i="17"/>
  <c r="L44" i="17"/>
  <c r="L45" i="17"/>
  <c r="L46" i="17"/>
  <c r="L47" i="17"/>
  <c r="L48" i="17"/>
  <c r="L49" i="17"/>
  <c r="K49" i="17" s="1"/>
  <c r="L50" i="17"/>
  <c r="L51" i="17"/>
  <c r="L52" i="17"/>
  <c r="L53" i="17"/>
  <c r="L54" i="17"/>
  <c r="L55" i="17"/>
  <c r="L59" i="17"/>
  <c r="L60" i="17"/>
  <c r="K60" i="17" s="1"/>
  <c r="L61" i="17"/>
  <c r="L62" i="17"/>
  <c r="L63" i="17"/>
  <c r="L64" i="17"/>
  <c r="L65" i="17"/>
  <c r="L66" i="17"/>
  <c r="L67" i="17"/>
  <c r="L68" i="17"/>
  <c r="K68" i="17" s="1"/>
  <c r="L69" i="17"/>
  <c r="L70" i="17"/>
  <c r="L71" i="17"/>
  <c r="L72" i="17"/>
  <c r="L79" i="17"/>
  <c r="L89" i="17"/>
  <c r="L90" i="17"/>
  <c r="L91" i="17"/>
  <c r="L92" i="17"/>
  <c r="L93" i="17"/>
  <c r="L94" i="17"/>
  <c r="L95" i="17"/>
  <c r="L96" i="17"/>
  <c r="L97" i="17"/>
  <c r="L101" i="17"/>
  <c r="L102" i="17"/>
  <c r="L103" i="17"/>
  <c r="L104" i="17"/>
  <c r="L105" i="17"/>
  <c r="L106" i="17"/>
  <c r="L110" i="17"/>
  <c r="L111" i="17"/>
  <c r="L112" i="17"/>
  <c r="L113" i="17"/>
  <c r="L114" i="17"/>
  <c r="L115" i="17"/>
  <c r="L120" i="17"/>
  <c r="L122" i="17"/>
  <c r="L125" i="17"/>
  <c r="L127" i="17"/>
  <c r="L128" i="17"/>
  <c r="L129" i="17"/>
  <c r="L130" i="17"/>
  <c r="L131" i="17"/>
  <c r="L132" i="17"/>
  <c r="L133" i="17"/>
  <c r="L134" i="17"/>
  <c r="L140" i="17"/>
  <c r="L141" i="17"/>
  <c r="L142" i="17"/>
  <c r="L143" i="17"/>
  <c r="L144" i="17"/>
  <c r="L145" i="17"/>
  <c r="L146" i="17"/>
  <c r="L153" i="17"/>
  <c r="L160" i="17"/>
  <c r="L161" i="17"/>
  <c r="L163" i="17"/>
  <c r="L164" i="17"/>
  <c r="L165" i="17"/>
  <c r="L166" i="17"/>
  <c r="L167" i="17"/>
  <c r="L168" i="17"/>
  <c r="L169" i="17"/>
  <c r="L173" i="17"/>
  <c r="L174" i="17"/>
  <c r="L175" i="17"/>
  <c r="L176" i="17"/>
  <c r="L177" i="17"/>
  <c r="L178" i="17"/>
  <c r="L182" i="17"/>
  <c r="L183" i="17"/>
  <c r="L184" i="17"/>
  <c r="L185" i="17"/>
  <c r="L211" i="17"/>
  <c r="L12" i="16"/>
  <c r="L13" i="16"/>
  <c r="L14" i="16"/>
  <c r="L15" i="16"/>
  <c r="L16" i="16"/>
  <c r="L17" i="16"/>
  <c r="L18" i="16"/>
  <c r="L19" i="16"/>
  <c r="L20" i="16"/>
  <c r="L21" i="16"/>
  <c r="L22" i="16"/>
  <c r="L23"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9" i="16"/>
  <c r="L60" i="16"/>
  <c r="L61" i="16"/>
  <c r="L62" i="16"/>
  <c r="L63" i="16"/>
  <c r="L64" i="16"/>
  <c r="L65" i="16"/>
  <c r="L66" i="16"/>
  <c r="L67" i="16"/>
  <c r="L68" i="16"/>
  <c r="L69" i="16"/>
  <c r="L70" i="16"/>
  <c r="L71" i="16"/>
  <c r="L72" i="16"/>
  <c r="L89" i="16"/>
  <c r="L90" i="16"/>
  <c r="L91" i="16"/>
  <c r="L92" i="16"/>
  <c r="L93" i="16"/>
  <c r="L94" i="16"/>
  <c r="L95" i="16"/>
  <c r="L96" i="16"/>
  <c r="L97" i="16"/>
  <c r="L101" i="16"/>
  <c r="L102" i="16"/>
  <c r="L103" i="16"/>
  <c r="L104" i="16"/>
  <c r="L105" i="16"/>
  <c r="L106" i="16"/>
  <c r="L110" i="16"/>
  <c r="L111" i="16"/>
  <c r="L112" i="16"/>
  <c r="L113" i="16"/>
  <c r="L114" i="16"/>
  <c r="L115" i="16"/>
  <c r="L119" i="16"/>
  <c r="L120" i="16"/>
  <c r="L122" i="16"/>
  <c r="L125" i="16"/>
  <c r="L127" i="16"/>
  <c r="L128" i="16"/>
  <c r="L129" i="16"/>
  <c r="L130" i="16"/>
  <c r="L131" i="16"/>
  <c r="L132" i="16"/>
  <c r="L133" i="16"/>
  <c r="L134" i="16"/>
  <c r="L140" i="16"/>
  <c r="L141" i="16"/>
  <c r="L142" i="16"/>
  <c r="L143" i="16"/>
  <c r="L144" i="16"/>
  <c r="L145" i="16"/>
  <c r="L146" i="16"/>
  <c r="L153" i="16"/>
  <c r="L159" i="16"/>
  <c r="L161" i="16"/>
  <c r="L163" i="16"/>
  <c r="L164" i="16"/>
  <c r="L165" i="16"/>
  <c r="L166" i="16"/>
  <c r="L167" i="16"/>
  <c r="L168" i="16"/>
  <c r="L169" i="16"/>
  <c r="L173" i="16"/>
  <c r="L174" i="16"/>
  <c r="L175" i="16"/>
  <c r="L176" i="16"/>
  <c r="L177" i="16"/>
  <c r="L178" i="16"/>
  <c r="L182" i="16"/>
  <c r="L183" i="16"/>
  <c r="L211" i="16" s="1"/>
  <c r="L184" i="16"/>
  <c r="L185" i="16"/>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9" i="11"/>
  <c r="L60" i="11"/>
  <c r="L61" i="11"/>
  <c r="L62" i="11"/>
  <c r="L63" i="11"/>
  <c r="L64" i="11"/>
  <c r="L65" i="11"/>
  <c r="L66" i="11"/>
  <c r="L67" i="11"/>
  <c r="L68" i="11"/>
  <c r="L69" i="11"/>
  <c r="L70" i="11"/>
  <c r="L71" i="11"/>
  <c r="L72" i="11"/>
  <c r="L88" i="11"/>
  <c r="L89" i="11"/>
  <c r="L90" i="11"/>
  <c r="L91" i="11"/>
  <c r="L92" i="11"/>
  <c r="L93" i="11"/>
  <c r="L94" i="11"/>
  <c r="L95" i="11"/>
  <c r="L96" i="11"/>
  <c r="L97" i="11"/>
  <c r="L101" i="11"/>
  <c r="L102" i="11"/>
  <c r="L103" i="11"/>
  <c r="L104" i="11"/>
  <c r="L105" i="11"/>
  <c r="L106" i="11"/>
  <c r="L205" i="11"/>
  <c r="L110" i="11"/>
  <c r="L111" i="11"/>
  <c r="L112" i="11"/>
  <c r="L113" i="11"/>
  <c r="L114" i="11"/>
  <c r="L115" i="11"/>
  <c r="L206" i="11"/>
  <c r="K206" i="11" s="1"/>
  <c r="L119" i="11"/>
  <c r="L120" i="11"/>
  <c r="L122" i="11"/>
  <c r="L125" i="11"/>
  <c r="L127" i="11"/>
  <c r="L128" i="11"/>
  <c r="L129" i="11"/>
  <c r="L130" i="11"/>
  <c r="L131" i="11"/>
  <c r="L132" i="11"/>
  <c r="L133" i="11"/>
  <c r="L134" i="11"/>
  <c r="L140" i="11"/>
  <c r="L141" i="11"/>
  <c r="L142" i="11"/>
  <c r="L143" i="11"/>
  <c r="L144" i="11"/>
  <c r="L145" i="11"/>
  <c r="L146" i="11"/>
  <c r="L153" i="11"/>
  <c r="L161" i="11"/>
  <c r="L163" i="11"/>
  <c r="L164" i="11"/>
  <c r="L165" i="11"/>
  <c r="L166" i="11"/>
  <c r="L167" i="11"/>
  <c r="L168" i="11"/>
  <c r="L169" i="11"/>
  <c r="L173" i="11"/>
  <c r="L174" i="11"/>
  <c r="L175" i="11"/>
  <c r="L176" i="11"/>
  <c r="L177" i="11"/>
  <c r="L178" i="11"/>
  <c r="L182" i="11"/>
  <c r="L183" i="11"/>
  <c r="L184" i="11"/>
  <c r="L185" i="11"/>
  <c r="K35" i="12"/>
  <c r="J35" i="12" s="1"/>
  <c r="D21" i="12"/>
  <c r="F21" i="12"/>
  <c r="H21" i="12"/>
  <c r="M21" i="12" s="1"/>
  <c r="L21" i="12" s="1"/>
  <c r="J21" i="12"/>
  <c r="N224" i="16"/>
  <c r="N224" i="17"/>
  <c r="N225" i="17" s="1"/>
  <c r="A21" i="12"/>
  <c r="B21" i="12"/>
  <c r="B40" i="12"/>
  <c r="D40" i="12"/>
  <c r="F40" i="12"/>
  <c r="H40" i="12"/>
  <c r="J42" i="12"/>
  <c r="L40" i="12"/>
  <c r="B7" i="12"/>
  <c r="F24" i="12"/>
  <c r="F23" i="12"/>
  <c r="D23" i="12"/>
  <c r="B23" i="12"/>
  <c r="A3" i="12"/>
  <c r="A2" i="12"/>
  <c r="J12" i="19"/>
  <c r="J13" i="19"/>
  <c r="I13" i="19" s="1"/>
  <c r="J14" i="19"/>
  <c r="I14" i="19" s="1"/>
  <c r="J15" i="19"/>
  <c r="J16" i="19"/>
  <c r="J17" i="19"/>
  <c r="J18" i="19"/>
  <c r="I18" i="19" s="1"/>
  <c r="J19" i="19"/>
  <c r="J20" i="19"/>
  <c r="J21" i="19"/>
  <c r="I21" i="19" s="1"/>
  <c r="J22" i="19"/>
  <c r="I22" i="19" s="1"/>
  <c r="J23" i="19"/>
  <c r="J24" i="19"/>
  <c r="J25" i="19"/>
  <c r="J26" i="19"/>
  <c r="I26" i="19" s="1"/>
  <c r="J27" i="19"/>
  <c r="J28" i="19"/>
  <c r="J29" i="19"/>
  <c r="I29" i="19" s="1"/>
  <c r="J30" i="19"/>
  <c r="I30" i="19" s="1"/>
  <c r="J31" i="19"/>
  <c r="J32" i="19"/>
  <c r="J33" i="19"/>
  <c r="J34" i="19"/>
  <c r="I34" i="19" s="1"/>
  <c r="J35" i="19"/>
  <c r="J36" i="19"/>
  <c r="J37" i="19"/>
  <c r="I37" i="19" s="1"/>
  <c r="J38" i="19"/>
  <c r="I38" i="19" s="1"/>
  <c r="J39" i="19"/>
  <c r="J40" i="19"/>
  <c r="J41" i="19"/>
  <c r="J42" i="19"/>
  <c r="I42" i="19" s="1"/>
  <c r="J43" i="19"/>
  <c r="J44" i="19"/>
  <c r="J45" i="19"/>
  <c r="I45" i="19" s="1"/>
  <c r="J46" i="19"/>
  <c r="I46" i="19" s="1"/>
  <c r="J47" i="19"/>
  <c r="J48" i="19"/>
  <c r="J49" i="19"/>
  <c r="J50" i="19"/>
  <c r="I50" i="19" s="1"/>
  <c r="J51" i="19"/>
  <c r="J52" i="19"/>
  <c r="J53" i="19"/>
  <c r="I53" i="19" s="1"/>
  <c r="J54" i="19"/>
  <c r="I54" i="19" s="1"/>
  <c r="J55" i="19"/>
  <c r="J59" i="19"/>
  <c r="J60" i="19"/>
  <c r="J61" i="19"/>
  <c r="J62" i="19"/>
  <c r="I62" i="19" s="1"/>
  <c r="J63" i="19"/>
  <c r="J64" i="19"/>
  <c r="I64" i="19" s="1"/>
  <c r="J65" i="19"/>
  <c r="I65" i="19" s="1"/>
  <c r="J66" i="19"/>
  <c r="J67" i="19"/>
  <c r="J68" i="19"/>
  <c r="J69" i="19"/>
  <c r="J70" i="19"/>
  <c r="I70" i="19" s="1"/>
  <c r="J71" i="19"/>
  <c r="J72" i="19"/>
  <c r="J76" i="19"/>
  <c r="J77" i="19"/>
  <c r="J78" i="19"/>
  <c r="J79" i="19"/>
  <c r="J80" i="19"/>
  <c r="I80" i="19" s="1"/>
  <c r="J81" i="19"/>
  <c r="J82" i="19"/>
  <c r="J83" i="19"/>
  <c r="I83" i="19" s="1"/>
  <c r="J84" i="19"/>
  <c r="I84" i="19" s="1"/>
  <c r="J85" i="19"/>
  <c r="J86" i="19"/>
  <c r="J87" i="19"/>
  <c r="J88" i="19"/>
  <c r="I88" i="19" s="1"/>
  <c r="J89" i="19"/>
  <c r="J90" i="19"/>
  <c r="J91" i="19"/>
  <c r="I91" i="19" s="1"/>
  <c r="J92" i="19"/>
  <c r="I92" i="19" s="1"/>
  <c r="J93" i="19"/>
  <c r="J94" i="19"/>
  <c r="J95" i="19"/>
  <c r="J96" i="19"/>
  <c r="I96" i="19" s="1"/>
  <c r="J97" i="19"/>
  <c r="J101" i="19"/>
  <c r="J102" i="19"/>
  <c r="J103" i="19"/>
  <c r="I103" i="19" s="1"/>
  <c r="J104" i="19"/>
  <c r="J105" i="19"/>
  <c r="J106" i="19"/>
  <c r="J110" i="19"/>
  <c r="J111" i="19"/>
  <c r="J112" i="19"/>
  <c r="I112" i="19" s="1"/>
  <c r="J113" i="19"/>
  <c r="J114" i="19"/>
  <c r="J115" i="19"/>
  <c r="J119" i="19"/>
  <c r="J120" i="19"/>
  <c r="J121" i="19"/>
  <c r="J122" i="19"/>
  <c r="J123" i="19"/>
  <c r="J124" i="19"/>
  <c r="I124" i="19" s="1"/>
  <c r="J125" i="19"/>
  <c r="J126" i="19"/>
  <c r="J127" i="19"/>
  <c r="J128" i="19"/>
  <c r="J129" i="19"/>
  <c r="J130" i="19"/>
  <c r="J131" i="19"/>
  <c r="I131" i="19" s="1"/>
  <c r="J132" i="19"/>
  <c r="I132" i="19" s="1"/>
  <c r="J133" i="19"/>
  <c r="J134" i="19"/>
  <c r="J138" i="19"/>
  <c r="J139" i="19"/>
  <c r="J140" i="19"/>
  <c r="J141" i="19"/>
  <c r="I141" i="19" s="1"/>
  <c r="J142" i="19"/>
  <c r="I142" i="19" s="1"/>
  <c r="J143" i="19"/>
  <c r="I143" i="19" s="1"/>
  <c r="J144" i="19"/>
  <c r="J145" i="19"/>
  <c r="J146" i="19"/>
  <c r="J150" i="19"/>
  <c r="J151" i="19"/>
  <c r="J152" i="19"/>
  <c r="I152" i="19" s="1"/>
  <c r="J153" i="19"/>
  <c r="J154" i="19"/>
  <c r="J155" i="19"/>
  <c r="J156" i="19"/>
  <c r="J157" i="19"/>
  <c r="J158" i="19"/>
  <c r="J159" i="19"/>
  <c r="J160" i="19"/>
  <c r="I160" i="19" s="1"/>
  <c r="J161" i="19"/>
  <c r="I161" i="19" s="1"/>
  <c r="J162" i="19"/>
  <c r="I162" i="19" s="1"/>
  <c r="J163" i="19"/>
  <c r="J164" i="19"/>
  <c r="J165" i="19"/>
  <c r="J166" i="19"/>
  <c r="J167" i="19"/>
  <c r="J168" i="19"/>
  <c r="I168" i="19" s="1"/>
  <c r="J169" i="19"/>
  <c r="I169" i="19" s="1"/>
  <c r="J173" i="19"/>
  <c r="J174" i="19"/>
  <c r="J175" i="19"/>
  <c r="J176" i="19"/>
  <c r="J177" i="19"/>
  <c r="I177" i="19" s="1"/>
  <c r="J178" i="19"/>
  <c r="J182" i="19"/>
  <c r="J183" i="19"/>
  <c r="J184" i="19"/>
  <c r="I184" i="19" s="1"/>
  <c r="J185" i="19"/>
  <c r="J189" i="19"/>
  <c r="J190" i="19"/>
  <c r="J191" i="19"/>
  <c r="J192" i="19"/>
  <c r="J193" i="19"/>
  <c r="J194" i="19"/>
  <c r="I194" i="19" s="1"/>
  <c r="J195" i="19"/>
  <c r="I195" i="19" s="1"/>
  <c r="J196" i="19"/>
  <c r="A171" i="4"/>
  <c r="A148" i="4"/>
  <c r="A136" i="4"/>
  <c r="A117" i="4"/>
  <c r="A108" i="4"/>
  <c r="A99" i="4"/>
  <c r="A74" i="4"/>
  <c r="A57" i="4"/>
  <c r="A10" i="4"/>
  <c r="L178" i="4"/>
  <c r="L177" i="4"/>
  <c r="L176" i="4"/>
  <c r="L175" i="4"/>
  <c r="L174" i="4"/>
  <c r="L173" i="4"/>
  <c r="L115" i="4"/>
  <c r="L114" i="4"/>
  <c r="L113" i="4"/>
  <c r="L112" i="4"/>
  <c r="L111" i="4"/>
  <c r="L110" i="4"/>
  <c r="L106" i="4"/>
  <c r="L105" i="4"/>
  <c r="L104" i="4"/>
  <c r="L103" i="4"/>
  <c r="L102" i="4"/>
  <c r="L101" i="4"/>
  <c r="L76" i="4"/>
  <c r="L72" i="4"/>
  <c r="L71" i="4"/>
  <c r="L70" i="4"/>
  <c r="L69" i="4"/>
  <c r="L68" i="4"/>
  <c r="L67" i="4"/>
  <c r="L66" i="4"/>
  <c r="L65" i="4"/>
  <c r="L64" i="4"/>
  <c r="L63" i="4"/>
  <c r="L62" i="4"/>
  <c r="L61" i="4"/>
  <c r="L60" i="4"/>
  <c r="L59"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M178" i="4"/>
  <c r="M177" i="4"/>
  <c r="M115" i="4"/>
  <c r="M114" i="4"/>
  <c r="M113" i="4"/>
  <c r="M106" i="4"/>
  <c r="M105" i="4"/>
  <c r="M104" i="4"/>
  <c r="M103" i="4"/>
  <c r="M72" i="4"/>
  <c r="M71" i="4"/>
  <c r="M70" i="4"/>
  <c r="M69" i="4"/>
  <c r="M68" i="4"/>
  <c r="M67" i="4"/>
  <c r="M55" i="4"/>
  <c r="M54" i="4"/>
  <c r="M53" i="4"/>
  <c r="M52" i="4"/>
  <c r="M51" i="4"/>
  <c r="M50" i="4"/>
  <c r="M49" i="4"/>
  <c r="M48" i="4"/>
  <c r="N115" i="4"/>
  <c r="N114" i="4"/>
  <c r="N113" i="4"/>
  <c r="N103" i="4"/>
  <c r="N72" i="4"/>
  <c r="N70" i="4"/>
  <c r="N69" i="4"/>
  <c r="N55" i="4"/>
  <c r="N54" i="4"/>
  <c r="N53" i="4"/>
  <c r="N51" i="4"/>
  <c r="N50" i="4"/>
  <c r="N49" i="4"/>
  <c r="L12" i="1"/>
  <c r="K178" i="4"/>
  <c r="I178" i="4"/>
  <c r="G178" i="4"/>
  <c r="E178" i="4"/>
  <c r="C178" i="4"/>
  <c r="K177" i="4"/>
  <c r="I177" i="4"/>
  <c r="G177" i="4"/>
  <c r="E177" i="4"/>
  <c r="C177" i="4"/>
  <c r="K115" i="4"/>
  <c r="I115" i="4"/>
  <c r="G115" i="4"/>
  <c r="E115" i="4"/>
  <c r="C115" i="4"/>
  <c r="K114" i="4"/>
  <c r="I114" i="4"/>
  <c r="G114" i="4"/>
  <c r="E114" i="4"/>
  <c r="C114" i="4"/>
  <c r="K113" i="4"/>
  <c r="I113" i="4"/>
  <c r="G113" i="4"/>
  <c r="E113" i="4"/>
  <c r="C113" i="4"/>
  <c r="K106" i="4"/>
  <c r="I106" i="4"/>
  <c r="G106" i="4"/>
  <c r="E106" i="4"/>
  <c r="C106" i="4"/>
  <c r="K105" i="4"/>
  <c r="I105" i="4"/>
  <c r="G105" i="4"/>
  <c r="E105" i="4"/>
  <c r="C105" i="4"/>
  <c r="K104" i="4"/>
  <c r="I104" i="4"/>
  <c r="G104" i="4"/>
  <c r="E104" i="4"/>
  <c r="C104" i="4"/>
  <c r="K103" i="4"/>
  <c r="I103" i="4"/>
  <c r="G103" i="4"/>
  <c r="E103" i="4"/>
  <c r="C103" i="4"/>
  <c r="K72" i="4"/>
  <c r="I72" i="4"/>
  <c r="G72" i="4"/>
  <c r="E72" i="4"/>
  <c r="C72" i="4"/>
  <c r="K71" i="4"/>
  <c r="I71" i="4"/>
  <c r="G71" i="4"/>
  <c r="E71" i="4"/>
  <c r="C71" i="4"/>
  <c r="K70" i="4"/>
  <c r="I70" i="4"/>
  <c r="G70" i="4"/>
  <c r="E70" i="4"/>
  <c r="C70" i="4"/>
  <c r="K69" i="4"/>
  <c r="I69" i="4"/>
  <c r="G69" i="4"/>
  <c r="E69" i="4"/>
  <c r="C69" i="4"/>
  <c r="K68" i="4"/>
  <c r="I68" i="4"/>
  <c r="G68" i="4"/>
  <c r="E68" i="4"/>
  <c r="C68" i="4"/>
  <c r="K67" i="4"/>
  <c r="I67" i="4"/>
  <c r="G67" i="4"/>
  <c r="E67" i="4"/>
  <c r="C67" i="4"/>
  <c r="K55" i="4"/>
  <c r="I55" i="4"/>
  <c r="G55" i="4"/>
  <c r="E55" i="4"/>
  <c r="C55" i="4"/>
  <c r="K54" i="4"/>
  <c r="I54" i="4"/>
  <c r="G54" i="4"/>
  <c r="E54" i="4"/>
  <c r="C54" i="4"/>
  <c r="K53" i="4"/>
  <c r="I53" i="4"/>
  <c r="G53" i="4"/>
  <c r="E53" i="4"/>
  <c r="C53" i="4"/>
  <c r="K52" i="4"/>
  <c r="I52" i="4"/>
  <c r="G52" i="4"/>
  <c r="E52" i="4"/>
  <c r="C52" i="4"/>
  <c r="K51" i="4"/>
  <c r="I51" i="4"/>
  <c r="G51" i="4"/>
  <c r="E51" i="4"/>
  <c r="C51" i="4"/>
  <c r="K50" i="4"/>
  <c r="I50" i="4"/>
  <c r="G50" i="4"/>
  <c r="E50" i="4"/>
  <c r="C50" i="4"/>
  <c r="K49" i="4"/>
  <c r="I49" i="4"/>
  <c r="G49" i="4"/>
  <c r="E49" i="4"/>
  <c r="C49" i="4"/>
  <c r="K48" i="4"/>
  <c r="I48" i="4"/>
  <c r="G48" i="4"/>
  <c r="E48" i="4"/>
  <c r="C48" i="4"/>
  <c r="A3" i="4"/>
  <c r="A2" i="4"/>
  <c r="H12" i="16"/>
  <c r="H12" i="11"/>
  <c r="L12" i="19"/>
  <c r="L48" i="19"/>
  <c r="L13" i="19"/>
  <c r="L14" i="19"/>
  <c r="K14" i="19" s="1"/>
  <c r="L15" i="19"/>
  <c r="K15" i="19" s="1"/>
  <c r="L16" i="19"/>
  <c r="L17" i="19"/>
  <c r="L18" i="19"/>
  <c r="L19" i="19"/>
  <c r="L20" i="19"/>
  <c r="L21" i="19"/>
  <c r="K21" i="19" s="1"/>
  <c r="L22" i="19"/>
  <c r="K22" i="19" s="1"/>
  <c r="L23" i="19"/>
  <c r="L24" i="19"/>
  <c r="L25" i="19"/>
  <c r="L26" i="19"/>
  <c r="L27" i="19"/>
  <c r="L28" i="19"/>
  <c r="K28" i="19" s="1"/>
  <c r="L29" i="19"/>
  <c r="L30" i="19"/>
  <c r="K30" i="19" s="1"/>
  <c r="L31" i="19"/>
  <c r="K31" i="19" s="1"/>
  <c r="L32" i="19"/>
  <c r="L33" i="19"/>
  <c r="L34" i="19"/>
  <c r="L35" i="19"/>
  <c r="L36" i="19"/>
  <c r="L37" i="19"/>
  <c r="K37" i="19" s="1"/>
  <c r="L38" i="19"/>
  <c r="K38" i="19" s="1"/>
  <c r="L39" i="19"/>
  <c r="K39" i="19" s="1"/>
  <c r="L40" i="19"/>
  <c r="L41" i="19"/>
  <c r="L42" i="19"/>
  <c r="L43" i="19"/>
  <c r="L44" i="19"/>
  <c r="L45" i="19"/>
  <c r="K45" i="19" s="1"/>
  <c r="L46" i="19"/>
  <c r="K46" i="19" s="1"/>
  <c r="L47" i="19"/>
  <c r="K47" i="19" s="1"/>
  <c r="L49" i="19"/>
  <c r="L50" i="19"/>
  <c r="L51" i="19"/>
  <c r="L52" i="19"/>
  <c r="L53" i="19"/>
  <c r="K53" i="19" s="1"/>
  <c r="L54" i="19"/>
  <c r="L55" i="19"/>
  <c r="K55" i="19" s="1"/>
  <c r="L59" i="19"/>
  <c r="K59" i="19" s="1"/>
  <c r="L60" i="19"/>
  <c r="L61" i="19"/>
  <c r="L62" i="19"/>
  <c r="L63" i="19"/>
  <c r="L64" i="19"/>
  <c r="L65" i="19"/>
  <c r="L66" i="19"/>
  <c r="L67" i="19"/>
  <c r="K67" i="19" s="1"/>
  <c r="L68" i="19"/>
  <c r="L69" i="19"/>
  <c r="L70" i="19"/>
  <c r="L71" i="19"/>
  <c r="L72" i="19"/>
  <c r="L79" i="19"/>
  <c r="L89" i="19"/>
  <c r="L90" i="19"/>
  <c r="L91" i="19"/>
  <c r="L92" i="19"/>
  <c r="L93" i="19"/>
  <c r="K93" i="19" s="1"/>
  <c r="L94" i="19"/>
  <c r="K94" i="19" s="1"/>
  <c r="L95" i="19"/>
  <c r="K95" i="19" s="1"/>
  <c r="L96" i="19"/>
  <c r="L97" i="19"/>
  <c r="L101" i="19"/>
  <c r="L102" i="19"/>
  <c r="L103" i="19"/>
  <c r="L104" i="19"/>
  <c r="K104" i="19" s="1"/>
  <c r="L105" i="19"/>
  <c r="K105" i="19" s="1"/>
  <c r="L106" i="19"/>
  <c r="K106" i="19" s="1"/>
  <c r="L110" i="19"/>
  <c r="L111" i="19"/>
  <c r="L112" i="19"/>
  <c r="L113" i="19"/>
  <c r="L114" i="19"/>
  <c r="L115" i="19"/>
  <c r="K115" i="19" s="1"/>
  <c r="L119" i="19"/>
  <c r="L120" i="19"/>
  <c r="L125" i="19"/>
  <c r="K125" i="19" s="1"/>
  <c r="L127" i="19"/>
  <c r="L128" i="19"/>
  <c r="L129" i="19"/>
  <c r="L130" i="19"/>
  <c r="L131" i="19"/>
  <c r="K131" i="19" s="1"/>
  <c r="L132" i="19"/>
  <c r="K132" i="19" s="1"/>
  <c r="L133" i="19"/>
  <c r="K133" i="19" s="1"/>
  <c r="L134" i="19"/>
  <c r="L140" i="19"/>
  <c r="L141" i="19"/>
  <c r="K141" i="19" s="1"/>
  <c r="L142" i="19"/>
  <c r="L143" i="19"/>
  <c r="L144" i="19"/>
  <c r="K144" i="19" s="1"/>
  <c r="L145" i="19"/>
  <c r="K145" i="19" s="1"/>
  <c r="L146" i="19"/>
  <c r="L153" i="19"/>
  <c r="K153" i="19" s="1"/>
  <c r="L159" i="19"/>
  <c r="K159" i="19" s="1"/>
  <c r="L160" i="19"/>
  <c r="K160" i="19" s="1"/>
  <c r="L161" i="19"/>
  <c r="K161" i="19" s="1"/>
  <c r="L163" i="19"/>
  <c r="K163" i="19" s="1"/>
  <c r="L164" i="19"/>
  <c r="L165" i="19"/>
  <c r="L166" i="19"/>
  <c r="L167" i="19"/>
  <c r="K167" i="19" s="1"/>
  <c r="L168" i="19"/>
  <c r="K168" i="19" s="1"/>
  <c r="L169" i="19"/>
  <c r="K169" i="19" s="1"/>
  <c r="L173" i="19"/>
  <c r="L174" i="19"/>
  <c r="L175" i="19"/>
  <c r="L176" i="19"/>
  <c r="L177" i="19"/>
  <c r="K177" i="19" s="1"/>
  <c r="L178" i="19"/>
  <c r="K178" i="19" s="1"/>
  <c r="L182" i="19"/>
  <c r="L183" i="19"/>
  <c r="L184" i="19"/>
  <c r="L185" i="19"/>
  <c r="I48" i="5"/>
  <c r="I12" i="5"/>
  <c r="L13" i="1"/>
  <c r="L14" i="1"/>
  <c r="I14" i="5" s="1"/>
  <c r="L15" i="1"/>
  <c r="L16" i="1"/>
  <c r="L17" i="1"/>
  <c r="N17" i="18" s="1"/>
  <c r="L18" i="1"/>
  <c r="I18" i="5" s="1"/>
  <c r="L20" i="1"/>
  <c r="N20" i="18" s="1"/>
  <c r="L21" i="1"/>
  <c r="L22" i="1"/>
  <c r="L23" i="1"/>
  <c r="L25" i="1"/>
  <c r="I25" i="5" s="1"/>
  <c r="L26" i="1"/>
  <c r="I26" i="5" s="1"/>
  <c r="L28" i="1"/>
  <c r="N28" i="17" s="1"/>
  <c r="L29" i="1"/>
  <c r="L30" i="1"/>
  <c r="I30" i="5" s="1"/>
  <c r="L31" i="1"/>
  <c r="I31" i="5" s="1"/>
  <c r="L33" i="1"/>
  <c r="L34" i="1"/>
  <c r="I34" i="5" s="1"/>
  <c r="L36" i="1"/>
  <c r="N36" i="18" s="1"/>
  <c r="L37" i="1"/>
  <c r="I37" i="5"/>
  <c r="L38" i="1"/>
  <c r="I38" i="5" s="1"/>
  <c r="L39" i="1"/>
  <c r="I39" i="5"/>
  <c r="L40" i="1"/>
  <c r="L41" i="1"/>
  <c r="L42" i="1"/>
  <c r="I42" i="5" s="1"/>
  <c r="L44" i="1"/>
  <c r="I44" i="5" s="1"/>
  <c r="H44" i="5" s="1"/>
  <c r="L45" i="1"/>
  <c r="I45" i="5" s="1"/>
  <c r="L46" i="1"/>
  <c r="L47" i="1"/>
  <c r="I49" i="5"/>
  <c r="I50" i="5"/>
  <c r="I51" i="5"/>
  <c r="I52" i="5"/>
  <c r="I53" i="5"/>
  <c r="I54" i="5"/>
  <c r="I55" i="5"/>
  <c r="L60" i="1"/>
  <c r="L61" i="1"/>
  <c r="I61" i="5" s="1"/>
  <c r="L63" i="1"/>
  <c r="L64" i="1"/>
  <c r="L65" i="1"/>
  <c r="I65" i="5" s="1"/>
  <c r="L66" i="1"/>
  <c r="I66" i="5"/>
  <c r="I67" i="5"/>
  <c r="I68" i="5"/>
  <c r="I69" i="5"/>
  <c r="I70" i="5"/>
  <c r="I71" i="5"/>
  <c r="I72" i="5"/>
  <c r="I76" i="5"/>
  <c r="I77" i="5"/>
  <c r="I78" i="5"/>
  <c r="I79" i="5"/>
  <c r="I80" i="5"/>
  <c r="I81" i="5"/>
  <c r="I82" i="5"/>
  <c r="I83" i="5"/>
  <c r="I84" i="5"/>
  <c r="I85" i="5"/>
  <c r="I86" i="5"/>
  <c r="I87" i="5"/>
  <c r="I88" i="5"/>
  <c r="I89" i="5"/>
  <c r="I90" i="5"/>
  <c r="I91" i="5"/>
  <c r="I92" i="5"/>
  <c r="I93" i="5"/>
  <c r="I94" i="5"/>
  <c r="I95" i="5"/>
  <c r="I96" i="5"/>
  <c r="I97" i="5"/>
  <c r="L101" i="1"/>
  <c r="I101" i="5" s="1"/>
  <c r="L102" i="1"/>
  <c r="I103" i="5"/>
  <c r="I104" i="5"/>
  <c r="I105" i="5"/>
  <c r="I106" i="5"/>
  <c r="L110" i="1"/>
  <c r="L111" i="1"/>
  <c r="L112" i="1"/>
  <c r="I113" i="5"/>
  <c r="I114" i="5"/>
  <c r="I115" i="5"/>
  <c r="I119" i="5"/>
  <c r="I120" i="5"/>
  <c r="I121" i="5"/>
  <c r="I122" i="5"/>
  <c r="I123" i="5"/>
  <c r="I124" i="5"/>
  <c r="I125" i="5"/>
  <c r="I126" i="5"/>
  <c r="I127" i="5"/>
  <c r="I128" i="5"/>
  <c r="I129" i="5"/>
  <c r="I130" i="5"/>
  <c r="I131" i="5"/>
  <c r="I132" i="5"/>
  <c r="I133" i="5"/>
  <c r="I134" i="5"/>
  <c r="I138" i="5"/>
  <c r="I139" i="5"/>
  <c r="I140" i="5"/>
  <c r="I141" i="5"/>
  <c r="I142" i="5"/>
  <c r="I143" i="5"/>
  <c r="I144" i="5"/>
  <c r="I145" i="5"/>
  <c r="I146" i="5"/>
  <c r="I150" i="5"/>
  <c r="I151" i="5"/>
  <c r="I152" i="5"/>
  <c r="I153" i="5"/>
  <c r="I154" i="5"/>
  <c r="I155" i="5"/>
  <c r="I156" i="5"/>
  <c r="I157" i="5"/>
  <c r="I158" i="5"/>
  <c r="I159" i="5"/>
  <c r="I160" i="5"/>
  <c r="I161" i="5"/>
  <c r="I162" i="5"/>
  <c r="I163" i="5"/>
  <c r="I164" i="5"/>
  <c r="I165" i="5"/>
  <c r="I166" i="5"/>
  <c r="I167" i="5"/>
  <c r="I168" i="5"/>
  <c r="I169" i="5"/>
  <c r="L174" i="1"/>
  <c r="I174" i="5" s="1"/>
  <c r="L176" i="1"/>
  <c r="I177" i="5"/>
  <c r="I178" i="5"/>
  <c r="A187" i="5"/>
  <c r="A212" i="5" s="1"/>
  <c r="A212" i="19" s="1"/>
  <c r="A180" i="5"/>
  <c r="A211" i="5" s="1"/>
  <c r="A211" i="19" s="1"/>
  <c r="A171" i="5"/>
  <c r="A210" i="5" s="1"/>
  <c r="A210" i="19" s="1"/>
  <c r="A148" i="5"/>
  <c r="A209" i="5" s="1"/>
  <c r="A136" i="5"/>
  <c r="A208" i="5" s="1"/>
  <c r="A208" i="19" s="1"/>
  <c r="A117" i="5"/>
  <c r="A207" i="5"/>
  <c r="A108" i="5"/>
  <c r="A206" i="5" s="1"/>
  <c r="A99" i="5"/>
  <c r="A205" i="5" s="1"/>
  <c r="A74" i="5"/>
  <c r="A204" i="5"/>
  <c r="A204" i="19" s="1"/>
  <c r="A57" i="5"/>
  <c r="A203" i="5" s="1"/>
  <c r="A203" i="19" s="1"/>
  <c r="A10" i="5"/>
  <c r="A202" i="5" s="1"/>
  <c r="N12" i="18"/>
  <c r="N48" i="18"/>
  <c r="M48" i="18" s="1"/>
  <c r="N14" i="18"/>
  <c r="N18" i="18"/>
  <c r="N25" i="18"/>
  <c r="M25" i="18" s="1"/>
  <c r="N26" i="18"/>
  <c r="N31" i="18"/>
  <c r="N34" i="18"/>
  <c r="N37" i="18"/>
  <c r="M37" i="18" s="1"/>
  <c r="N38" i="18"/>
  <c r="M38" i="18" s="1"/>
  <c r="N39" i="18"/>
  <c r="M39" i="18" s="1"/>
  <c r="N42" i="18"/>
  <c r="N49" i="18"/>
  <c r="N50" i="18"/>
  <c r="N51" i="18"/>
  <c r="M51" i="18" s="1"/>
  <c r="N52" i="18"/>
  <c r="N53" i="18"/>
  <c r="N54" i="18"/>
  <c r="N55" i="18"/>
  <c r="N61" i="18"/>
  <c r="N65" i="18"/>
  <c r="N66" i="18"/>
  <c r="N67" i="18"/>
  <c r="N68" i="18"/>
  <c r="N69" i="18"/>
  <c r="N70" i="18"/>
  <c r="N71" i="18"/>
  <c r="N72" i="18"/>
  <c r="N76" i="18"/>
  <c r="N77" i="18"/>
  <c r="N78" i="18"/>
  <c r="N79" i="18"/>
  <c r="N80" i="18"/>
  <c r="N81" i="18"/>
  <c r="N82" i="18"/>
  <c r="N83" i="18"/>
  <c r="N84" i="18"/>
  <c r="N85" i="18"/>
  <c r="M85" i="18" s="1"/>
  <c r="N86" i="18"/>
  <c r="N87" i="18"/>
  <c r="N88" i="18"/>
  <c r="N89" i="18"/>
  <c r="N90" i="18"/>
  <c r="N91" i="18"/>
  <c r="N92" i="18"/>
  <c r="N93" i="18"/>
  <c r="M93" i="18" s="1"/>
  <c r="N94" i="18"/>
  <c r="N95" i="18"/>
  <c r="N96" i="18"/>
  <c r="N97" i="18"/>
  <c r="N101" i="18"/>
  <c r="N103" i="18"/>
  <c r="N104" i="18"/>
  <c r="M104" i="18" s="1"/>
  <c r="N105" i="18"/>
  <c r="N106" i="18"/>
  <c r="N113" i="18"/>
  <c r="N114" i="18"/>
  <c r="M114" i="18" s="1"/>
  <c r="N115" i="18"/>
  <c r="N119" i="18"/>
  <c r="N120" i="18"/>
  <c r="N121" i="18"/>
  <c r="N122" i="18"/>
  <c r="N123" i="18"/>
  <c r="N124" i="18"/>
  <c r="N125" i="18"/>
  <c r="M125" i="18" s="1"/>
  <c r="N126" i="18"/>
  <c r="N127" i="18"/>
  <c r="N128" i="18"/>
  <c r="N129" i="18"/>
  <c r="N130" i="18"/>
  <c r="N131" i="18"/>
  <c r="N132" i="18"/>
  <c r="N133" i="18"/>
  <c r="M133" i="18" s="1"/>
  <c r="N134" i="18"/>
  <c r="N138" i="18"/>
  <c r="N139" i="18"/>
  <c r="N140" i="18"/>
  <c r="N141" i="18"/>
  <c r="N142" i="18"/>
  <c r="N143" i="18"/>
  <c r="N144" i="18"/>
  <c r="N145" i="18"/>
  <c r="N146" i="18"/>
  <c r="N150" i="18"/>
  <c r="N151" i="18"/>
  <c r="N152" i="18"/>
  <c r="N153" i="18"/>
  <c r="N154" i="18"/>
  <c r="N155" i="18"/>
  <c r="N156" i="18"/>
  <c r="N157" i="18"/>
  <c r="N158" i="18"/>
  <c r="M158" i="18" s="1"/>
  <c r="N159" i="18"/>
  <c r="N160" i="18"/>
  <c r="N161" i="18"/>
  <c r="N162" i="18"/>
  <c r="N163" i="18"/>
  <c r="N164" i="18"/>
  <c r="N165" i="18"/>
  <c r="N166" i="18"/>
  <c r="M166" i="18" s="1"/>
  <c r="N167" i="18"/>
  <c r="N168" i="18"/>
  <c r="N169" i="18"/>
  <c r="N174" i="18"/>
  <c r="M174" i="18" s="1"/>
  <c r="N177" i="18"/>
  <c r="M177" i="18" s="1"/>
  <c r="N178" i="18"/>
  <c r="H196" i="19"/>
  <c r="H195" i="19"/>
  <c r="H194" i="19"/>
  <c r="H193" i="19"/>
  <c r="H192" i="19"/>
  <c r="H191" i="19"/>
  <c r="H190" i="19"/>
  <c r="H189" i="19"/>
  <c r="H185" i="19"/>
  <c r="H184" i="19"/>
  <c r="H183" i="19"/>
  <c r="H182" i="19"/>
  <c r="H178" i="19"/>
  <c r="H177" i="19"/>
  <c r="H176" i="19"/>
  <c r="H175" i="19"/>
  <c r="H174" i="19"/>
  <c r="P174" i="19" s="1"/>
  <c r="O174" i="19" s="1"/>
  <c r="H173" i="19"/>
  <c r="H169" i="19"/>
  <c r="H168" i="19"/>
  <c r="H167" i="19"/>
  <c r="H166" i="19"/>
  <c r="H165" i="19"/>
  <c r="H164" i="19"/>
  <c r="H163" i="19"/>
  <c r="H162" i="19"/>
  <c r="P162" i="19" s="1"/>
  <c r="O162" i="19" s="1"/>
  <c r="H161" i="19"/>
  <c r="H160" i="19"/>
  <c r="P160" i="19" s="1"/>
  <c r="H159" i="19"/>
  <c r="H158" i="19"/>
  <c r="H157" i="19"/>
  <c r="H156" i="19"/>
  <c r="H155" i="19"/>
  <c r="P155" i="19" s="1"/>
  <c r="O155" i="19" s="1"/>
  <c r="H154" i="19"/>
  <c r="P154" i="19" s="1"/>
  <c r="O154" i="19" s="1"/>
  <c r="H153" i="19"/>
  <c r="H152" i="19"/>
  <c r="P152" i="19" s="1"/>
  <c r="H151" i="19"/>
  <c r="H150" i="19"/>
  <c r="H146" i="19"/>
  <c r="H145" i="19"/>
  <c r="H144" i="19"/>
  <c r="H143" i="19"/>
  <c r="H142" i="19"/>
  <c r="H141" i="19"/>
  <c r="H140" i="19"/>
  <c r="H139" i="19"/>
  <c r="H138" i="19"/>
  <c r="H134" i="19"/>
  <c r="H133" i="19"/>
  <c r="H132" i="19"/>
  <c r="H131" i="19"/>
  <c r="H130" i="19"/>
  <c r="H129" i="19"/>
  <c r="H128" i="19"/>
  <c r="H127" i="19"/>
  <c r="H126" i="19"/>
  <c r="H125" i="19"/>
  <c r="P125" i="19" s="1"/>
  <c r="O125" i="19" s="1"/>
  <c r="H124" i="19"/>
  <c r="P124" i="19" s="1"/>
  <c r="O124" i="19" s="1"/>
  <c r="H123" i="19"/>
  <c r="H122" i="19"/>
  <c r="P122" i="19" s="1"/>
  <c r="H121" i="19"/>
  <c r="H120" i="19"/>
  <c r="H119" i="19"/>
  <c r="H115" i="19"/>
  <c r="H114" i="19"/>
  <c r="H113" i="19"/>
  <c r="H112" i="19"/>
  <c r="H111" i="19"/>
  <c r="H110" i="19"/>
  <c r="H106" i="19"/>
  <c r="H105" i="19"/>
  <c r="H104" i="19"/>
  <c r="H103" i="19"/>
  <c r="H102" i="19"/>
  <c r="H101" i="19"/>
  <c r="H97" i="19"/>
  <c r="H96" i="19"/>
  <c r="H95" i="19"/>
  <c r="H94" i="19"/>
  <c r="H93" i="19"/>
  <c r="H92" i="19"/>
  <c r="H91" i="19"/>
  <c r="H90" i="19"/>
  <c r="H89" i="19"/>
  <c r="H88" i="19"/>
  <c r="H87" i="19"/>
  <c r="H86" i="19"/>
  <c r="H85" i="19"/>
  <c r="H84" i="19"/>
  <c r="P84" i="19" s="1"/>
  <c r="O84" i="19" s="1"/>
  <c r="H83" i="19"/>
  <c r="P83" i="19" s="1"/>
  <c r="O83" i="19" s="1"/>
  <c r="H82" i="19"/>
  <c r="H81" i="19"/>
  <c r="H80" i="19"/>
  <c r="H79" i="19"/>
  <c r="H78" i="19"/>
  <c r="H77" i="19"/>
  <c r="H76" i="19"/>
  <c r="P76" i="19" s="1"/>
  <c r="H72" i="19"/>
  <c r="H71" i="19"/>
  <c r="H70" i="19"/>
  <c r="H69" i="19"/>
  <c r="H68" i="19"/>
  <c r="H67" i="19"/>
  <c r="H66" i="19"/>
  <c r="H65" i="19"/>
  <c r="P65" i="19" s="1"/>
  <c r="O65" i="19" s="1"/>
  <c r="H64" i="19"/>
  <c r="H63" i="19"/>
  <c r="H62" i="19"/>
  <c r="H61" i="19"/>
  <c r="H60" i="19"/>
  <c r="H59" i="19"/>
  <c r="H55" i="19"/>
  <c r="H54" i="19"/>
  <c r="H53" i="19"/>
  <c r="H52" i="19"/>
  <c r="H51" i="19"/>
  <c r="H50" i="19"/>
  <c r="H49" i="19"/>
  <c r="H48" i="19"/>
  <c r="H47" i="19"/>
  <c r="H46" i="19"/>
  <c r="P46" i="19" s="1"/>
  <c r="O46" i="19" s="1"/>
  <c r="H45" i="19"/>
  <c r="P45" i="19" s="1"/>
  <c r="O45" i="19" s="1"/>
  <c r="H44" i="19"/>
  <c r="H43" i="19"/>
  <c r="H42" i="19"/>
  <c r="H41" i="19"/>
  <c r="H40" i="19"/>
  <c r="H39" i="19"/>
  <c r="H38" i="19"/>
  <c r="P38" i="19" s="1"/>
  <c r="O38" i="19" s="1"/>
  <c r="H37" i="19"/>
  <c r="P37" i="19" s="1"/>
  <c r="O37" i="19" s="1"/>
  <c r="H36" i="19"/>
  <c r="H35" i="19"/>
  <c r="H34" i="19"/>
  <c r="H33" i="19"/>
  <c r="H32" i="19"/>
  <c r="H31" i="19"/>
  <c r="P31" i="19" s="1"/>
  <c r="O31" i="19" s="1"/>
  <c r="H30" i="19"/>
  <c r="P30" i="19" s="1"/>
  <c r="O30" i="19" s="1"/>
  <c r="H29" i="19"/>
  <c r="P29" i="19" s="1"/>
  <c r="O29" i="19" s="1"/>
  <c r="H28" i="19"/>
  <c r="P28" i="19" s="1"/>
  <c r="O28" i="19" s="1"/>
  <c r="H27" i="19"/>
  <c r="H26" i="19"/>
  <c r="H25" i="19"/>
  <c r="H24" i="19"/>
  <c r="H23" i="19"/>
  <c r="H22" i="19"/>
  <c r="P22" i="19" s="1"/>
  <c r="O22" i="19" s="1"/>
  <c r="H21" i="19"/>
  <c r="P21" i="19" s="1"/>
  <c r="H20" i="19"/>
  <c r="H19" i="19"/>
  <c r="H18" i="19"/>
  <c r="H17" i="19"/>
  <c r="H16" i="19"/>
  <c r="H15" i="19"/>
  <c r="H14" i="19"/>
  <c r="P14" i="19" s="1"/>
  <c r="O14" i="19" s="1"/>
  <c r="H13" i="19"/>
  <c r="H12" i="19"/>
  <c r="P12" i="19" s="1"/>
  <c r="O12" i="19" s="1"/>
  <c r="A2" i="19"/>
  <c r="A3" i="19"/>
  <c r="A10" i="19"/>
  <c r="B10" i="19"/>
  <c r="A12" i="19"/>
  <c r="B12" i="19"/>
  <c r="I12" i="19"/>
  <c r="K12" i="19"/>
  <c r="N12" i="19"/>
  <c r="M12" i="19" s="1"/>
  <c r="A13" i="19"/>
  <c r="B13" i="19"/>
  <c r="K13" i="19"/>
  <c r="A14" i="19"/>
  <c r="B14" i="19"/>
  <c r="N14" i="19"/>
  <c r="M14" i="19" s="1"/>
  <c r="A15" i="19"/>
  <c r="B15" i="19"/>
  <c r="I15" i="19"/>
  <c r="N15" i="19"/>
  <c r="M15" i="19" s="1"/>
  <c r="A16" i="19"/>
  <c r="B16" i="19"/>
  <c r="I16" i="19"/>
  <c r="K16" i="19"/>
  <c r="A17" i="19"/>
  <c r="B17" i="19"/>
  <c r="I17" i="19"/>
  <c r="K17" i="19"/>
  <c r="N17" i="19"/>
  <c r="M17" i="19" s="1"/>
  <c r="A18" i="19"/>
  <c r="B18" i="19"/>
  <c r="K18" i="19"/>
  <c r="N18" i="19"/>
  <c r="M18" i="19" s="1"/>
  <c r="P18" i="19"/>
  <c r="O18" i="19" s="1"/>
  <c r="A19" i="19"/>
  <c r="B19" i="19"/>
  <c r="I19" i="19"/>
  <c r="K19" i="19"/>
  <c r="A20" i="19"/>
  <c r="B20" i="19"/>
  <c r="I20" i="19"/>
  <c r="K20" i="19"/>
  <c r="N20" i="19"/>
  <c r="M20" i="19" s="1"/>
  <c r="A21" i="19"/>
  <c r="B21" i="19"/>
  <c r="O21" i="19"/>
  <c r="A22" i="19"/>
  <c r="B22" i="19"/>
  <c r="A23" i="19"/>
  <c r="B23" i="19"/>
  <c r="I23" i="19"/>
  <c r="K23" i="19"/>
  <c r="A24" i="19"/>
  <c r="B24" i="19"/>
  <c r="I24" i="19"/>
  <c r="K24" i="19"/>
  <c r="A25" i="19"/>
  <c r="B25" i="19"/>
  <c r="I25" i="19"/>
  <c r="K25" i="19"/>
  <c r="N25" i="19"/>
  <c r="M25" i="19" s="1"/>
  <c r="P25" i="19"/>
  <c r="O25" i="19" s="1"/>
  <c r="A26" i="19"/>
  <c r="B26" i="19"/>
  <c r="K26" i="19"/>
  <c r="N26" i="19"/>
  <c r="M26" i="19"/>
  <c r="P26" i="19"/>
  <c r="O26" i="19" s="1"/>
  <c r="A27" i="19"/>
  <c r="B27" i="19"/>
  <c r="I27" i="19"/>
  <c r="K27" i="19"/>
  <c r="A28" i="19"/>
  <c r="B28" i="19"/>
  <c r="I28" i="19"/>
  <c r="A29" i="19"/>
  <c r="B29" i="19"/>
  <c r="K29" i="19"/>
  <c r="A30" i="19"/>
  <c r="B30" i="19"/>
  <c r="N30" i="19"/>
  <c r="M30" i="19" s="1"/>
  <c r="A31" i="19"/>
  <c r="B31" i="19"/>
  <c r="I31" i="19"/>
  <c r="N31" i="19"/>
  <c r="M31" i="19" s="1"/>
  <c r="A32" i="19"/>
  <c r="B32" i="19"/>
  <c r="I32" i="19"/>
  <c r="K32" i="19"/>
  <c r="A33" i="19"/>
  <c r="B33" i="19"/>
  <c r="I33" i="19"/>
  <c r="K33" i="19"/>
  <c r="A34" i="19"/>
  <c r="B34" i="19"/>
  <c r="K34" i="19"/>
  <c r="N34" i="19"/>
  <c r="M34" i="19"/>
  <c r="P34" i="19"/>
  <c r="O34" i="19" s="1"/>
  <c r="A35" i="19"/>
  <c r="B35" i="19"/>
  <c r="I35" i="19"/>
  <c r="K35" i="19"/>
  <c r="A36" i="19"/>
  <c r="B36" i="19"/>
  <c r="I36" i="19"/>
  <c r="K36" i="19"/>
  <c r="N36" i="19"/>
  <c r="M36" i="19"/>
  <c r="P36" i="19"/>
  <c r="O36" i="19" s="1"/>
  <c r="A37" i="19"/>
  <c r="B37" i="19"/>
  <c r="N37" i="19"/>
  <c r="M37" i="19" s="1"/>
  <c r="A38" i="19"/>
  <c r="B38" i="19"/>
  <c r="N38" i="19"/>
  <c r="M38" i="19"/>
  <c r="A39" i="19"/>
  <c r="B39" i="19"/>
  <c r="I39" i="19"/>
  <c r="N39" i="19"/>
  <c r="M39" i="19" s="1"/>
  <c r="P39" i="19"/>
  <c r="O39" i="19" s="1"/>
  <c r="A40" i="19"/>
  <c r="B40" i="19"/>
  <c r="I40" i="19"/>
  <c r="K40" i="19"/>
  <c r="A41" i="19"/>
  <c r="B41" i="19"/>
  <c r="I41" i="19"/>
  <c r="K41" i="19"/>
  <c r="A42" i="19"/>
  <c r="B42" i="19"/>
  <c r="K42" i="19"/>
  <c r="N42" i="19"/>
  <c r="M42" i="19" s="1"/>
  <c r="P42" i="19"/>
  <c r="O42" i="19" s="1"/>
  <c r="A43" i="19"/>
  <c r="B43" i="19"/>
  <c r="I43" i="19"/>
  <c r="K43" i="19"/>
  <c r="A44" i="19"/>
  <c r="B44" i="19"/>
  <c r="I44" i="19"/>
  <c r="K44" i="19"/>
  <c r="A45" i="19"/>
  <c r="B45" i="19"/>
  <c r="N45" i="19"/>
  <c r="M45" i="19" s="1"/>
  <c r="A46" i="19"/>
  <c r="B46" i="19"/>
  <c r="N46" i="19"/>
  <c r="M46" i="19" s="1"/>
  <c r="A47" i="19"/>
  <c r="B47" i="19"/>
  <c r="I47" i="19"/>
  <c r="A48" i="19"/>
  <c r="B48" i="19"/>
  <c r="I48" i="19"/>
  <c r="K48" i="19"/>
  <c r="N48" i="19"/>
  <c r="M48" i="19"/>
  <c r="P48" i="19"/>
  <c r="O48" i="19" s="1"/>
  <c r="A49" i="19"/>
  <c r="B49" i="19"/>
  <c r="I49" i="19"/>
  <c r="K49" i="19"/>
  <c r="N49" i="19"/>
  <c r="M49" i="19" s="1"/>
  <c r="P49" i="19"/>
  <c r="O49" i="19" s="1"/>
  <c r="A50" i="19"/>
  <c r="B50" i="19"/>
  <c r="K50" i="19"/>
  <c r="N50" i="19"/>
  <c r="M50" i="19" s="1"/>
  <c r="P50" i="19"/>
  <c r="O50" i="19" s="1"/>
  <c r="A51" i="19"/>
  <c r="B51" i="19"/>
  <c r="I51" i="19"/>
  <c r="K51" i="19"/>
  <c r="N51" i="19"/>
  <c r="M51" i="19"/>
  <c r="P51" i="19"/>
  <c r="O51" i="19" s="1"/>
  <c r="A52" i="19"/>
  <c r="B52" i="19"/>
  <c r="I52" i="19"/>
  <c r="K52" i="19"/>
  <c r="N52" i="19"/>
  <c r="M52" i="19"/>
  <c r="P52" i="19"/>
  <c r="O52" i="19" s="1"/>
  <c r="A53" i="19"/>
  <c r="B53" i="19"/>
  <c r="N53" i="19"/>
  <c r="M53" i="19" s="1"/>
  <c r="P53" i="19"/>
  <c r="O53" i="19" s="1"/>
  <c r="A54" i="19"/>
  <c r="B54" i="19"/>
  <c r="K54" i="19"/>
  <c r="N54" i="19"/>
  <c r="M54" i="19"/>
  <c r="P54" i="19"/>
  <c r="O54" i="19" s="1"/>
  <c r="A55" i="19"/>
  <c r="B55" i="19"/>
  <c r="I55" i="19"/>
  <c r="N55" i="19"/>
  <c r="M55" i="19" s="1"/>
  <c r="P55" i="19"/>
  <c r="O55" i="19" s="1"/>
  <c r="A57" i="19"/>
  <c r="B57" i="19"/>
  <c r="A59" i="19"/>
  <c r="B59" i="19"/>
  <c r="I59" i="19"/>
  <c r="A60" i="19"/>
  <c r="B60" i="19"/>
  <c r="I60" i="19"/>
  <c r="K60" i="19"/>
  <c r="N60" i="19"/>
  <c r="M60" i="19" s="1"/>
  <c r="A61" i="19"/>
  <c r="B61" i="19"/>
  <c r="I61" i="19"/>
  <c r="K61" i="19"/>
  <c r="N61" i="19"/>
  <c r="M61" i="19" s="1"/>
  <c r="P61" i="19"/>
  <c r="O61" i="19" s="1"/>
  <c r="A62" i="19"/>
  <c r="B62" i="19"/>
  <c r="K62" i="19"/>
  <c r="A63" i="19"/>
  <c r="B63" i="19"/>
  <c r="I63" i="19"/>
  <c r="K63" i="19"/>
  <c r="A64" i="19"/>
  <c r="B64" i="19"/>
  <c r="K64" i="19"/>
  <c r="A65" i="19"/>
  <c r="B65" i="19"/>
  <c r="K65" i="19"/>
  <c r="N65" i="19"/>
  <c r="M65" i="19" s="1"/>
  <c r="A66" i="19"/>
  <c r="B66" i="19"/>
  <c r="I66" i="19"/>
  <c r="K66" i="19"/>
  <c r="N66" i="19"/>
  <c r="M66" i="19" s="1"/>
  <c r="P66" i="19"/>
  <c r="O66" i="19" s="1"/>
  <c r="A67" i="19"/>
  <c r="B67" i="19"/>
  <c r="I67" i="19"/>
  <c r="N67" i="19"/>
  <c r="M67" i="19" s="1"/>
  <c r="P67" i="19"/>
  <c r="O67" i="19" s="1"/>
  <c r="A68" i="19"/>
  <c r="B68" i="19"/>
  <c r="I68" i="19"/>
  <c r="K68" i="19"/>
  <c r="N68" i="19"/>
  <c r="M68" i="19" s="1"/>
  <c r="P68" i="19"/>
  <c r="O68" i="19"/>
  <c r="A69" i="19"/>
  <c r="B69" i="19"/>
  <c r="I69" i="19"/>
  <c r="K69" i="19"/>
  <c r="N69" i="19"/>
  <c r="M69" i="19" s="1"/>
  <c r="P69" i="19"/>
  <c r="O69" i="19"/>
  <c r="A70" i="19"/>
  <c r="B70" i="19"/>
  <c r="K70" i="19"/>
  <c r="N70" i="19"/>
  <c r="M70" i="19" s="1"/>
  <c r="P70" i="19"/>
  <c r="O70" i="19" s="1"/>
  <c r="A71" i="19"/>
  <c r="B71" i="19"/>
  <c r="I71" i="19"/>
  <c r="K71" i="19"/>
  <c r="N71" i="19"/>
  <c r="M71" i="19" s="1"/>
  <c r="P71" i="19"/>
  <c r="O71" i="19"/>
  <c r="A72" i="19"/>
  <c r="B72" i="19"/>
  <c r="I72" i="19"/>
  <c r="K72" i="19"/>
  <c r="N72" i="19"/>
  <c r="M72" i="19" s="1"/>
  <c r="P72" i="19"/>
  <c r="O72" i="19" s="1"/>
  <c r="A74" i="19"/>
  <c r="B74" i="19"/>
  <c r="A76" i="19"/>
  <c r="B76" i="19"/>
  <c r="I76" i="19"/>
  <c r="N76" i="19"/>
  <c r="M76" i="19" s="1"/>
  <c r="A77" i="19"/>
  <c r="B77" i="19"/>
  <c r="I77" i="19"/>
  <c r="N77" i="19"/>
  <c r="M77" i="19"/>
  <c r="P77" i="19"/>
  <c r="O77" i="19" s="1"/>
  <c r="A78" i="19"/>
  <c r="B78" i="19"/>
  <c r="I78" i="19"/>
  <c r="N78" i="19"/>
  <c r="M78" i="19" s="1"/>
  <c r="P78" i="19"/>
  <c r="O78" i="19" s="1"/>
  <c r="A79" i="19"/>
  <c r="B79" i="19"/>
  <c r="I79" i="19"/>
  <c r="K79" i="19"/>
  <c r="N79" i="19"/>
  <c r="M79" i="19"/>
  <c r="P79" i="19"/>
  <c r="O79" i="19" s="1"/>
  <c r="A80" i="19"/>
  <c r="B80" i="19"/>
  <c r="N80" i="19"/>
  <c r="P80" i="19"/>
  <c r="O80" i="19" s="1"/>
  <c r="A81" i="19"/>
  <c r="B81" i="19"/>
  <c r="I81" i="19"/>
  <c r="N81" i="19"/>
  <c r="M81" i="19" s="1"/>
  <c r="P81" i="19"/>
  <c r="O81" i="19" s="1"/>
  <c r="A82" i="19"/>
  <c r="B82" i="19"/>
  <c r="I82" i="19"/>
  <c r="N82" i="19"/>
  <c r="M82" i="19" s="1"/>
  <c r="P82" i="19"/>
  <c r="O82" i="19" s="1"/>
  <c r="A83" i="19"/>
  <c r="B83" i="19"/>
  <c r="N83" i="19"/>
  <c r="M83" i="19" s="1"/>
  <c r="A84" i="19"/>
  <c r="B84" i="19"/>
  <c r="N84" i="19"/>
  <c r="M84" i="19"/>
  <c r="A85" i="19"/>
  <c r="B85" i="19"/>
  <c r="I85" i="19"/>
  <c r="N85" i="19"/>
  <c r="M85" i="19"/>
  <c r="P85" i="19"/>
  <c r="O85" i="19" s="1"/>
  <c r="A86" i="19"/>
  <c r="B86" i="19"/>
  <c r="I86" i="19"/>
  <c r="N86" i="19"/>
  <c r="M86" i="19" s="1"/>
  <c r="P86" i="19"/>
  <c r="O86" i="19"/>
  <c r="A87" i="19"/>
  <c r="B87" i="19"/>
  <c r="I87" i="19"/>
  <c r="N87" i="19"/>
  <c r="M87" i="19" s="1"/>
  <c r="P87" i="19"/>
  <c r="O87" i="19" s="1"/>
  <c r="A88" i="19"/>
  <c r="B88" i="19"/>
  <c r="N88" i="19"/>
  <c r="M88" i="19" s="1"/>
  <c r="P88" i="19"/>
  <c r="O88" i="19" s="1"/>
  <c r="A89" i="19"/>
  <c r="B89" i="19"/>
  <c r="I89" i="19"/>
  <c r="K89" i="19"/>
  <c r="N89" i="19"/>
  <c r="M89" i="19"/>
  <c r="P89" i="19"/>
  <c r="O89" i="19" s="1"/>
  <c r="A90" i="19"/>
  <c r="B90" i="19"/>
  <c r="I90" i="19"/>
  <c r="K90" i="19"/>
  <c r="N90" i="19"/>
  <c r="M90" i="19" s="1"/>
  <c r="P90" i="19"/>
  <c r="O90" i="19" s="1"/>
  <c r="A91" i="19"/>
  <c r="B91" i="19"/>
  <c r="K91" i="19"/>
  <c r="N91" i="19"/>
  <c r="M91" i="19"/>
  <c r="P91" i="19"/>
  <c r="O91" i="19" s="1"/>
  <c r="A92" i="19"/>
  <c r="B92" i="19"/>
  <c r="K92" i="19"/>
  <c r="N92" i="19"/>
  <c r="M92" i="19"/>
  <c r="P92" i="19"/>
  <c r="O92" i="19" s="1"/>
  <c r="A93" i="19"/>
  <c r="B93" i="19"/>
  <c r="I93" i="19"/>
  <c r="N93" i="19"/>
  <c r="M93" i="19" s="1"/>
  <c r="P93" i="19"/>
  <c r="O93" i="19" s="1"/>
  <c r="A94" i="19"/>
  <c r="B94" i="19"/>
  <c r="I94" i="19"/>
  <c r="N94" i="19"/>
  <c r="M94" i="19"/>
  <c r="P94" i="19"/>
  <c r="O94" i="19" s="1"/>
  <c r="A95" i="19"/>
  <c r="B95" i="19"/>
  <c r="I95" i="19"/>
  <c r="N95" i="19"/>
  <c r="M95" i="19"/>
  <c r="P95" i="19"/>
  <c r="O95" i="19" s="1"/>
  <c r="A96" i="19"/>
  <c r="B96" i="19"/>
  <c r="K96" i="19"/>
  <c r="N96" i="19"/>
  <c r="M96" i="19" s="1"/>
  <c r="P96" i="19"/>
  <c r="O96" i="19" s="1"/>
  <c r="A97" i="19"/>
  <c r="B97" i="19"/>
  <c r="I97" i="19"/>
  <c r="K97" i="19"/>
  <c r="N97" i="19"/>
  <c r="M97" i="19" s="1"/>
  <c r="P97" i="19"/>
  <c r="O97" i="19" s="1"/>
  <c r="A99" i="19"/>
  <c r="B99" i="19"/>
  <c r="A101" i="19"/>
  <c r="B101" i="19"/>
  <c r="I101" i="19"/>
  <c r="K101" i="19"/>
  <c r="N101" i="19"/>
  <c r="P101" i="19"/>
  <c r="O101" i="19"/>
  <c r="A102" i="19"/>
  <c r="B102" i="19"/>
  <c r="I102" i="19"/>
  <c r="K102" i="19"/>
  <c r="N102" i="19"/>
  <c r="M102" i="19" s="1"/>
  <c r="A103" i="19"/>
  <c r="B103" i="19"/>
  <c r="N103" i="19"/>
  <c r="M103" i="19" s="1"/>
  <c r="P103" i="19"/>
  <c r="O103" i="19"/>
  <c r="A104" i="19"/>
  <c r="B104" i="19"/>
  <c r="I104" i="19"/>
  <c r="N104" i="19"/>
  <c r="M104" i="19" s="1"/>
  <c r="P104" i="19"/>
  <c r="O104" i="19"/>
  <c r="A105" i="19"/>
  <c r="B105" i="19"/>
  <c r="I105" i="19"/>
  <c r="N105" i="19"/>
  <c r="M105" i="19" s="1"/>
  <c r="P105" i="19"/>
  <c r="O105" i="19" s="1"/>
  <c r="A106" i="19"/>
  <c r="B106" i="19"/>
  <c r="I106" i="19"/>
  <c r="N106" i="19"/>
  <c r="M106" i="19" s="1"/>
  <c r="P106" i="19"/>
  <c r="O106" i="19"/>
  <c r="A108" i="19"/>
  <c r="B108" i="19"/>
  <c r="A110" i="19"/>
  <c r="B110" i="19"/>
  <c r="I110" i="19"/>
  <c r="K110" i="19"/>
  <c r="A111" i="19"/>
  <c r="B111" i="19"/>
  <c r="I111" i="19"/>
  <c r="K111" i="19"/>
  <c r="A112" i="19"/>
  <c r="B112" i="19"/>
  <c r="K112" i="19"/>
  <c r="P112" i="19"/>
  <c r="O112" i="19" s="1"/>
  <c r="A113" i="19"/>
  <c r="B113" i="19"/>
  <c r="K113" i="19"/>
  <c r="N113" i="19"/>
  <c r="M113" i="19" s="1"/>
  <c r="P113" i="19"/>
  <c r="O113" i="19" s="1"/>
  <c r="A114" i="19"/>
  <c r="B114" i="19"/>
  <c r="I114" i="19"/>
  <c r="K114" i="19"/>
  <c r="N114" i="19"/>
  <c r="M114" i="19" s="1"/>
  <c r="P114" i="19"/>
  <c r="O114" i="19" s="1"/>
  <c r="A115" i="19"/>
  <c r="B115" i="19"/>
  <c r="I115" i="19"/>
  <c r="N115" i="19"/>
  <c r="M115" i="19" s="1"/>
  <c r="P115" i="19"/>
  <c r="O115" i="19" s="1"/>
  <c r="A117" i="19"/>
  <c r="B117" i="19"/>
  <c r="A119" i="19"/>
  <c r="B119" i="19"/>
  <c r="I119" i="19"/>
  <c r="K119" i="19"/>
  <c r="N119" i="19"/>
  <c r="M119" i="19" s="1"/>
  <c r="P119" i="19"/>
  <c r="O119" i="19"/>
  <c r="A120" i="19"/>
  <c r="B120" i="19"/>
  <c r="I120" i="19"/>
  <c r="K120" i="19"/>
  <c r="N120" i="19"/>
  <c r="M120" i="19" s="1"/>
  <c r="P120" i="19"/>
  <c r="O120" i="19" s="1"/>
  <c r="A121" i="19"/>
  <c r="B121" i="19"/>
  <c r="I121" i="19"/>
  <c r="N121" i="19"/>
  <c r="M121" i="19" s="1"/>
  <c r="P121" i="19"/>
  <c r="O121" i="19" s="1"/>
  <c r="A122" i="19"/>
  <c r="B122" i="19"/>
  <c r="I122" i="19"/>
  <c r="N122" i="19"/>
  <c r="M122" i="19" s="1"/>
  <c r="A123" i="19"/>
  <c r="B123" i="19"/>
  <c r="N123" i="19"/>
  <c r="M123" i="19" s="1"/>
  <c r="P123" i="19"/>
  <c r="O123" i="19" s="1"/>
  <c r="A124" i="19"/>
  <c r="B124" i="19"/>
  <c r="N124" i="19"/>
  <c r="M124" i="19" s="1"/>
  <c r="A125" i="19"/>
  <c r="B125" i="19"/>
  <c r="I125" i="19"/>
  <c r="N125" i="19"/>
  <c r="M125" i="19" s="1"/>
  <c r="A126" i="19"/>
  <c r="B126" i="19"/>
  <c r="I126" i="19"/>
  <c r="N126" i="19"/>
  <c r="M126" i="19" s="1"/>
  <c r="P126" i="19"/>
  <c r="O126" i="19"/>
  <c r="A127" i="19"/>
  <c r="B127" i="19"/>
  <c r="I127" i="19"/>
  <c r="K127" i="19"/>
  <c r="N127" i="19"/>
  <c r="M127" i="19" s="1"/>
  <c r="P127" i="19"/>
  <c r="O127" i="19"/>
  <c r="A128" i="19"/>
  <c r="B128" i="19"/>
  <c r="I128" i="19"/>
  <c r="K128" i="19"/>
  <c r="N128" i="19"/>
  <c r="M128" i="19" s="1"/>
  <c r="P128" i="19"/>
  <c r="O128" i="19"/>
  <c r="A129" i="19"/>
  <c r="B129" i="19"/>
  <c r="I129" i="19"/>
  <c r="K129" i="19"/>
  <c r="N129" i="19"/>
  <c r="M129" i="19" s="1"/>
  <c r="P129" i="19"/>
  <c r="O129" i="19"/>
  <c r="A130" i="19"/>
  <c r="B130" i="19"/>
  <c r="I130" i="19"/>
  <c r="K130" i="19"/>
  <c r="N130" i="19"/>
  <c r="M130" i="19" s="1"/>
  <c r="P130" i="19"/>
  <c r="O130" i="19"/>
  <c r="A131" i="19"/>
  <c r="B131" i="19"/>
  <c r="N131" i="19"/>
  <c r="M131" i="19" s="1"/>
  <c r="P131" i="19"/>
  <c r="O131" i="19" s="1"/>
  <c r="A132" i="19"/>
  <c r="B132" i="19"/>
  <c r="N132" i="19"/>
  <c r="M132" i="19" s="1"/>
  <c r="P132" i="19"/>
  <c r="O132" i="19"/>
  <c r="A133" i="19"/>
  <c r="B133" i="19"/>
  <c r="I133" i="19"/>
  <c r="N133" i="19"/>
  <c r="M133" i="19" s="1"/>
  <c r="P133" i="19"/>
  <c r="O133" i="19"/>
  <c r="A134" i="19"/>
  <c r="B134" i="19"/>
  <c r="I134" i="19"/>
  <c r="K134" i="19"/>
  <c r="N134" i="19"/>
  <c r="M134" i="19" s="1"/>
  <c r="P134" i="19"/>
  <c r="O134" i="19" s="1"/>
  <c r="A136" i="19"/>
  <c r="B136" i="19"/>
  <c r="A138" i="19"/>
  <c r="B138" i="19"/>
  <c r="I138" i="19"/>
  <c r="N138" i="19"/>
  <c r="M138" i="19"/>
  <c r="P138" i="19"/>
  <c r="O138" i="19"/>
  <c r="A139" i="19"/>
  <c r="B139" i="19"/>
  <c r="I139" i="19"/>
  <c r="N139" i="19"/>
  <c r="M139" i="19"/>
  <c r="P139" i="19"/>
  <c r="O139" i="19" s="1"/>
  <c r="A140" i="19"/>
  <c r="B140" i="19"/>
  <c r="I140" i="19"/>
  <c r="K140" i="19"/>
  <c r="N140" i="19"/>
  <c r="M140" i="19" s="1"/>
  <c r="P140" i="19"/>
  <c r="O140" i="19" s="1"/>
  <c r="A141" i="19"/>
  <c r="B141" i="19"/>
  <c r="N141" i="19"/>
  <c r="M141" i="19"/>
  <c r="P141" i="19"/>
  <c r="O141" i="19" s="1"/>
  <c r="A142" i="19"/>
  <c r="B142" i="19"/>
  <c r="K142" i="19"/>
  <c r="N142" i="19"/>
  <c r="M142" i="19"/>
  <c r="P142" i="19"/>
  <c r="O142" i="19" s="1"/>
  <c r="A143" i="19"/>
  <c r="B143" i="19"/>
  <c r="K143" i="19"/>
  <c r="N143" i="19"/>
  <c r="M143" i="19" s="1"/>
  <c r="P143" i="19"/>
  <c r="O143" i="19" s="1"/>
  <c r="A144" i="19"/>
  <c r="B144" i="19"/>
  <c r="I144" i="19"/>
  <c r="N144" i="19"/>
  <c r="M144" i="19"/>
  <c r="P144" i="19"/>
  <c r="O144" i="19" s="1"/>
  <c r="A145" i="19"/>
  <c r="B145" i="19"/>
  <c r="I145" i="19"/>
  <c r="N145" i="19"/>
  <c r="M145" i="19" s="1"/>
  <c r="P145" i="19"/>
  <c r="O145" i="19" s="1"/>
  <c r="A146" i="19"/>
  <c r="B146" i="19"/>
  <c r="I146" i="19"/>
  <c r="K146" i="19"/>
  <c r="N146" i="19"/>
  <c r="P146" i="19"/>
  <c r="O146" i="19" s="1"/>
  <c r="A148" i="19"/>
  <c r="B148" i="19"/>
  <c r="A150" i="19"/>
  <c r="B150" i="19"/>
  <c r="I150" i="19"/>
  <c r="N150" i="19"/>
  <c r="P150" i="19"/>
  <c r="O150" i="19" s="1"/>
  <c r="A151" i="19"/>
  <c r="B151" i="19"/>
  <c r="I151" i="19"/>
  <c r="N151" i="19"/>
  <c r="M151" i="19" s="1"/>
  <c r="P151" i="19"/>
  <c r="A152" i="19"/>
  <c r="B152" i="19"/>
  <c r="N152" i="19"/>
  <c r="M152" i="19" s="1"/>
  <c r="O152" i="19"/>
  <c r="A153" i="19"/>
  <c r="B153" i="19"/>
  <c r="I153" i="19"/>
  <c r="N153" i="19"/>
  <c r="M153" i="19" s="1"/>
  <c r="P153" i="19"/>
  <c r="O153" i="19"/>
  <c r="A154" i="19"/>
  <c r="B154" i="19"/>
  <c r="I154" i="19"/>
  <c r="N154" i="19"/>
  <c r="M154" i="19" s="1"/>
  <c r="A155" i="19"/>
  <c r="B155" i="19"/>
  <c r="I155" i="19"/>
  <c r="N155" i="19"/>
  <c r="M155" i="19" s="1"/>
  <c r="A156" i="19"/>
  <c r="B156" i="19"/>
  <c r="I156" i="19"/>
  <c r="N156" i="19"/>
  <c r="M156" i="19" s="1"/>
  <c r="P156" i="19"/>
  <c r="O156" i="19"/>
  <c r="A157" i="19"/>
  <c r="B157" i="19"/>
  <c r="I157" i="19"/>
  <c r="N157" i="19"/>
  <c r="M157" i="19" s="1"/>
  <c r="P157" i="19"/>
  <c r="O157" i="19" s="1"/>
  <c r="A158" i="19"/>
  <c r="B158" i="19"/>
  <c r="I158" i="19"/>
  <c r="N158" i="19"/>
  <c r="M158" i="19" s="1"/>
  <c r="P158" i="19"/>
  <c r="O158" i="19"/>
  <c r="A159" i="19"/>
  <c r="B159" i="19"/>
  <c r="I159" i="19"/>
  <c r="N159" i="19"/>
  <c r="M159" i="19" s="1"/>
  <c r="P159" i="19"/>
  <c r="O159" i="19" s="1"/>
  <c r="A160" i="19"/>
  <c r="B160" i="19"/>
  <c r="N160" i="19"/>
  <c r="M160" i="19"/>
  <c r="O160" i="19"/>
  <c r="A161" i="19"/>
  <c r="B161" i="19"/>
  <c r="N161" i="19"/>
  <c r="M161" i="19" s="1"/>
  <c r="P161" i="19"/>
  <c r="O161" i="19"/>
  <c r="A162" i="19"/>
  <c r="B162" i="19"/>
  <c r="N162" i="19"/>
  <c r="M162" i="19" s="1"/>
  <c r="A163" i="19"/>
  <c r="B163" i="19"/>
  <c r="I163" i="19"/>
  <c r="N163" i="19"/>
  <c r="M163" i="19" s="1"/>
  <c r="P163" i="19"/>
  <c r="O163" i="19"/>
  <c r="A164" i="19"/>
  <c r="B164" i="19"/>
  <c r="I164" i="19"/>
  <c r="K164" i="19"/>
  <c r="N164" i="19"/>
  <c r="M164" i="19" s="1"/>
  <c r="P164" i="19"/>
  <c r="O164" i="19"/>
  <c r="A165" i="19"/>
  <c r="B165" i="19"/>
  <c r="I165" i="19"/>
  <c r="K165" i="19"/>
  <c r="N165" i="19"/>
  <c r="M165" i="19" s="1"/>
  <c r="P165" i="19"/>
  <c r="O165" i="19"/>
  <c r="A166" i="19"/>
  <c r="B166" i="19"/>
  <c r="I166" i="19"/>
  <c r="K166" i="19"/>
  <c r="N166" i="19"/>
  <c r="M166" i="19" s="1"/>
  <c r="P166" i="19"/>
  <c r="O166" i="19" s="1"/>
  <c r="A167" i="19"/>
  <c r="B167" i="19"/>
  <c r="I167" i="19"/>
  <c r="N167" i="19"/>
  <c r="M167" i="19" s="1"/>
  <c r="P167" i="19"/>
  <c r="O167" i="19"/>
  <c r="A168" i="19"/>
  <c r="B168" i="19"/>
  <c r="N168" i="19"/>
  <c r="M168" i="19"/>
  <c r="P168" i="19"/>
  <c r="O168" i="19" s="1"/>
  <c r="A169" i="19"/>
  <c r="B169" i="19"/>
  <c r="N169" i="19"/>
  <c r="M169" i="19"/>
  <c r="P169" i="19"/>
  <c r="O169" i="19" s="1"/>
  <c r="A171" i="19"/>
  <c r="B171" i="19"/>
  <c r="A173" i="19"/>
  <c r="B173" i="19"/>
  <c r="I173" i="19"/>
  <c r="K173" i="19"/>
  <c r="A174" i="19"/>
  <c r="B174" i="19"/>
  <c r="I174" i="19"/>
  <c r="K174" i="19"/>
  <c r="N174" i="19"/>
  <c r="M174" i="19"/>
  <c r="A175" i="19"/>
  <c r="B175" i="19"/>
  <c r="I175" i="19"/>
  <c r="K175" i="19"/>
  <c r="A176" i="19"/>
  <c r="B176" i="19"/>
  <c r="I176" i="19"/>
  <c r="K176" i="19"/>
  <c r="A177" i="19"/>
  <c r="B177" i="19"/>
  <c r="N177" i="19"/>
  <c r="M177" i="19"/>
  <c r="P177" i="19"/>
  <c r="O177" i="19" s="1"/>
  <c r="A178" i="19"/>
  <c r="B178" i="19"/>
  <c r="I178" i="19"/>
  <c r="N178" i="19"/>
  <c r="M178" i="19" s="1"/>
  <c r="P178" i="19"/>
  <c r="O178" i="19" s="1"/>
  <c r="A180" i="19"/>
  <c r="A182" i="19"/>
  <c r="I182" i="19"/>
  <c r="A183" i="19"/>
  <c r="I183" i="19"/>
  <c r="K183" i="19"/>
  <c r="A184" i="19"/>
  <c r="K184" i="19"/>
  <c r="A185" i="19"/>
  <c r="I185" i="19"/>
  <c r="K185" i="19"/>
  <c r="A187" i="19"/>
  <c r="A189" i="19"/>
  <c r="I189" i="19"/>
  <c r="L189" i="19"/>
  <c r="K189" i="19"/>
  <c r="A190" i="19"/>
  <c r="I190" i="19"/>
  <c r="L190" i="19"/>
  <c r="L212" i="19" s="1"/>
  <c r="K212" i="19" s="1"/>
  <c r="K190" i="19"/>
  <c r="A191" i="19"/>
  <c r="I191" i="19"/>
  <c r="L191" i="19"/>
  <c r="K191" i="19"/>
  <c r="A192" i="19"/>
  <c r="I192" i="19"/>
  <c r="L192" i="19"/>
  <c r="K192" i="19"/>
  <c r="A193" i="19"/>
  <c r="I193" i="19"/>
  <c r="L193" i="19"/>
  <c r="K193" i="19"/>
  <c r="A194" i="19"/>
  <c r="L194" i="19"/>
  <c r="K194" i="19"/>
  <c r="A195" i="19"/>
  <c r="L195" i="19"/>
  <c r="K195" i="19"/>
  <c r="A196" i="19"/>
  <c r="I196" i="19"/>
  <c r="L196" i="19"/>
  <c r="K196" i="19"/>
  <c r="A200" i="19"/>
  <c r="A205" i="19"/>
  <c r="A206" i="19"/>
  <c r="A209" i="19"/>
  <c r="A214" i="19"/>
  <c r="N12" i="17"/>
  <c r="N13" i="17"/>
  <c r="M13" i="17" s="1"/>
  <c r="N14" i="17"/>
  <c r="N17" i="17"/>
  <c r="N18" i="17"/>
  <c r="N20" i="17"/>
  <c r="N21" i="17"/>
  <c r="N22" i="17"/>
  <c r="N25" i="17"/>
  <c r="N26" i="17"/>
  <c r="N30" i="17"/>
  <c r="N31" i="17"/>
  <c r="M31" i="17" s="1"/>
  <c r="N34" i="17"/>
  <c r="N36" i="17"/>
  <c r="N37" i="17"/>
  <c r="N38" i="17"/>
  <c r="N39" i="17"/>
  <c r="N42" i="17"/>
  <c r="N45" i="17"/>
  <c r="M45" i="17" s="1"/>
  <c r="N48" i="17"/>
  <c r="N49" i="17"/>
  <c r="N50" i="17"/>
  <c r="N51" i="17"/>
  <c r="N52" i="17"/>
  <c r="N53" i="17"/>
  <c r="N54" i="17"/>
  <c r="N55" i="17"/>
  <c r="N61" i="17"/>
  <c r="N65" i="17"/>
  <c r="N66" i="17"/>
  <c r="N67" i="17"/>
  <c r="M67" i="17" s="1"/>
  <c r="N68" i="17"/>
  <c r="M68" i="17" s="1"/>
  <c r="N69" i="17"/>
  <c r="N70" i="17"/>
  <c r="N71" i="17"/>
  <c r="N72" i="17"/>
  <c r="N101" i="17"/>
  <c r="N103" i="17"/>
  <c r="M103" i="17" s="1"/>
  <c r="N104" i="17"/>
  <c r="N105" i="17"/>
  <c r="N106" i="17"/>
  <c r="N112" i="17"/>
  <c r="N113" i="17"/>
  <c r="N114" i="17"/>
  <c r="N115" i="17"/>
  <c r="M115" i="17" s="1"/>
  <c r="N174" i="17"/>
  <c r="N177" i="17"/>
  <c r="N178" i="17"/>
  <c r="N76" i="17"/>
  <c r="N77" i="17"/>
  <c r="N78" i="17"/>
  <c r="N79" i="17"/>
  <c r="N80" i="17"/>
  <c r="N81" i="17"/>
  <c r="N82" i="17"/>
  <c r="N83" i="17"/>
  <c r="N84" i="17"/>
  <c r="N85" i="17"/>
  <c r="N86" i="17"/>
  <c r="N87" i="17"/>
  <c r="N88" i="17"/>
  <c r="N89" i="17"/>
  <c r="N90" i="17"/>
  <c r="N91" i="17"/>
  <c r="N92" i="17"/>
  <c r="N93" i="17"/>
  <c r="N94" i="17"/>
  <c r="N95" i="17"/>
  <c r="N96" i="17"/>
  <c r="N97" i="17"/>
  <c r="N119" i="17"/>
  <c r="N120" i="17"/>
  <c r="N121" i="17"/>
  <c r="N122" i="17"/>
  <c r="N123" i="17"/>
  <c r="N124" i="17"/>
  <c r="N125" i="17"/>
  <c r="N207" i="17" s="1"/>
  <c r="M207" i="17" s="1"/>
  <c r="N126" i="17"/>
  <c r="N127" i="17"/>
  <c r="N128" i="17"/>
  <c r="N129" i="17"/>
  <c r="N130" i="17"/>
  <c r="N131" i="17"/>
  <c r="N132" i="17"/>
  <c r="N133" i="17"/>
  <c r="N134" i="17"/>
  <c r="N138" i="17"/>
  <c r="N139" i="17"/>
  <c r="N140" i="17"/>
  <c r="N141" i="17"/>
  <c r="N142" i="17"/>
  <c r="N143" i="17"/>
  <c r="N144" i="17"/>
  <c r="N145" i="17"/>
  <c r="N146" i="17"/>
  <c r="N150" i="17"/>
  <c r="N151" i="17"/>
  <c r="N152" i="17"/>
  <c r="N153" i="17"/>
  <c r="N154" i="17"/>
  <c r="N155" i="17"/>
  <c r="N156" i="17"/>
  <c r="N157" i="17"/>
  <c r="N158" i="17"/>
  <c r="N159" i="17"/>
  <c r="N160" i="17"/>
  <c r="N161" i="17"/>
  <c r="N162" i="17"/>
  <c r="N163" i="17"/>
  <c r="N164" i="17"/>
  <c r="N165" i="17"/>
  <c r="N166" i="17"/>
  <c r="N167" i="17"/>
  <c r="N168" i="17"/>
  <c r="N169" i="17"/>
  <c r="K223" i="19"/>
  <c r="A224" i="19"/>
  <c r="K224" i="19"/>
  <c r="K225" i="19"/>
  <c r="H196" i="18"/>
  <c r="H195" i="18"/>
  <c r="H194" i="18"/>
  <c r="H193" i="18"/>
  <c r="H192" i="18"/>
  <c r="H191" i="18"/>
  <c r="H190" i="18"/>
  <c r="H189" i="18"/>
  <c r="H185" i="18"/>
  <c r="H184" i="18"/>
  <c r="H183" i="18"/>
  <c r="H182" i="18"/>
  <c r="H178" i="18"/>
  <c r="H177" i="18"/>
  <c r="H176" i="18"/>
  <c r="H175" i="18"/>
  <c r="H174" i="18"/>
  <c r="H173" i="18"/>
  <c r="H169" i="18"/>
  <c r="H168" i="18"/>
  <c r="H167" i="18"/>
  <c r="H166" i="18"/>
  <c r="H165" i="18"/>
  <c r="H164" i="18"/>
  <c r="H163" i="18"/>
  <c r="H162" i="18"/>
  <c r="P162" i="18" s="1"/>
  <c r="H161" i="18"/>
  <c r="P161" i="18" s="1"/>
  <c r="O161" i="18" s="1"/>
  <c r="H160" i="18"/>
  <c r="H159" i="18"/>
  <c r="H158" i="18"/>
  <c r="H157" i="18"/>
  <c r="P157" i="18" s="1"/>
  <c r="H156" i="18"/>
  <c r="H155" i="18"/>
  <c r="H154" i="18"/>
  <c r="P154" i="18" s="1"/>
  <c r="H153" i="18"/>
  <c r="H152" i="18"/>
  <c r="H151" i="18"/>
  <c r="H150" i="18"/>
  <c r="H146" i="18"/>
  <c r="H145" i="18"/>
  <c r="H144" i="18"/>
  <c r="H143" i="18"/>
  <c r="H142" i="18"/>
  <c r="H141" i="18"/>
  <c r="H140" i="18"/>
  <c r="H139" i="18"/>
  <c r="H138" i="18"/>
  <c r="H134" i="18"/>
  <c r="H133" i="18"/>
  <c r="H132" i="18"/>
  <c r="H131" i="18"/>
  <c r="H130" i="18"/>
  <c r="H129" i="18"/>
  <c r="H128" i="18"/>
  <c r="H127" i="18"/>
  <c r="H126" i="18"/>
  <c r="H125" i="18"/>
  <c r="H124" i="18"/>
  <c r="H123" i="18"/>
  <c r="H122" i="18"/>
  <c r="H121" i="18"/>
  <c r="P121" i="18" s="1"/>
  <c r="O121" i="18" s="1"/>
  <c r="H120" i="18"/>
  <c r="P120" i="18" s="1"/>
  <c r="H119" i="18"/>
  <c r="H115" i="18"/>
  <c r="H114" i="18"/>
  <c r="H113" i="18"/>
  <c r="H112" i="18"/>
  <c r="H111" i="18"/>
  <c r="H110" i="18"/>
  <c r="H106" i="18"/>
  <c r="H105" i="18"/>
  <c r="H104" i="18"/>
  <c r="H103" i="18"/>
  <c r="H102" i="18"/>
  <c r="H101" i="18"/>
  <c r="H97" i="18"/>
  <c r="H96" i="18"/>
  <c r="H95" i="18"/>
  <c r="H94" i="18"/>
  <c r="H93" i="18"/>
  <c r="H92" i="18"/>
  <c r="H91" i="18"/>
  <c r="H90" i="18"/>
  <c r="H89" i="18"/>
  <c r="H88" i="18"/>
  <c r="P88" i="18" s="1"/>
  <c r="O88" i="18" s="1"/>
  <c r="H87" i="18"/>
  <c r="H86" i="18"/>
  <c r="P86" i="18" s="1"/>
  <c r="O86" i="18" s="1"/>
  <c r="H85" i="18"/>
  <c r="H84" i="18"/>
  <c r="P84" i="18" s="1"/>
  <c r="H83" i="18"/>
  <c r="P83" i="18" s="1"/>
  <c r="H82" i="18"/>
  <c r="P82" i="18" s="1"/>
  <c r="O82" i="18" s="1"/>
  <c r="H81" i="18"/>
  <c r="H80" i="18"/>
  <c r="P80" i="18" s="1"/>
  <c r="O80" i="18" s="1"/>
  <c r="H79" i="18"/>
  <c r="H78" i="18"/>
  <c r="H77" i="18"/>
  <c r="H76" i="18"/>
  <c r="P76" i="18" s="1"/>
  <c r="H72" i="18"/>
  <c r="H71" i="18"/>
  <c r="H70" i="18"/>
  <c r="H69" i="18"/>
  <c r="H68" i="18"/>
  <c r="H67" i="18"/>
  <c r="H66" i="18"/>
  <c r="H65" i="18"/>
  <c r="H64" i="18"/>
  <c r="H63" i="18"/>
  <c r="P63" i="18" s="1"/>
  <c r="O63" i="18" s="1"/>
  <c r="H62" i="18"/>
  <c r="H61" i="18"/>
  <c r="P61" i="18" s="1"/>
  <c r="O61" i="18" s="1"/>
  <c r="H60" i="18"/>
  <c r="H59" i="18"/>
  <c r="H55" i="18"/>
  <c r="H54" i="18"/>
  <c r="H53" i="18"/>
  <c r="H52" i="18"/>
  <c r="H51" i="18"/>
  <c r="H50" i="18"/>
  <c r="H49" i="18"/>
  <c r="H48" i="18"/>
  <c r="H47" i="18"/>
  <c r="H46" i="18"/>
  <c r="H45" i="18"/>
  <c r="P45" i="18" s="1"/>
  <c r="H44" i="18"/>
  <c r="H43" i="18"/>
  <c r="H42" i="18"/>
  <c r="P42" i="18" s="1"/>
  <c r="H41" i="18"/>
  <c r="H40" i="18"/>
  <c r="H39" i="18"/>
  <c r="H38" i="18"/>
  <c r="H37" i="18"/>
  <c r="P37" i="18" s="1"/>
  <c r="H36" i="18"/>
  <c r="P36" i="18" s="1"/>
  <c r="O36" i="18" s="1"/>
  <c r="H35" i="18"/>
  <c r="H34" i="18"/>
  <c r="H33" i="18"/>
  <c r="H32" i="18"/>
  <c r="H31" i="18"/>
  <c r="H30" i="18"/>
  <c r="P30" i="18" s="1"/>
  <c r="O30" i="18" s="1"/>
  <c r="H29" i="18"/>
  <c r="P29" i="18" s="1"/>
  <c r="O29" i="18" s="1"/>
  <c r="H28" i="18"/>
  <c r="P28" i="18" s="1"/>
  <c r="O28" i="18" s="1"/>
  <c r="H27" i="18"/>
  <c r="H26" i="18"/>
  <c r="H25" i="18"/>
  <c r="P25" i="18" s="1"/>
  <c r="O25" i="18" s="1"/>
  <c r="H24" i="18"/>
  <c r="H23" i="18"/>
  <c r="H22" i="18"/>
  <c r="H21" i="18"/>
  <c r="P21" i="18" s="1"/>
  <c r="O21" i="18" s="1"/>
  <c r="H20" i="18"/>
  <c r="P20" i="18" s="1"/>
  <c r="O20" i="18" s="1"/>
  <c r="H19" i="18"/>
  <c r="H18" i="18"/>
  <c r="H17" i="18"/>
  <c r="H16" i="18"/>
  <c r="H15" i="18"/>
  <c r="H14" i="18"/>
  <c r="P14" i="18" s="1"/>
  <c r="O14" i="18" s="1"/>
  <c r="H13" i="18"/>
  <c r="H12" i="18"/>
  <c r="P12" i="18" s="1"/>
  <c r="O12" i="18" s="1"/>
  <c r="A2" i="18"/>
  <c r="A3" i="18"/>
  <c r="A10" i="18"/>
  <c r="B10" i="18"/>
  <c r="A12" i="18"/>
  <c r="B12" i="18"/>
  <c r="I12" i="18"/>
  <c r="K12" i="18"/>
  <c r="M12" i="18"/>
  <c r="A13" i="18"/>
  <c r="B13" i="18"/>
  <c r="I13" i="18"/>
  <c r="K13" i="18"/>
  <c r="A14" i="18"/>
  <c r="B14" i="18"/>
  <c r="I14" i="18"/>
  <c r="K14" i="18"/>
  <c r="M14" i="18"/>
  <c r="A15" i="18"/>
  <c r="B15" i="18"/>
  <c r="I15" i="18"/>
  <c r="K15" i="18"/>
  <c r="P15" i="18"/>
  <c r="O15" i="18" s="1"/>
  <c r="A16" i="18"/>
  <c r="B16" i="18"/>
  <c r="A17" i="18"/>
  <c r="B17" i="18"/>
  <c r="I17" i="18"/>
  <c r="K17" i="18"/>
  <c r="M17" i="18"/>
  <c r="A18" i="18"/>
  <c r="B18" i="18"/>
  <c r="I18" i="18"/>
  <c r="K18" i="18"/>
  <c r="M18" i="18"/>
  <c r="P18" i="18"/>
  <c r="O18" i="18" s="1"/>
  <c r="A19" i="18"/>
  <c r="B19" i="18"/>
  <c r="K19" i="18"/>
  <c r="A20" i="18"/>
  <c r="B20" i="18"/>
  <c r="I20" i="18"/>
  <c r="K20" i="18"/>
  <c r="M20" i="18"/>
  <c r="A21" i="18"/>
  <c r="B21" i="18"/>
  <c r="I21" i="18"/>
  <c r="K21" i="18"/>
  <c r="A22" i="18"/>
  <c r="B22" i="18"/>
  <c r="I22" i="18"/>
  <c r="K22" i="18"/>
  <c r="A23" i="18"/>
  <c r="B23" i="18"/>
  <c r="I23" i="18"/>
  <c r="K23" i="18"/>
  <c r="P23" i="18"/>
  <c r="O23" i="18" s="1"/>
  <c r="A24" i="18"/>
  <c r="B24" i="18"/>
  <c r="A25" i="18"/>
  <c r="B25" i="18"/>
  <c r="I25" i="18"/>
  <c r="K25" i="18"/>
  <c r="A26" i="18"/>
  <c r="B26" i="18"/>
  <c r="I26" i="18"/>
  <c r="K26" i="18"/>
  <c r="M26" i="18"/>
  <c r="P26" i="18"/>
  <c r="O26" i="18" s="1"/>
  <c r="A27" i="18"/>
  <c r="B27" i="18"/>
  <c r="I27" i="18"/>
  <c r="K27" i="18"/>
  <c r="A28" i="18"/>
  <c r="B28" i="18"/>
  <c r="I28" i="18"/>
  <c r="K28" i="18"/>
  <c r="A29" i="18"/>
  <c r="B29" i="18"/>
  <c r="I29" i="18"/>
  <c r="K29" i="18"/>
  <c r="A30" i="18"/>
  <c r="B30" i="18"/>
  <c r="I30" i="18"/>
  <c r="K30" i="18"/>
  <c r="A31" i="18"/>
  <c r="B31" i="18"/>
  <c r="I31" i="18"/>
  <c r="K31" i="18"/>
  <c r="M31" i="18"/>
  <c r="P31" i="18"/>
  <c r="O31" i="18"/>
  <c r="A32" i="18"/>
  <c r="B32" i="18"/>
  <c r="I32" i="18"/>
  <c r="K32" i="18"/>
  <c r="A33" i="18"/>
  <c r="B33" i="18"/>
  <c r="I33" i="18"/>
  <c r="K33" i="18"/>
  <c r="A34" i="18"/>
  <c r="B34" i="18"/>
  <c r="I34" i="18"/>
  <c r="K34" i="18"/>
  <c r="M34" i="18"/>
  <c r="P34" i="18"/>
  <c r="O34" i="18" s="1"/>
  <c r="A35" i="18"/>
  <c r="B35" i="18"/>
  <c r="I35" i="18"/>
  <c r="K35" i="18"/>
  <c r="A36" i="18"/>
  <c r="B36" i="18"/>
  <c r="I36" i="18"/>
  <c r="K36" i="18"/>
  <c r="M36" i="18"/>
  <c r="A37" i="18"/>
  <c r="B37" i="18"/>
  <c r="I37" i="18"/>
  <c r="K37" i="18"/>
  <c r="O37" i="18"/>
  <c r="A38" i="18"/>
  <c r="B38" i="18"/>
  <c r="I38" i="18"/>
  <c r="K38" i="18"/>
  <c r="P38" i="18"/>
  <c r="O38" i="18" s="1"/>
  <c r="A39" i="18"/>
  <c r="B39" i="18"/>
  <c r="I39" i="18"/>
  <c r="K39" i="18"/>
  <c r="P39" i="18"/>
  <c r="O39" i="18"/>
  <c r="A40" i="18"/>
  <c r="B40" i="18"/>
  <c r="I40" i="18"/>
  <c r="K40" i="18"/>
  <c r="A41" i="18"/>
  <c r="B41" i="18"/>
  <c r="I41" i="18"/>
  <c r="K41" i="18"/>
  <c r="P41" i="18"/>
  <c r="O41" i="18" s="1"/>
  <c r="A42" i="18"/>
  <c r="B42" i="18"/>
  <c r="I42" i="18"/>
  <c r="K42" i="18"/>
  <c r="M42" i="18"/>
  <c r="O42" i="18"/>
  <c r="A43" i="18"/>
  <c r="B43" i="18"/>
  <c r="I43" i="18"/>
  <c r="K43" i="18"/>
  <c r="A44" i="18"/>
  <c r="B44" i="18"/>
  <c r="I44" i="18"/>
  <c r="K44" i="18"/>
  <c r="A45" i="18"/>
  <c r="B45" i="18"/>
  <c r="I45" i="18"/>
  <c r="K45" i="18"/>
  <c r="O45" i="18"/>
  <c r="A46" i="18"/>
  <c r="B46" i="18"/>
  <c r="I46" i="18"/>
  <c r="K46" i="18"/>
  <c r="A47" i="18"/>
  <c r="B47" i="18"/>
  <c r="I47" i="18"/>
  <c r="K47" i="18"/>
  <c r="P47" i="18"/>
  <c r="O47" i="18" s="1"/>
  <c r="A48" i="18"/>
  <c r="B48" i="18"/>
  <c r="I48" i="18"/>
  <c r="K48" i="18"/>
  <c r="P48" i="18"/>
  <c r="O48" i="18" s="1"/>
  <c r="A49" i="18"/>
  <c r="B49" i="18"/>
  <c r="I49" i="18"/>
  <c r="K49" i="18"/>
  <c r="M49" i="18"/>
  <c r="P49" i="18"/>
  <c r="O49" i="18" s="1"/>
  <c r="A50" i="18"/>
  <c r="B50" i="18"/>
  <c r="I50" i="18"/>
  <c r="K50" i="18"/>
  <c r="M50" i="18"/>
  <c r="P50" i="18"/>
  <c r="O50" i="18" s="1"/>
  <c r="A51" i="18"/>
  <c r="B51" i="18"/>
  <c r="I51" i="18"/>
  <c r="K51" i="18"/>
  <c r="P51" i="18"/>
  <c r="O51" i="18"/>
  <c r="A52" i="18"/>
  <c r="B52" i="18"/>
  <c r="I52" i="18"/>
  <c r="K52" i="18"/>
  <c r="M52" i="18"/>
  <c r="P52" i="18"/>
  <c r="O52" i="18" s="1"/>
  <c r="A53" i="18"/>
  <c r="B53" i="18"/>
  <c r="I53" i="18"/>
  <c r="K53" i="18"/>
  <c r="M53" i="18"/>
  <c r="P53" i="18"/>
  <c r="O53" i="18"/>
  <c r="A54" i="18"/>
  <c r="B54" i="18"/>
  <c r="I54" i="18"/>
  <c r="K54" i="18"/>
  <c r="M54" i="18"/>
  <c r="P54" i="18"/>
  <c r="O54" i="18" s="1"/>
  <c r="A55" i="18"/>
  <c r="B55" i="18"/>
  <c r="I55" i="18"/>
  <c r="K55" i="18"/>
  <c r="M55" i="18"/>
  <c r="P55" i="18"/>
  <c r="O55" i="18" s="1"/>
  <c r="A57" i="18"/>
  <c r="B57" i="18"/>
  <c r="A59" i="18"/>
  <c r="B59" i="18"/>
  <c r="I59" i="18"/>
  <c r="K59" i="18"/>
  <c r="A60" i="18"/>
  <c r="B60" i="18"/>
  <c r="I60" i="18"/>
  <c r="K60" i="18"/>
  <c r="A61" i="18"/>
  <c r="B61" i="18"/>
  <c r="I61" i="18"/>
  <c r="K61" i="18"/>
  <c r="M61" i="18"/>
  <c r="A62" i="18"/>
  <c r="B62" i="18"/>
  <c r="I62" i="18"/>
  <c r="K62" i="18"/>
  <c r="A63" i="18"/>
  <c r="B63" i="18"/>
  <c r="I63" i="18"/>
  <c r="K63" i="18"/>
  <c r="A64" i="18"/>
  <c r="B64" i="18"/>
  <c r="I64" i="18"/>
  <c r="K64" i="18"/>
  <c r="A65" i="18"/>
  <c r="B65" i="18"/>
  <c r="I65" i="18"/>
  <c r="K65" i="18"/>
  <c r="M65" i="18"/>
  <c r="P65" i="18"/>
  <c r="O65" i="18" s="1"/>
  <c r="A66" i="18"/>
  <c r="B66" i="18"/>
  <c r="I66" i="18"/>
  <c r="K66" i="18"/>
  <c r="M66" i="18"/>
  <c r="P66" i="18"/>
  <c r="O66" i="18" s="1"/>
  <c r="A67" i="18"/>
  <c r="B67" i="18"/>
  <c r="I67" i="18"/>
  <c r="K67" i="18"/>
  <c r="M67" i="18"/>
  <c r="P67" i="18"/>
  <c r="O67" i="18" s="1"/>
  <c r="A68" i="18"/>
  <c r="B68" i="18"/>
  <c r="I68" i="18"/>
  <c r="K68" i="18"/>
  <c r="M68" i="18"/>
  <c r="P68" i="18"/>
  <c r="O68" i="18"/>
  <c r="A69" i="18"/>
  <c r="B69" i="18"/>
  <c r="I69" i="18"/>
  <c r="K69" i="18"/>
  <c r="M69" i="18"/>
  <c r="P69" i="18"/>
  <c r="O69" i="18" s="1"/>
  <c r="A70" i="18"/>
  <c r="B70" i="18"/>
  <c r="I70" i="18"/>
  <c r="K70" i="18"/>
  <c r="M70" i="18"/>
  <c r="P70" i="18"/>
  <c r="O70" i="18" s="1"/>
  <c r="A71" i="18"/>
  <c r="B71" i="18"/>
  <c r="I71" i="18"/>
  <c r="K71" i="18"/>
  <c r="M71" i="18"/>
  <c r="P71" i="18"/>
  <c r="O71" i="18"/>
  <c r="A72" i="18"/>
  <c r="B72" i="18"/>
  <c r="I72" i="18"/>
  <c r="K72" i="18"/>
  <c r="M72" i="18"/>
  <c r="P72" i="18"/>
  <c r="O72" i="18" s="1"/>
  <c r="A74" i="18"/>
  <c r="B74" i="18"/>
  <c r="A76" i="18"/>
  <c r="B76" i="18"/>
  <c r="I76" i="18"/>
  <c r="M76" i="18"/>
  <c r="O76" i="18"/>
  <c r="A77" i="18"/>
  <c r="B77" i="18"/>
  <c r="I77" i="18"/>
  <c r="M77" i="18"/>
  <c r="P77" i="18"/>
  <c r="O77" i="18" s="1"/>
  <c r="A78" i="18"/>
  <c r="B78" i="18"/>
  <c r="I78" i="18"/>
  <c r="M78" i="18"/>
  <c r="P78" i="18"/>
  <c r="O78" i="18" s="1"/>
  <c r="A79" i="18"/>
  <c r="B79" i="18"/>
  <c r="I79" i="18"/>
  <c r="M79" i="18"/>
  <c r="P79" i="18"/>
  <c r="O79" i="18"/>
  <c r="A80" i="18"/>
  <c r="B80" i="18"/>
  <c r="I80" i="18"/>
  <c r="M80" i="18"/>
  <c r="A81" i="18"/>
  <c r="B81" i="18"/>
  <c r="I81" i="18"/>
  <c r="M81" i="18"/>
  <c r="P81" i="18"/>
  <c r="O81" i="18" s="1"/>
  <c r="A82" i="18"/>
  <c r="B82" i="18"/>
  <c r="I82" i="18"/>
  <c r="M82" i="18"/>
  <c r="A83" i="18"/>
  <c r="B83" i="18"/>
  <c r="I83" i="18"/>
  <c r="M83" i="18"/>
  <c r="O83" i="18"/>
  <c r="A84" i="18"/>
  <c r="B84" i="18"/>
  <c r="I84" i="18"/>
  <c r="M84" i="18"/>
  <c r="O84" i="18"/>
  <c r="A85" i="18"/>
  <c r="B85" i="18"/>
  <c r="I85" i="18"/>
  <c r="P85" i="18"/>
  <c r="O85" i="18" s="1"/>
  <c r="A86" i="18"/>
  <c r="B86" i="18"/>
  <c r="I86" i="18"/>
  <c r="M86" i="18"/>
  <c r="A87" i="18"/>
  <c r="B87" i="18"/>
  <c r="I87" i="18"/>
  <c r="M87" i="18"/>
  <c r="P87" i="18"/>
  <c r="O87" i="18"/>
  <c r="A88" i="18"/>
  <c r="B88" i="18"/>
  <c r="I88" i="18"/>
  <c r="M88" i="18"/>
  <c r="A89" i="18"/>
  <c r="B89" i="18"/>
  <c r="I89" i="18"/>
  <c r="K89" i="18"/>
  <c r="M89" i="18"/>
  <c r="P89" i="18"/>
  <c r="O89" i="18" s="1"/>
  <c r="A90" i="18"/>
  <c r="B90" i="18"/>
  <c r="I90" i="18"/>
  <c r="K90" i="18"/>
  <c r="M90" i="18"/>
  <c r="P90" i="18"/>
  <c r="O90" i="18" s="1"/>
  <c r="A91" i="18"/>
  <c r="B91" i="18"/>
  <c r="I91" i="18"/>
  <c r="K91" i="18"/>
  <c r="M91" i="18"/>
  <c r="P91" i="18"/>
  <c r="O91" i="18" s="1"/>
  <c r="A92" i="18"/>
  <c r="B92" i="18"/>
  <c r="I92" i="18"/>
  <c r="M92" i="18"/>
  <c r="P92" i="18"/>
  <c r="O92" i="18"/>
  <c r="A93" i="18"/>
  <c r="B93" i="18"/>
  <c r="I93" i="18"/>
  <c r="K93" i="18"/>
  <c r="P93" i="18"/>
  <c r="O93" i="18" s="1"/>
  <c r="A94" i="18"/>
  <c r="B94" i="18"/>
  <c r="I94" i="18"/>
  <c r="K94" i="18"/>
  <c r="M94" i="18"/>
  <c r="P94" i="18"/>
  <c r="O94" i="18" s="1"/>
  <c r="A95" i="18"/>
  <c r="B95" i="18"/>
  <c r="I95" i="18"/>
  <c r="K95" i="18"/>
  <c r="M95" i="18"/>
  <c r="P95" i="18"/>
  <c r="O95" i="18"/>
  <c r="A96" i="18"/>
  <c r="B96" i="18"/>
  <c r="I96" i="18"/>
  <c r="K96" i="18"/>
  <c r="M96" i="18"/>
  <c r="P96" i="18"/>
  <c r="O96" i="18" s="1"/>
  <c r="A97" i="18"/>
  <c r="B97" i="18"/>
  <c r="I97" i="18"/>
  <c r="K97" i="18"/>
  <c r="M97" i="18"/>
  <c r="P97" i="18"/>
  <c r="O97" i="18"/>
  <c r="A99" i="18"/>
  <c r="B99" i="18"/>
  <c r="A101" i="18"/>
  <c r="B101" i="18"/>
  <c r="I101" i="18"/>
  <c r="K101" i="18"/>
  <c r="M101" i="18"/>
  <c r="P101" i="18"/>
  <c r="O101" i="18" s="1"/>
  <c r="A102" i="18"/>
  <c r="B102" i="18"/>
  <c r="I102" i="18"/>
  <c r="K102" i="18"/>
  <c r="A103" i="18"/>
  <c r="B103" i="18"/>
  <c r="I103" i="18"/>
  <c r="K103" i="18"/>
  <c r="M103" i="18"/>
  <c r="P103" i="18"/>
  <c r="O103" i="18" s="1"/>
  <c r="A104" i="18"/>
  <c r="B104" i="18"/>
  <c r="I104" i="18"/>
  <c r="K104" i="18"/>
  <c r="P104" i="18"/>
  <c r="O104" i="18" s="1"/>
  <c r="A105" i="18"/>
  <c r="B105" i="18"/>
  <c r="I105" i="18"/>
  <c r="K105" i="18"/>
  <c r="M105" i="18"/>
  <c r="P105" i="18"/>
  <c r="O105" i="18"/>
  <c r="A106" i="18"/>
  <c r="B106" i="18"/>
  <c r="I106" i="18"/>
  <c r="K106" i="18"/>
  <c r="M106" i="18"/>
  <c r="P106" i="18"/>
  <c r="O106" i="18" s="1"/>
  <c r="A108" i="18"/>
  <c r="B108" i="18"/>
  <c r="A110" i="18"/>
  <c r="B110" i="18"/>
  <c r="I110" i="18"/>
  <c r="K110" i="18"/>
  <c r="P110" i="18"/>
  <c r="O110" i="18" s="1"/>
  <c r="A111" i="18"/>
  <c r="B111" i="18"/>
  <c r="I111" i="18"/>
  <c r="K111" i="18"/>
  <c r="P111" i="18"/>
  <c r="O111" i="18" s="1"/>
  <c r="A112" i="18"/>
  <c r="B112" i="18"/>
  <c r="I112" i="18"/>
  <c r="K112" i="18"/>
  <c r="P112" i="18"/>
  <c r="A113" i="18"/>
  <c r="B113" i="18"/>
  <c r="I113" i="18"/>
  <c r="K113" i="18"/>
  <c r="M113" i="18"/>
  <c r="P113" i="18"/>
  <c r="O113" i="18" s="1"/>
  <c r="A114" i="18"/>
  <c r="B114" i="18"/>
  <c r="I114" i="18"/>
  <c r="K114" i="18"/>
  <c r="P114" i="18"/>
  <c r="O114" i="18" s="1"/>
  <c r="A115" i="18"/>
  <c r="B115" i="18"/>
  <c r="I115" i="18"/>
  <c r="K115" i="18"/>
  <c r="M115" i="18"/>
  <c r="P115" i="18"/>
  <c r="O115" i="18"/>
  <c r="A117" i="18"/>
  <c r="B117" i="18"/>
  <c r="A119" i="18"/>
  <c r="B119" i="18"/>
  <c r="I119" i="18"/>
  <c r="M119" i="18"/>
  <c r="P119" i="18"/>
  <c r="A120" i="18"/>
  <c r="B120" i="18"/>
  <c r="I120" i="18"/>
  <c r="K120" i="18"/>
  <c r="M120" i="18"/>
  <c r="O120" i="18"/>
  <c r="A121" i="18"/>
  <c r="B121" i="18"/>
  <c r="I121" i="18"/>
  <c r="M121" i="18"/>
  <c r="A122" i="18"/>
  <c r="B122" i="18"/>
  <c r="I122" i="18"/>
  <c r="K122" i="18"/>
  <c r="M122" i="18"/>
  <c r="P122" i="18"/>
  <c r="O122" i="18"/>
  <c r="A123" i="18"/>
  <c r="B123" i="18"/>
  <c r="I123" i="18"/>
  <c r="M123" i="18"/>
  <c r="P123" i="18"/>
  <c r="O123" i="18" s="1"/>
  <c r="A124" i="18"/>
  <c r="B124" i="18"/>
  <c r="I124" i="18"/>
  <c r="M124" i="18"/>
  <c r="P124" i="18"/>
  <c r="O124" i="18" s="1"/>
  <c r="A125" i="18"/>
  <c r="B125" i="18"/>
  <c r="I125" i="18"/>
  <c r="K125" i="18"/>
  <c r="P125" i="18"/>
  <c r="O125" i="18" s="1"/>
  <c r="A126" i="18"/>
  <c r="B126" i="18"/>
  <c r="I126" i="18"/>
  <c r="M126" i="18"/>
  <c r="P126" i="18"/>
  <c r="O126" i="18" s="1"/>
  <c r="A127" i="18"/>
  <c r="B127" i="18"/>
  <c r="I127" i="18"/>
  <c r="K127" i="18"/>
  <c r="M127" i="18"/>
  <c r="P127" i="18"/>
  <c r="O127" i="18" s="1"/>
  <c r="A128" i="18"/>
  <c r="B128" i="18"/>
  <c r="I128" i="18"/>
  <c r="K128" i="18"/>
  <c r="M128" i="18"/>
  <c r="P128" i="18"/>
  <c r="O128" i="18" s="1"/>
  <c r="A129" i="18"/>
  <c r="B129" i="18"/>
  <c r="I129" i="18"/>
  <c r="K129" i="18"/>
  <c r="M129" i="18"/>
  <c r="P129" i="18"/>
  <c r="O129" i="18" s="1"/>
  <c r="A130" i="18"/>
  <c r="B130" i="18"/>
  <c r="I130" i="18"/>
  <c r="K130" i="18"/>
  <c r="M130" i="18"/>
  <c r="P130" i="18"/>
  <c r="O130" i="18"/>
  <c r="A131" i="18"/>
  <c r="B131" i="18"/>
  <c r="I131" i="18"/>
  <c r="K131" i="18"/>
  <c r="M131" i="18"/>
  <c r="P131" i="18"/>
  <c r="O131" i="18"/>
  <c r="A132" i="18"/>
  <c r="B132" i="18"/>
  <c r="I132" i="18"/>
  <c r="K132" i="18"/>
  <c r="M132" i="18"/>
  <c r="P132" i="18"/>
  <c r="O132" i="18" s="1"/>
  <c r="A133" i="18"/>
  <c r="B133" i="18"/>
  <c r="I133" i="18"/>
  <c r="K133" i="18"/>
  <c r="P133" i="18"/>
  <c r="O133" i="18" s="1"/>
  <c r="A134" i="18"/>
  <c r="B134" i="18"/>
  <c r="I134" i="18"/>
  <c r="K134" i="18"/>
  <c r="M134" i="18"/>
  <c r="P134" i="18"/>
  <c r="O134" i="18" s="1"/>
  <c r="A136" i="18"/>
  <c r="B136" i="18"/>
  <c r="A138" i="18"/>
  <c r="B138" i="18"/>
  <c r="M138" i="18"/>
  <c r="P138" i="18"/>
  <c r="O138" i="18" s="1"/>
  <c r="A139" i="18"/>
  <c r="B139" i="18"/>
  <c r="I139" i="18"/>
  <c r="M139" i="18"/>
  <c r="P139" i="18"/>
  <c r="O139" i="18" s="1"/>
  <c r="A140" i="18"/>
  <c r="B140" i="18"/>
  <c r="I140" i="18"/>
  <c r="K140" i="18"/>
  <c r="P140" i="18"/>
  <c r="O140" i="18" s="1"/>
  <c r="A141" i="18"/>
  <c r="B141" i="18"/>
  <c r="I141" i="18"/>
  <c r="K141" i="18"/>
  <c r="M141" i="18"/>
  <c r="P141" i="18"/>
  <c r="O141" i="18"/>
  <c r="A142" i="18"/>
  <c r="B142" i="18"/>
  <c r="I142" i="18"/>
  <c r="K142" i="18"/>
  <c r="M142" i="18"/>
  <c r="P142" i="18"/>
  <c r="O142" i="18" s="1"/>
  <c r="A143" i="18"/>
  <c r="B143" i="18"/>
  <c r="I143" i="18"/>
  <c r="K143" i="18"/>
  <c r="M143" i="18"/>
  <c r="P143" i="18"/>
  <c r="O143" i="18" s="1"/>
  <c r="A144" i="18"/>
  <c r="B144" i="18"/>
  <c r="I144" i="18"/>
  <c r="K144" i="18"/>
  <c r="M144" i="18"/>
  <c r="P144" i="18"/>
  <c r="O144" i="18" s="1"/>
  <c r="A145" i="18"/>
  <c r="B145" i="18"/>
  <c r="I145" i="18"/>
  <c r="K145" i="18"/>
  <c r="M145" i="18"/>
  <c r="P145" i="18"/>
  <c r="O145" i="18" s="1"/>
  <c r="A146" i="18"/>
  <c r="B146" i="18"/>
  <c r="K146" i="18"/>
  <c r="M146" i="18"/>
  <c r="P146" i="18"/>
  <c r="O146" i="18"/>
  <c r="A148" i="18"/>
  <c r="B148" i="18"/>
  <c r="A150" i="18"/>
  <c r="B150" i="18"/>
  <c r="I150" i="18"/>
  <c r="P150" i="18"/>
  <c r="O150" i="18" s="1"/>
  <c r="A151" i="18"/>
  <c r="B151" i="18"/>
  <c r="I151" i="18"/>
  <c r="M151" i="18"/>
  <c r="P151" i="18"/>
  <c r="O151" i="18" s="1"/>
  <c r="A152" i="18"/>
  <c r="B152" i="18"/>
  <c r="I152" i="18"/>
  <c r="M152" i="18"/>
  <c r="P152" i="18"/>
  <c r="O152" i="18" s="1"/>
  <c r="A153" i="18"/>
  <c r="B153" i="18"/>
  <c r="I153" i="18"/>
  <c r="K153" i="18"/>
  <c r="M153" i="18"/>
  <c r="P153" i="18"/>
  <c r="O153" i="18" s="1"/>
  <c r="A154" i="18"/>
  <c r="B154" i="18"/>
  <c r="I154" i="18"/>
  <c r="M154" i="18"/>
  <c r="O154" i="18"/>
  <c r="A155" i="18"/>
  <c r="B155" i="18"/>
  <c r="I155" i="18"/>
  <c r="M155" i="18"/>
  <c r="P155" i="18"/>
  <c r="O155" i="18" s="1"/>
  <c r="A156" i="18"/>
  <c r="B156" i="18"/>
  <c r="I156" i="18"/>
  <c r="M156" i="18"/>
  <c r="P156" i="18"/>
  <c r="O156" i="18" s="1"/>
  <c r="A157" i="18"/>
  <c r="B157" i="18"/>
  <c r="I157" i="18"/>
  <c r="M157" i="18"/>
  <c r="O157" i="18"/>
  <c r="A158" i="18"/>
  <c r="B158" i="18"/>
  <c r="I158" i="18"/>
  <c r="P158" i="18"/>
  <c r="O158" i="18" s="1"/>
  <c r="A159" i="18"/>
  <c r="B159" i="18"/>
  <c r="I159" i="18"/>
  <c r="M159" i="18"/>
  <c r="P159" i="18"/>
  <c r="O159" i="18"/>
  <c r="A160" i="18"/>
  <c r="B160" i="18"/>
  <c r="I160" i="18"/>
  <c r="K160" i="18"/>
  <c r="M160" i="18"/>
  <c r="P160" i="18"/>
  <c r="O160" i="18"/>
  <c r="A161" i="18"/>
  <c r="B161" i="18"/>
  <c r="I161" i="18"/>
  <c r="K161" i="18"/>
  <c r="M161" i="18"/>
  <c r="A162" i="18"/>
  <c r="B162" i="18"/>
  <c r="I162" i="18"/>
  <c r="M162" i="18"/>
  <c r="O162" i="18"/>
  <c r="A163" i="18"/>
  <c r="B163" i="18"/>
  <c r="I163" i="18"/>
  <c r="K163" i="18"/>
  <c r="M163" i="18"/>
  <c r="P163" i="18"/>
  <c r="O163" i="18" s="1"/>
  <c r="A164" i="18"/>
  <c r="B164" i="18"/>
  <c r="I164" i="18"/>
  <c r="K164" i="18"/>
  <c r="M164" i="18"/>
  <c r="P164" i="18"/>
  <c r="O164" i="18" s="1"/>
  <c r="A165" i="18"/>
  <c r="B165" i="18"/>
  <c r="I165" i="18"/>
  <c r="K165" i="18"/>
  <c r="M165" i="18"/>
  <c r="P165" i="18"/>
  <c r="O165" i="18" s="1"/>
  <c r="A166" i="18"/>
  <c r="B166" i="18"/>
  <c r="I166" i="18"/>
  <c r="P166" i="18"/>
  <c r="O166" i="18" s="1"/>
  <c r="A167" i="18"/>
  <c r="B167" i="18"/>
  <c r="I167" i="18"/>
  <c r="K167" i="18"/>
  <c r="M167" i="18"/>
  <c r="P167" i="18"/>
  <c r="O167" i="18" s="1"/>
  <c r="A168" i="18"/>
  <c r="B168" i="18"/>
  <c r="I168" i="18"/>
  <c r="K168" i="18"/>
  <c r="M168" i="18"/>
  <c r="P168" i="18"/>
  <c r="O168" i="18"/>
  <c r="A169" i="18"/>
  <c r="B169" i="18"/>
  <c r="I169" i="18"/>
  <c r="K169" i="18"/>
  <c r="M169" i="18"/>
  <c r="P169" i="18"/>
  <c r="O169" i="18"/>
  <c r="A171" i="18"/>
  <c r="B171" i="18"/>
  <c r="A173" i="18"/>
  <c r="B173" i="18"/>
  <c r="I173" i="18"/>
  <c r="K173" i="18"/>
  <c r="A174" i="18"/>
  <c r="B174" i="18"/>
  <c r="I174" i="18"/>
  <c r="K174" i="18"/>
  <c r="P174" i="18"/>
  <c r="O174" i="18" s="1"/>
  <c r="A175" i="18"/>
  <c r="B175" i="18"/>
  <c r="I175" i="18"/>
  <c r="K175" i="18"/>
  <c r="A176" i="18"/>
  <c r="B176" i="18"/>
  <c r="I176" i="18"/>
  <c r="K176" i="18"/>
  <c r="A177" i="18"/>
  <c r="B177" i="18"/>
  <c r="I177" i="18"/>
  <c r="P177" i="18"/>
  <c r="O177" i="18" s="1"/>
  <c r="A178" i="18"/>
  <c r="B178" i="18"/>
  <c r="I178" i="18"/>
  <c r="K178" i="18"/>
  <c r="M178" i="18"/>
  <c r="P178" i="18"/>
  <c r="O178" i="18"/>
  <c r="A180" i="18"/>
  <c r="A182" i="18"/>
  <c r="I182" i="18"/>
  <c r="K182" i="18"/>
  <c r="A183" i="18"/>
  <c r="I183" i="18"/>
  <c r="K183" i="18"/>
  <c r="A184" i="18"/>
  <c r="I184" i="18"/>
  <c r="K184" i="18"/>
  <c r="A185" i="18"/>
  <c r="I185" i="18"/>
  <c r="K185" i="18"/>
  <c r="A187" i="18"/>
  <c r="A189" i="18"/>
  <c r="I189" i="18"/>
  <c r="L189" i="18"/>
  <c r="K189" i="18" s="1"/>
  <c r="A190" i="18"/>
  <c r="I190" i="18"/>
  <c r="L190" i="18"/>
  <c r="K190" i="18" s="1"/>
  <c r="A191" i="18"/>
  <c r="I191" i="18"/>
  <c r="L191" i="18"/>
  <c r="K191" i="18" s="1"/>
  <c r="A192" i="18"/>
  <c r="I192" i="18"/>
  <c r="L192" i="18"/>
  <c r="K192" i="18"/>
  <c r="A193" i="18"/>
  <c r="I193" i="18"/>
  <c r="L193" i="18"/>
  <c r="K193" i="18" s="1"/>
  <c r="A194" i="18"/>
  <c r="I194" i="18"/>
  <c r="L194" i="18"/>
  <c r="K194" i="18" s="1"/>
  <c r="A195" i="18"/>
  <c r="I195" i="18"/>
  <c r="L195" i="18"/>
  <c r="K195" i="18" s="1"/>
  <c r="A196" i="18"/>
  <c r="I196" i="18"/>
  <c r="L196" i="18"/>
  <c r="K196" i="18" s="1"/>
  <c r="A200" i="18"/>
  <c r="A204" i="18"/>
  <c r="A205" i="18"/>
  <c r="A206" i="18"/>
  <c r="I206" i="18"/>
  <c r="A208" i="18"/>
  <c r="A209" i="18"/>
  <c r="A210" i="18"/>
  <c r="A211" i="18"/>
  <c r="A212" i="18"/>
  <c r="A214" i="18"/>
  <c r="N12" i="16"/>
  <c r="M12" i="16" s="1"/>
  <c r="N13" i="16"/>
  <c r="M13" i="16" s="1"/>
  <c r="N14" i="16"/>
  <c r="N15" i="16"/>
  <c r="N16" i="16"/>
  <c r="N17" i="16"/>
  <c r="N18" i="16"/>
  <c r="N20" i="16"/>
  <c r="M20" i="16" s="1"/>
  <c r="N21" i="16"/>
  <c r="M21" i="16" s="1"/>
  <c r="N22" i="16"/>
  <c r="M22" i="16" s="1"/>
  <c r="N23" i="16"/>
  <c r="N25" i="16"/>
  <c r="N26" i="16"/>
  <c r="N28" i="16"/>
  <c r="M28" i="16" s="1"/>
  <c r="N29" i="16"/>
  <c r="M29" i="16" s="1"/>
  <c r="N30" i="16"/>
  <c r="N31" i="16"/>
  <c r="N34" i="16"/>
  <c r="N36" i="16"/>
  <c r="M36" i="16" s="1"/>
  <c r="N37" i="16"/>
  <c r="M37" i="16" s="1"/>
  <c r="N38" i="16"/>
  <c r="N39" i="16"/>
  <c r="M39" i="16" s="1"/>
  <c r="N40" i="16"/>
  <c r="N41" i="16"/>
  <c r="N42" i="16"/>
  <c r="N44" i="16"/>
  <c r="M44" i="16" s="1"/>
  <c r="N45" i="16"/>
  <c r="M45" i="16" s="1"/>
  <c r="N46" i="16"/>
  <c r="N47" i="16"/>
  <c r="N48" i="16"/>
  <c r="N49" i="16"/>
  <c r="N50" i="16"/>
  <c r="N51" i="16"/>
  <c r="N52" i="16"/>
  <c r="M52" i="16" s="1"/>
  <c r="N53" i="16"/>
  <c r="M53" i="16" s="1"/>
  <c r="N54" i="16"/>
  <c r="N55" i="16"/>
  <c r="N61" i="16"/>
  <c r="N63" i="16"/>
  <c r="M63" i="16" s="1"/>
  <c r="N64" i="16"/>
  <c r="N65" i="16"/>
  <c r="N66" i="16"/>
  <c r="M66" i="16" s="1"/>
  <c r="N67" i="16"/>
  <c r="M67" i="16" s="1"/>
  <c r="N68" i="16"/>
  <c r="N69" i="16"/>
  <c r="N70" i="16"/>
  <c r="M70" i="16" s="1"/>
  <c r="N71" i="16"/>
  <c r="N72" i="16"/>
  <c r="N101" i="16"/>
  <c r="M101" i="16" s="1"/>
  <c r="N102" i="16"/>
  <c r="N103" i="16"/>
  <c r="M103" i="16" s="1"/>
  <c r="N104" i="16"/>
  <c r="N105" i="16"/>
  <c r="N106" i="16"/>
  <c r="N110" i="16"/>
  <c r="N111" i="16"/>
  <c r="N112" i="16"/>
  <c r="M112" i="16" s="1"/>
  <c r="N113" i="16"/>
  <c r="N114" i="16"/>
  <c r="M114" i="16" s="1"/>
  <c r="N115" i="16"/>
  <c r="N174" i="16"/>
  <c r="N176" i="16"/>
  <c r="M176" i="16" s="1"/>
  <c r="N177" i="16"/>
  <c r="N178" i="16"/>
  <c r="N76" i="16"/>
  <c r="N77" i="16"/>
  <c r="M77" i="16" s="1"/>
  <c r="N78" i="16"/>
  <c r="N79" i="16"/>
  <c r="M79" i="16" s="1"/>
  <c r="N80" i="16"/>
  <c r="M80" i="16" s="1"/>
  <c r="N81" i="16"/>
  <c r="N82" i="16"/>
  <c r="N83" i="16"/>
  <c r="N84" i="16"/>
  <c r="N85" i="16"/>
  <c r="M85" i="16" s="1"/>
  <c r="N86" i="16"/>
  <c r="N87" i="16"/>
  <c r="M87" i="16" s="1"/>
  <c r="N88" i="16"/>
  <c r="M88" i="16" s="1"/>
  <c r="N89" i="16"/>
  <c r="N90" i="16"/>
  <c r="N91" i="16"/>
  <c r="N92" i="16"/>
  <c r="N93" i="16"/>
  <c r="N94" i="16"/>
  <c r="N95" i="16"/>
  <c r="M95" i="16" s="1"/>
  <c r="N96" i="16"/>
  <c r="M96" i="16" s="1"/>
  <c r="N97" i="16"/>
  <c r="N119" i="16"/>
  <c r="N120" i="16"/>
  <c r="N121" i="16"/>
  <c r="N122" i="16"/>
  <c r="M122" i="16" s="1"/>
  <c r="N123" i="16"/>
  <c r="M123" i="16" s="1"/>
  <c r="N124" i="16"/>
  <c r="N125" i="16"/>
  <c r="N126" i="16"/>
  <c r="N127" i="16"/>
  <c r="N128" i="16"/>
  <c r="N129" i="16"/>
  <c r="N130" i="16"/>
  <c r="M130" i="16" s="1"/>
  <c r="N131" i="16"/>
  <c r="M131" i="16" s="1"/>
  <c r="N132" i="16"/>
  <c r="N133" i="16"/>
  <c r="N134" i="16"/>
  <c r="N138" i="16"/>
  <c r="N139" i="16"/>
  <c r="M139" i="16" s="1"/>
  <c r="N140" i="16"/>
  <c r="N141" i="16"/>
  <c r="M141" i="16" s="1"/>
  <c r="N142" i="16"/>
  <c r="M142" i="16" s="1"/>
  <c r="N143" i="16"/>
  <c r="N144" i="16"/>
  <c r="N145" i="16"/>
  <c r="N146" i="16"/>
  <c r="N150" i="16"/>
  <c r="N151" i="16"/>
  <c r="N152" i="16"/>
  <c r="M152" i="16" s="1"/>
  <c r="N153" i="16"/>
  <c r="N154" i="16"/>
  <c r="N155" i="16"/>
  <c r="N156" i="16"/>
  <c r="M156" i="16" s="1"/>
  <c r="N157" i="16"/>
  <c r="N158" i="16"/>
  <c r="N159" i="16"/>
  <c r="N160" i="16"/>
  <c r="M160" i="16" s="1"/>
  <c r="N161" i="16"/>
  <c r="N162" i="16"/>
  <c r="N163" i="16"/>
  <c r="N164" i="16"/>
  <c r="M164" i="16" s="1"/>
  <c r="N165" i="16"/>
  <c r="N166" i="16"/>
  <c r="N167" i="16"/>
  <c r="M167" i="16" s="1"/>
  <c r="N168" i="16"/>
  <c r="M168" i="16" s="1"/>
  <c r="N169" i="16"/>
  <c r="K223" i="18"/>
  <c r="A224" i="18"/>
  <c r="K224" i="18"/>
  <c r="K225" i="18"/>
  <c r="N12" i="11"/>
  <c r="N14" i="11"/>
  <c r="N15" i="11"/>
  <c r="N16" i="11"/>
  <c r="N17" i="11"/>
  <c r="N18" i="11"/>
  <c r="N20" i="11"/>
  <c r="N21" i="11"/>
  <c r="N22" i="11"/>
  <c r="N23" i="11"/>
  <c r="N25" i="11"/>
  <c r="N26" i="11"/>
  <c r="N28" i="11"/>
  <c r="M28" i="11" s="1"/>
  <c r="N29" i="11"/>
  <c r="N30" i="11"/>
  <c r="N31" i="11"/>
  <c r="N34" i="11"/>
  <c r="N36" i="11"/>
  <c r="M36" i="11" s="1"/>
  <c r="N37" i="11"/>
  <c r="N38" i="11"/>
  <c r="N39" i="11"/>
  <c r="N40" i="11"/>
  <c r="N41" i="11"/>
  <c r="N42" i="11"/>
  <c r="N44" i="11"/>
  <c r="M44" i="11" s="1"/>
  <c r="N45" i="11"/>
  <c r="N46" i="11"/>
  <c r="N47" i="11"/>
  <c r="N48" i="11"/>
  <c r="N49" i="11"/>
  <c r="M49" i="11" s="1"/>
  <c r="N50" i="11"/>
  <c r="N51" i="11"/>
  <c r="N52" i="11"/>
  <c r="M52" i="11" s="1"/>
  <c r="N53" i="11"/>
  <c r="N54" i="11"/>
  <c r="N55" i="11"/>
  <c r="N60" i="11"/>
  <c r="N61" i="11"/>
  <c r="N63" i="11"/>
  <c r="N64" i="11"/>
  <c r="N65" i="11"/>
  <c r="N66" i="11"/>
  <c r="N67" i="11"/>
  <c r="N68" i="11"/>
  <c r="N69" i="11"/>
  <c r="N70" i="11"/>
  <c r="N71" i="11"/>
  <c r="N72" i="11"/>
  <c r="N101" i="11"/>
  <c r="N102" i="11"/>
  <c r="M102" i="11" s="1"/>
  <c r="N103" i="11"/>
  <c r="N104" i="11"/>
  <c r="N105" i="11"/>
  <c r="N106" i="11"/>
  <c r="N110" i="11"/>
  <c r="N111" i="11"/>
  <c r="N112" i="11"/>
  <c r="N113" i="11"/>
  <c r="M113" i="11" s="1"/>
  <c r="N114" i="11"/>
  <c r="N115" i="11"/>
  <c r="N174" i="11"/>
  <c r="N176" i="11"/>
  <c r="N177" i="11"/>
  <c r="N178" i="11"/>
  <c r="N76" i="11"/>
  <c r="N77" i="11"/>
  <c r="N78" i="11"/>
  <c r="M78" i="11" s="1"/>
  <c r="N79" i="11"/>
  <c r="N80" i="11"/>
  <c r="N81" i="11"/>
  <c r="N82" i="11"/>
  <c r="N83" i="11"/>
  <c r="N84" i="11"/>
  <c r="N85" i="11"/>
  <c r="N86" i="11"/>
  <c r="M86" i="11" s="1"/>
  <c r="N87" i="11"/>
  <c r="N88" i="11"/>
  <c r="N89" i="11"/>
  <c r="N90" i="11"/>
  <c r="N91" i="11"/>
  <c r="N92" i="11"/>
  <c r="N93" i="11"/>
  <c r="N94" i="11"/>
  <c r="M94" i="11" s="1"/>
  <c r="N95" i="11"/>
  <c r="N96" i="11"/>
  <c r="N97" i="11"/>
  <c r="N119" i="11"/>
  <c r="M119" i="11" s="1"/>
  <c r="N120" i="11"/>
  <c r="N121" i="11"/>
  <c r="N122" i="11"/>
  <c r="N123" i="11"/>
  <c r="N124" i="11"/>
  <c r="M124" i="11" s="1"/>
  <c r="N125" i="11"/>
  <c r="N126" i="11"/>
  <c r="N127" i="11"/>
  <c r="M127" i="11" s="1"/>
  <c r="N128" i="11"/>
  <c r="N129" i="11"/>
  <c r="N130" i="11"/>
  <c r="N131" i="11"/>
  <c r="N132" i="11"/>
  <c r="M132" i="11" s="1"/>
  <c r="N133" i="11"/>
  <c r="M133" i="11" s="1"/>
  <c r="N134" i="11"/>
  <c r="N138" i="11"/>
  <c r="N139" i="11"/>
  <c r="N140" i="11"/>
  <c r="N141" i="11"/>
  <c r="N142" i="11"/>
  <c r="M142" i="11" s="1"/>
  <c r="N143" i="11"/>
  <c r="N144" i="11"/>
  <c r="N145" i="11"/>
  <c r="M145" i="11" s="1"/>
  <c r="N146" i="11"/>
  <c r="N150" i="11"/>
  <c r="N151" i="11"/>
  <c r="N152" i="11"/>
  <c r="M152" i="11" s="1"/>
  <c r="N153" i="11"/>
  <c r="M153" i="11" s="1"/>
  <c r="N154" i="11"/>
  <c r="N155" i="11"/>
  <c r="N156" i="11"/>
  <c r="M156" i="11" s="1"/>
  <c r="N157" i="11"/>
  <c r="N158" i="11"/>
  <c r="N159" i="11"/>
  <c r="N160" i="11"/>
  <c r="M160" i="11" s="1"/>
  <c r="N161" i="11"/>
  <c r="M161" i="11" s="1"/>
  <c r="N162" i="11"/>
  <c r="N163" i="11"/>
  <c r="M163" i="11" s="1"/>
  <c r="N164" i="11"/>
  <c r="M164" i="11" s="1"/>
  <c r="N165" i="11"/>
  <c r="N166" i="11"/>
  <c r="N167" i="11"/>
  <c r="N168" i="11"/>
  <c r="M168" i="11" s="1"/>
  <c r="N169" i="11"/>
  <c r="M169" i="11" s="1"/>
  <c r="H196" i="17"/>
  <c r="H195" i="17"/>
  <c r="H194" i="17"/>
  <c r="H193" i="17"/>
  <c r="H192" i="17"/>
  <c r="H191" i="17"/>
  <c r="H190" i="17"/>
  <c r="H189" i="17"/>
  <c r="H185" i="17"/>
  <c r="H184" i="17"/>
  <c r="H183" i="17"/>
  <c r="H182" i="17"/>
  <c r="H178" i="17"/>
  <c r="H177" i="17"/>
  <c r="H176" i="17"/>
  <c r="P176" i="17" s="1"/>
  <c r="O176" i="17" s="1"/>
  <c r="H175" i="17"/>
  <c r="H174" i="17"/>
  <c r="H173" i="17"/>
  <c r="H169" i="17"/>
  <c r="H168" i="17"/>
  <c r="H167" i="17"/>
  <c r="H166" i="17"/>
  <c r="H165" i="17"/>
  <c r="H164" i="17"/>
  <c r="H163" i="17"/>
  <c r="H162" i="17"/>
  <c r="H161" i="17"/>
  <c r="H160" i="17"/>
  <c r="H159" i="17"/>
  <c r="H158" i="17"/>
  <c r="P158" i="17" s="1"/>
  <c r="O158" i="17" s="1"/>
  <c r="H157" i="17"/>
  <c r="P157" i="17" s="1"/>
  <c r="O157" i="17" s="1"/>
  <c r="H156" i="17"/>
  <c r="H155" i="17"/>
  <c r="H154" i="17"/>
  <c r="H153" i="17"/>
  <c r="H152" i="17"/>
  <c r="H151" i="17"/>
  <c r="H150" i="17"/>
  <c r="P150" i="17" s="1"/>
  <c r="H146" i="17"/>
  <c r="H145" i="17"/>
  <c r="H144" i="17"/>
  <c r="H143" i="17"/>
  <c r="H142" i="17"/>
  <c r="H141" i="17"/>
  <c r="H140" i="17"/>
  <c r="H139" i="17"/>
  <c r="P139" i="17" s="1"/>
  <c r="O139" i="17" s="1"/>
  <c r="H138" i="17"/>
  <c r="P138" i="17" s="1"/>
  <c r="O138" i="17" s="1"/>
  <c r="H134" i="17"/>
  <c r="H133" i="17"/>
  <c r="H132" i="17"/>
  <c r="H131" i="17"/>
  <c r="H130" i="17"/>
  <c r="H129" i="17"/>
  <c r="H128" i="17"/>
  <c r="H127" i="17"/>
  <c r="H126" i="17"/>
  <c r="H125" i="17"/>
  <c r="H124" i="17"/>
  <c r="H123" i="17"/>
  <c r="H122" i="17"/>
  <c r="P122" i="17" s="1"/>
  <c r="O122" i="17" s="1"/>
  <c r="H121" i="17"/>
  <c r="H120" i="17"/>
  <c r="P120" i="17" s="1"/>
  <c r="O120" i="17" s="1"/>
  <c r="H119" i="17"/>
  <c r="P119" i="17" s="1"/>
  <c r="O119" i="17" s="1"/>
  <c r="H115" i="17"/>
  <c r="H114" i="17"/>
  <c r="H113" i="17"/>
  <c r="H112" i="17"/>
  <c r="P112" i="17" s="1"/>
  <c r="H111" i="17"/>
  <c r="H110" i="17"/>
  <c r="H106" i="17"/>
  <c r="H105" i="17"/>
  <c r="H104" i="17"/>
  <c r="H103" i="17"/>
  <c r="H102" i="17"/>
  <c r="H101" i="17"/>
  <c r="P101" i="17" s="1"/>
  <c r="H97" i="17"/>
  <c r="H96" i="17"/>
  <c r="H95" i="17"/>
  <c r="H94" i="17"/>
  <c r="H93" i="17"/>
  <c r="H92" i="17"/>
  <c r="H91" i="17"/>
  <c r="H90" i="17"/>
  <c r="H89" i="17"/>
  <c r="H88" i="17"/>
  <c r="H87" i="17"/>
  <c r="P87" i="17" s="1"/>
  <c r="O87" i="17" s="1"/>
  <c r="H86" i="17"/>
  <c r="P86" i="17" s="1"/>
  <c r="O86" i="17" s="1"/>
  <c r="H85" i="17"/>
  <c r="H84" i="17"/>
  <c r="P84" i="17" s="1"/>
  <c r="O84" i="17" s="1"/>
  <c r="H83" i="17"/>
  <c r="H82" i="17"/>
  <c r="P82" i="17" s="1"/>
  <c r="O82" i="17" s="1"/>
  <c r="H81" i="17"/>
  <c r="P81" i="17" s="1"/>
  <c r="O81" i="17" s="1"/>
  <c r="H80" i="17"/>
  <c r="H79" i="17"/>
  <c r="P79" i="17" s="1"/>
  <c r="O79" i="17" s="1"/>
  <c r="H78" i="17"/>
  <c r="P78" i="17" s="1"/>
  <c r="O78" i="17" s="1"/>
  <c r="H77" i="17"/>
  <c r="H76" i="17"/>
  <c r="P76" i="17" s="1"/>
  <c r="H72" i="17"/>
  <c r="H71" i="17"/>
  <c r="H70" i="17"/>
  <c r="H69" i="17"/>
  <c r="H68" i="17"/>
  <c r="H67" i="17"/>
  <c r="H66" i="17"/>
  <c r="H65" i="17"/>
  <c r="P65" i="17" s="1"/>
  <c r="O65" i="17" s="1"/>
  <c r="H64" i="17"/>
  <c r="H63" i="17"/>
  <c r="H62" i="17"/>
  <c r="H61" i="17"/>
  <c r="H60" i="17"/>
  <c r="P60" i="17" s="1"/>
  <c r="H59" i="17"/>
  <c r="H55" i="17"/>
  <c r="H54" i="17"/>
  <c r="H53" i="17"/>
  <c r="H52" i="17"/>
  <c r="H51" i="17"/>
  <c r="H50" i="17"/>
  <c r="H49" i="17"/>
  <c r="H48" i="17"/>
  <c r="H47" i="17"/>
  <c r="H46" i="17"/>
  <c r="P46" i="17" s="1"/>
  <c r="O46" i="17" s="1"/>
  <c r="H45" i="17"/>
  <c r="H44" i="17"/>
  <c r="P44" i="17" s="1"/>
  <c r="H43" i="17"/>
  <c r="H42" i="17"/>
  <c r="H41" i="17"/>
  <c r="P41" i="17" s="1"/>
  <c r="O41" i="17" s="1"/>
  <c r="H40" i="17"/>
  <c r="P40" i="17" s="1"/>
  <c r="O40" i="17" s="1"/>
  <c r="H39" i="17"/>
  <c r="H38" i="17"/>
  <c r="P38" i="17" s="1"/>
  <c r="O38" i="17" s="1"/>
  <c r="H37" i="17"/>
  <c r="H36" i="17"/>
  <c r="P36" i="17" s="1"/>
  <c r="O36" i="17" s="1"/>
  <c r="H35" i="17"/>
  <c r="H34" i="17"/>
  <c r="H33" i="17"/>
  <c r="P33" i="17" s="1"/>
  <c r="O33" i="17" s="1"/>
  <c r="H32" i="17"/>
  <c r="H31" i="17"/>
  <c r="H30" i="17"/>
  <c r="H29" i="17"/>
  <c r="H28" i="17"/>
  <c r="P28" i="17" s="1"/>
  <c r="O28" i="17" s="1"/>
  <c r="H27" i="17"/>
  <c r="H26" i="17"/>
  <c r="H25" i="17"/>
  <c r="P25" i="17" s="1"/>
  <c r="O25" i="17" s="1"/>
  <c r="H24" i="17"/>
  <c r="H23" i="17"/>
  <c r="H22" i="17"/>
  <c r="P22" i="17" s="1"/>
  <c r="O22" i="17" s="1"/>
  <c r="H21" i="17"/>
  <c r="H20" i="17"/>
  <c r="P20" i="17" s="1"/>
  <c r="H19" i="17"/>
  <c r="H18" i="17"/>
  <c r="H17" i="17"/>
  <c r="P17" i="17" s="1"/>
  <c r="O17" i="17" s="1"/>
  <c r="H16" i="17"/>
  <c r="P16" i="17" s="1"/>
  <c r="O16" i="17" s="1"/>
  <c r="H15" i="17"/>
  <c r="H14" i="17"/>
  <c r="H13" i="17"/>
  <c r="H12" i="17"/>
  <c r="P12" i="17" s="1"/>
  <c r="O12" i="17" s="1"/>
  <c r="A2" i="17"/>
  <c r="A3" i="17"/>
  <c r="A10" i="17"/>
  <c r="B10" i="17"/>
  <c r="A12" i="17"/>
  <c r="B12" i="17"/>
  <c r="I12" i="17"/>
  <c r="K12" i="17"/>
  <c r="M12" i="17"/>
  <c r="A13" i="17"/>
  <c r="B13" i="17"/>
  <c r="I13" i="17"/>
  <c r="K13" i="17"/>
  <c r="A14" i="17"/>
  <c r="B14" i="17"/>
  <c r="I14" i="17"/>
  <c r="K14" i="17"/>
  <c r="M14" i="17"/>
  <c r="P14" i="17"/>
  <c r="O14" i="17" s="1"/>
  <c r="A15" i="17"/>
  <c r="B15" i="17"/>
  <c r="I15" i="17"/>
  <c r="K15" i="17"/>
  <c r="P15" i="17"/>
  <c r="O15" i="17"/>
  <c r="A16" i="17"/>
  <c r="B16" i="17"/>
  <c r="I16" i="17"/>
  <c r="K16" i="17"/>
  <c r="A17" i="17"/>
  <c r="B17" i="17"/>
  <c r="I17" i="17"/>
  <c r="M17" i="17"/>
  <c r="A18" i="17"/>
  <c r="B18" i="17"/>
  <c r="I18" i="17"/>
  <c r="K18" i="17"/>
  <c r="M18" i="17"/>
  <c r="P18" i="17"/>
  <c r="O18" i="17" s="1"/>
  <c r="A19" i="17"/>
  <c r="B19" i="17"/>
  <c r="I19" i="17"/>
  <c r="K19" i="17"/>
  <c r="A20" i="17"/>
  <c r="B20" i="17"/>
  <c r="I20" i="17"/>
  <c r="K20" i="17"/>
  <c r="M20" i="17"/>
  <c r="O20" i="17"/>
  <c r="A21" i="17"/>
  <c r="B21" i="17"/>
  <c r="I21" i="17"/>
  <c r="K21" i="17"/>
  <c r="M21" i="17"/>
  <c r="P21" i="17"/>
  <c r="O21" i="17" s="1"/>
  <c r="A22" i="17"/>
  <c r="B22" i="17"/>
  <c r="I22" i="17"/>
  <c r="K22" i="17"/>
  <c r="M22" i="17"/>
  <c r="A23" i="17"/>
  <c r="B23" i="17"/>
  <c r="I23" i="17"/>
  <c r="K23" i="17"/>
  <c r="P23" i="17"/>
  <c r="O23" i="17" s="1"/>
  <c r="A24" i="17"/>
  <c r="B24" i="17"/>
  <c r="I24" i="17"/>
  <c r="K24" i="17"/>
  <c r="A25" i="17"/>
  <c r="B25" i="17"/>
  <c r="I25" i="17"/>
  <c r="M25" i="17"/>
  <c r="A26" i="17"/>
  <c r="B26" i="17"/>
  <c r="I26" i="17"/>
  <c r="K26" i="17"/>
  <c r="M26" i="17"/>
  <c r="P26" i="17"/>
  <c r="O26" i="17" s="1"/>
  <c r="A27" i="17"/>
  <c r="B27" i="17"/>
  <c r="I27" i="17"/>
  <c r="K27" i="17"/>
  <c r="A28" i="17"/>
  <c r="B28" i="17"/>
  <c r="I28" i="17"/>
  <c r="K28" i="17"/>
  <c r="M28" i="17"/>
  <c r="A29" i="17"/>
  <c r="B29" i="17"/>
  <c r="I29" i="17"/>
  <c r="K29" i="17"/>
  <c r="P29" i="17"/>
  <c r="O29" i="17" s="1"/>
  <c r="A30" i="17"/>
  <c r="B30" i="17"/>
  <c r="I30" i="17"/>
  <c r="K30" i="17"/>
  <c r="M30" i="17"/>
  <c r="P30" i="17"/>
  <c r="O30" i="17" s="1"/>
  <c r="A31" i="17"/>
  <c r="B31" i="17"/>
  <c r="I31" i="17"/>
  <c r="K31" i="17"/>
  <c r="P31" i="17"/>
  <c r="O31" i="17"/>
  <c r="A32" i="17"/>
  <c r="B32" i="17"/>
  <c r="I32" i="17"/>
  <c r="K32" i="17"/>
  <c r="A33" i="17"/>
  <c r="B33" i="17"/>
  <c r="I33" i="17"/>
  <c r="A34" i="17"/>
  <c r="B34" i="17"/>
  <c r="I34" i="17"/>
  <c r="K34" i="17"/>
  <c r="M34" i="17"/>
  <c r="P34" i="17"/>
  <c r="O34" i="17" s="1"/>
  <c r="A35" i="17"/>
  <c r="B35" i="17"/>
  <c r="I35" i="17"/>
  <c r="K35" i="17"/>
  <c r="A36" i="17"/>
  <c r="B36" i="17"/>
  <c r="I36" i="17"/>
  <c r="K36" i="17"/>
  <c r="M36" i="17"/>
  <c r="A37" i="17"/>
  <c r="B37" i="17"/>
  <c r="I37" i="17"/>
  <c r="K37" i="17"/>
  <c r="M37" i="17"/>
  <c r="P37" i="17"/>
  <c r="O37" i="17" s="1"/>
  <c r="A38" i="17"/>
  <c r="B38" i="17"/>
  <c r="I38" i="17"/>
  <c r="K38" i="17"/>
  <c r="M38" i="17"/>
  <c r="A39" i="17"/>
  <c r="B39" i="17"/>
  <c r="I39" i="17"/>
  <c r="K39" i="17"/>
  <c r="M39" i="17"/>
  <c r="P39" i="17"/>
  <c r="O39" i="17" s="1"/>
  <c r="A40" i="17"/>
  <c r="B40" i="17"/>
  <c r="I40" i="17"/>
  <c r="K40" i="17"/>
  <c r="A41" i="17"/>
  <c r="B41" i="17"/>
  <c r="I41" i="17"/>
  <c r="A42" i="17"/>
  <c r="B42" i="17"/>
  <c r="I42" i="17"/>
  <c r="K42" i="17"/>
  <c r="M42" i="17"/>
  <c r="P42" i="17"/>
  <c r="O42" i="17" s="1"/>
  <c r="A43" i="17"/>
  <c r="B43" i="17"/>
  <c r="I43" i="17"/>
  <c r="K43" i="17"/>
  <c r="A44" i="17"/>
  <c r="B44" i="17"/>
  <c r="I44" i="17"/>
  <c r="K44" i="17"/>
  <c r="O44" i="17"/>
  <c r="A45" i="17"/>
  <c r="B45" i="17"/>
  <c r="I45" i="17"/>
  <c r="K45" i="17"/>
  <c r="P45" i="17"/>
  <c r="O45" i="17" s="1"/>
  <c r="A46" i="17"/>
  <c r="B46" i="17"/>
  <c r="I46" i="17"/>
  <c r="K46" i="17"/>
  <c r="A47" i="17"/>
  <c r="B47" i="17"/>
  <c r="I47" i="17"/>
  <c r="K47" i="17"/>
  <c r="P47" i="17"/>
  <c r="O47" i="17"/>
  <c r="A48" i="17"/>
  <c r="B48" i="17"/>
  <c r="I48" i="17"/>
  <c r="K48" i="17"/>
  <c r="M48" i="17"/>
  <c r="P48" i="17"/>
  <c r="O48" i="17" s="1"/>
  <c r="A49" i="17"/>
  <c r="B49" i="17"/>
  <c r="I49" i="17"/>
  <c r="M49" i="17"/>
  <c r="P49" i="17"/>
  <c r="O49" i="17" s="1"/>
  <c r="A50" i="17"/>
  <c r="B50" i="17"/>
  <c r="I50" i="17"/>
  <c r="K50" i="17"/>
  <c r="M50" i="17"/>
  <c r="P50" i="17"/>
  <c r="O50" i="17" s="1"/>
  <c r="A51" i="17"/>
  <c r="B51" i="17"/>
  <c r="I51" i="17"/>
  <c r="K51" i="17"/>
  <c r="M51" i="17"/>
  <c r="P51" i="17"/>
  <c r="O51" i="17"/>
  <c r="A52" i="17"/>
  <c r="B52" i="17"/>
  <c r="I52" i="17"/>
  <c r="K52" i="17"/>
  <c r="M52" i="17"/>
  <c r="P52" i="17"/>
  <c r="O52" i="17" s="1"/>
  <c r="A53" i="17"/>
  <c r="B53" i="17"/>
  <c r="I53" i="17"/>
  <c r="K53" i="17"/>
  <c r="M53" i="17"/>
  <c r="P53" i="17"/>
  <c r="O53" i="17" s="1"/>
  <c r="A54" i="17"/>
  <c r="B54" i="17"/>
  <c r="I54" i="17"/>
  <c r="K54" i="17"/>
  <c r="M54" i="17"/>
  <c r="P54" i="17"/>
  <c r="O54" i="17" s="1"/>
  <c r="A55" i="17"/>
  <c r="B55" i="17"/>
  <c r="I55" i="17"/>
  <c r="K55" i="17"/>
  <c r="M55" i="17"/>
  <c r="P55" i="17"/>
  <c r="O55" i="17" s="1"/>
  <c r="A57" i="17"/>
  <c r="B57" i="17"/>
  <c r="A59" i="17"/>
  <c r="B59" i="17"/>
  <c r="I59" i="17"/>
  <c r="K59" i="17"/>
  <c r="A60" i="17"/>
  <c r="B60" i="17"/>
  <c r="I60" i="17"/>
  <c r="O60" i="17"/>
  <c r="A61" i="17"/>
  <c r="B61" i="17"/>
  <c r="I61" i="17"/>
  <c r="K61" i="17"/>
  <c r="M61" i="17"/>
  <c r="P61" i="17"/>
  <c r="O61" i="17"/>
  <c r="A62" i="17"/>
  <c r="B62" i="17"/>
  <c r="I62" i="17"/>
  <c r="K62" i="17"/>
  <c r="A63" i="17"/>
  <c r="B63" i="17"/>
  <c r="I63" i="17"/>
  <c r="K63" i="17"/>
  <c r="P63" i="17"/>
  <c r="O63" i="17" s="1"/>
  <c r="A64" i="17"/>
  <c r="B64" i="17"/>
  <c r="I64" i="17"/>
  <c r="K64" i="17"/>
  <c r="P64" i="17"/>
  <c r="O64" i="17" s="1"/>
  <c r="A65" i="17"/>
  <c r="B65" i="17"/>
  <c r="I65" i="17"/>
  <c r="K65" i="17"/>
  <c r="M65" i="17"/>
  <c r="A66" i="17"/>
  <c r="B66" i="17"/>
  <c r="I66" i="17"/>
  <c r="K66" i="17"/>
  <c r="M66" i="17"/>
  <c r="P66" i="17"/>
  <c r="O66" i="17" s="1"/>
  <c r="A67" i="17"/>
  <c r="B67" i="17"/>
  <c r="I67" i="17"/>
  <c r="K67" i="17"/>
  <c r="P67" i="17"/>
  <c r="O67" i="17"/>
  <c r="A68" i="17"/>
  <c r="B68" i="17"/>
  <c r="I68" i="17"/>
  <c r="P68" i="17"/>
  <c r="O68" i="17"/>
  <c r="A69" i="17"/>
  <c r="B69" i="17"/>
  <c r="I69" i="17"/>
  <c r="K69" i="17"/>
  <c r="M69" i="17"/>
  <c r="P69" i="17"/>
  <c r="O69" i="17" s="1"/>
  <c r="A70" i="17"/>
  <c r="B70" i="17"/>
  <c r="I70" i="17"/>
  <c r="K70" i="17"/>
  <c r="M70" i="17"/>
  <c r="P70" i="17"/>
  <c r="O70" i="17" s="1"/>
  <c r="A71" i="17"/>
  <c r="B71" i="17"/>
  <c r="I71" i="17"/>
  <c r="K71" i="17"/>
  <c r="M71" i="17"/>
  <c r="P71" i="17"/>
  <c r="O71" i="17" s="1"/>
  <c r="A72" i="17"/>
  <c r="B72" i="17"/>
  <c r="I72" i="17"/>
  <c r="K72" i="17"/>
  <c r="M72" i="17"/>
  <c r="P72" i="17"/>
  <c r="O72" i="17"/>
  <c r="A74" i="17"/>
  <c r="B74" i="17"/>
  <c r="A76" i="17"/>
  <c r="B76" i="17"/>
  <c r="I76" i="17"/>
  <c r="M76" i="17"/>
  <c r="A77" i="17"/>
  <c r="B77" i="17"/>
  <c r="I77" i="17"/>
  <c r="M77" i="17"/>
  <c r="P77" i="17"/>
  <c r="O77" i="17" s="1"/>
  <c r="A78" i="17"/>
  <c r="B78" i="17"/>
  <c r="I78" i="17"/>
  <c r="M78" i="17"/>
  <c r="A79" i="17"/>
  <c r="B79" i="17"/>
  <c r="I79" i="17"/>
  <c r="K79" i="17"/>
  <c r="M79" i="17"/>
  <c r="A80" i="17"/>
  <c r="B80" i="17"/>
  <c r="I80" i="17"/>
  <c r="M80" i="17"/>
  <c r="P80" i="17"/>
  <c r="O80" i="17" s="1"/>
  <c r="A81" i="17"/>
  <c r="B81" i="17"/>
  <c r="I81" i="17"/>
  <c r="M81" i="17"/>
  <c r="A82" i="17"/>
  <c r="B82" i="17"/>
  <c r="I82" i="17"/>
  <c r="M82" i="17"/>
  <c r="A83" i="17"/>
  <c r="B83" i="17"/>
  <c r="I83" i="17"/>
  <c r="M83" i="17"/>
  <c r="P83" i="17"/>
  <c r="O83" i="17" s="1"/>
  <c r="A84" i="17"/>
  <c r="B84" i="17"/>
  <c r="I84" i="17"/>
  <c r="M84" i="17"/>
  <c r="A85" i="17"/>
  <c r="B85" i="17"/>
  <c r="I85" i="17"/>
  <c r="M85" i="17"/>
  <c r="P85" i="17"/>
  <c r="O85" i="17"/>
  <c r="A86" i="17"/>
  <c r="B86" i="17"/>
  <c r="I86" i="17"/>
  <c r="M86" i="17"/>
  <c r="A87" i="17"/>
  <c r="B87" i="17"/>
  <c r="I87" i="17"/>
  <c r="M87" i="17"/>
  <c r="A88" i="17"/>
  <c r="B88" i="17"/>
  <c r="I88" i="17"/>
  <c r="M88" i="17"/>
  <c r="P88" i="17"/>
  <c r="O88" i="17" s="1"/>
  <c r="A89" i="17"/>
  <c r="B89" i="17"/>
  <c r="I89" i="17"/>
  <c r="K89" i="17"/>
  <c r="M89" i="17"/>
  <c r="P89" i="17"/>
  <c r="O89" i="17"/>
  <c r="A90" i="17"/>
  <c r="B90" i="17"/>
  <c r="I90" i="17"/>
  <c r="K90" i="17"/>
  <c r="M90" i="17"/>
  <c r="P90" i="17"/>
  <c r="O90" i="17" s="1"/>
  <c r="A91" i="17"/>
  <c r="B91" i="17"/>
  <c r="I91" i="17"/>
  <c r="K91" i="17"/>
  <c r="M91" i="17"/>
  <c r="P91" i="17"/>
  <c r="O91" i="17" s="1"/>
  <c r="A92" i="17"/>
  <c r="B92" i="17"/>
  <c r="I92" i="17"/>
  <c r="K92" i="17"/>
  <c r="M92" i="17"/>
  <c r="P92" i="17"/>
  <c r="O92" i="17" s="1"/>
  <c r="A93" i="17"/>
  <c r="B93" i="17"/>
  <c r="I93" i="17"/>
  <c r="K93" i="17"/>
  <c r="M93" i="17"/>
  <c r="P93" i="17"/>
  <c r="O93" i="17"/>
  <c r="A94" i="17"/>
  <c r="B94" i="17"/>
  <c r="I94" i="17"/>
  <c r="K94" i="17"/>
  <c r="M94" i="17"/>
  <c r="P94" i="17"/>
  <c r="O94" i="17" s="1"/>
  <c r="A95" i="17"/>
  <c r="B95" i="17"/>
  <c r="I95" i="17"/>
  <c r="K95" i="17"/>
  <c r="M95" i="17"/>
  <c r="P95" i="17"/>
  <c r="O95" i="17" s="1"/>
  <c r="A96" i="17"/>
  <c r="B96" i="17"/>
  <c r="I96" i="17"/>
  <c r="K96" i="17"/>
  <c r="M96" i="17"/>
  <c r="P96" i="17"/>
  <c r="O96" i="17" s="1"/>
  <c r="A97" i="17"/>
  <c r="B97" i="17"/>
  <c r="I97" i="17"/>
  <c r="K97" i="17"/>
  <c r="M97" i="17"/>
  <c r="P97" i="17"/>
  <c r="O97" i="17" s="1"/>
  <c r="A99" i="17"/>
  <c r="B99" i="17"/>
  <c r="A101" i="17"/>
  <c r="B101" i="17"/>
  <c r="I101" i="17"/>
  <c r="K101" i="17"/>
  <c r="M101" i="17"/>
  <c r="A102" i="17"/>
  <c r="B102" i="17"/>
  <c r="I102" i="17"/>
  <c r="K102" i="17"/>
  <c r="A103" i="17"/>
  <c r="B103" i="17"/>
  <c r="I103" i="17"/>
  <c r="K103" i="17"/>
  <c r="P103" i="17"/>
  <c r="O103" i="17"/>
  <c r="A104" i="17"/>
  <c r="B104" i="17"/>
  <c r="I104" i="17"/>
  <c r="K104" i="17"/>
  <c r="M104" i="17"/>
  <c r="P104" i="17"/>
  <c r="O104" i="17" s="1"/>
  <c r="A105" i="17"/>
  <c r="B105" i="17"/>
  <c r="I105" i="17"/>
  <c r="K105" i="17"/>
  <c r="M105" i="17"/>
  <c r="P105" i="17"/>
  <c r="O105" i="17" s="1"/>
  <c r="A106" i="17"/>
  <c r="B106" i="17"/>
  <c r="I106" i="17"/>
  <c r="K106" i="17"/>
  <c r="M106" i="17"/>
  <c r="P106" i="17"/>
  <c r="O106" i="17" s="1"/>
  <c r="A108" i="17"/>
  <c r="B108" i="17"/>
  <c r="A110" i="17"/>
  <c r="B110" i="17"/>
  <c r="I110" i="17"/>
  <c r="K110" i="17"/>
  <c r="P110" i="17"/>
  <c r="O110" i="17" s="1"/>
  <c r="A111" i="17"/>
  <c r="B111" i="17"/>
  <c r="I111" i="17"/>
  <c r="K111" i="17"/>
  <c r="P111" i="17"/>
  <c r="O111" i="17" s="1"/>
  <c r="A112" i="17"/>
  <c r="B112" i="17"/>
  <c r="I112" i="17"/>
  <c r="K112" i="17"/>
  <c r="M112" i="17"/>
  <c r="O112" i="17"/>
  <c r="A113" i="17"/>
  <c r="B113" i="17"/>
  <c r="I113" i="17"/>
  <c r="K113" i="17"/>
  <c r="M113" i="17"/>
  <c r="P113" i="17"/>
  <c r="O113" i="17" s="1"/>
  <c r="A114" i="17"/>
  <c r="B114" i="17"/>
  <c r="I114" i="17"/>
  <c r="K114" i="17"/>
  <c r="M114" i="17"/>
  <c r="P114" i="17"/>
  <c r="O114" i="17" s="1"/>
  <c r="A115" i="17"/>
  <c r="B115" i="17"/>
  <c r="I115" i="17"/>
  <c r="K115" i="17"/>
  <c r="P115" i="17"/>
  <c r="O115" i="17" s="1"/>
  <c r="A117" i="17"/>
  <c r="B117" i="17"/>
  <c r="A119" i="17"/>
  <c r="B119" i="17"/>
  <c r="I119" i="17"/>
  <c r="M119" i="17"/>
  <c r="A120" i="17"/>
  <c r="B120" i="17"/>
  <c r="I120" i="17"/>
  <c r="K120" i="17"/>
  <c r="M120" i="17"/>
  <c r="A121" i="17"/>
  <c r="B121" i="17"/>
  <c r="I121" i="17"/>
  <c r="M121" i="17"/>
  <c r="P121" i="17"/>
  <c r="O121" i="17" s="1"/>
  <c r="A122" i="17"/>
  <c r="B122" i="17"/>
  <c r="I122" i="17"/>
  <c r="K122" i="17"/>
  <c r="M122" i="17"/>
  <c r="A123" i="17"/>
  <c r="B123" i="17"/>
  <c r="I123" i="17"/>
  <c r="M123" i="17"/>
  <c r="P123" i="17"/>
  <c r="O123" i="17" s="1"/>
  <c r="A124" i="17"/>
  <c r="B124" i="17"/>
  <c r="I124" i="17"/>
  <c r="M124" i="17"/>
  <c r="P124" i="17"/>
  <c r="O124" i="17" s="1"/>
  <c r="A125" i="17"/>
  <c r="B125" i="17"/>
  <c r="I125" i="17"/>
  <c r="K125" i="17"/>
  <c r="M125" i="17"/>
  <c r="P125" i="17"/>
  <c r="O125" i="17" s="1"/>
  <c r="A126" i="17"/>
  <c r="B126" i="17"/>
  <c r="I126" i="17"/>
  <c r="M126" i="17"/>
  <c r="P126" i="17"/>
  <c r="O126" i="17" s="1"/>
  <c r="A127" i="17"/>
  <c r="B127" i="17"/>
  <c r="I127" i="17"/>
  <c r="K127" i="17"/>
  <c r="M127" i="17"/>
  <c r="P127" i="17"/>
  <c r="O127" i="17"/>
  <c r="A128" i="17"/>
  <c r="B128" i="17"/>
  <c r="I128" i="17"/>
  <c r="K128" i="17"/>
  <c r="M128" i="17"/>
  <c r="P128" i="17"/>
  <c r="O128" i="17"/>
  <c r="A129" i="17"/>
  <c r="B129" i="17"/>
  <c r="I129" i="17"/>
  <c r="K129" i="17"/>
  <c r="M129" i="17"/>
  <c r="P129" i="17"/>
  <c r="O129" i="17" s="1"/>
  <c r="A130" i="17"/>
  <c r="B130" i="17"/>
  <c r="I130" i="17"/>
  <c r="K130" i="17"/>
  <c r="M130" i="17"/>
  <c r="P130" i="17"/>
  <c r="O130" i="17" s="1"/>
  <c r="A131" i="17"/>
  <c r="B131" i="17"/>
  <c r="I131" i="17"/>
  <c r="K131" i="17"/>
  <c r="M131" i="17"/>
  <c r="P131" i="17"/>
  <c r="O131" i="17" s="1"/>
  <c r="A132" i="17"/>
  <c r="B132" i="17"/>
  <c r="I132" i="17"/>
  <c r="K132" i="17"/>
  <c r="M132" i="17"/>
  <c r="P132" i="17"/>
  <c r="O132" i="17" s="1"/>
  <c r="A133" i="17"/>
  <c r="B133" i="17"/>
  <c r="I133" i="17"/>
  <c r="K133" i="17"/>
  <c r="M133" i="17"/>
  <c r="P133" i="17"/>
  <c r="O133" i="17"/>
  <c r="A134" i="17"/>
  <c r="B134" i="17"/>
  <c r="I134" i="17"/>
  <c r="K134" i="17"/>
  <c r="M134" i="17"/>
  <c r="P134" i="17"/>
  <c r="O134" i="17" s="1"/>
  <c r="A136" i="17"/>
  <c r="B136" i="17"/>
  <c r="A138" i="17"/>
  <c r="B138" i="17"/>
  <c r="I138" i="17"/>
  <c r="M138" i="17"/>
  <c r="A139" i="17"/>
  <c r="B139" i="17"/>
  <c r="I139" i="17"/>
  <c r="M139" i="17"/>
  <c r="A140" i="17"/>
  <c r="B140" i="17"/>
  <c r="I140" i="17"/>
  <c r="K140" i="17"/>
  <c r="M140" i="17"/>
  <c r="P140" i="17"/>
  <c r="O140" i="17" s="1"/>
  <c r="A141" i="17"/>
  <c r="B141" i="17"/>
  <c r="I141" i="17"/>
  <c r="K141" i="17"/>
  <c r="M141" i="17"/>
  <c r="P141" i="17"/>
  <c r="O141" i="17" s="1"/>
  <c r="A142" i="17"/>
  <c r="B142" i="17"/>
  <c r="I142" i="17"/>
  <c r="K142" i="17"/>
  <c r="M142" i="17"/>
  <c r="P142" i="17"/>
  <c r="O142" i="17"/>
  <c r="A143" i="17"/>
  <c r="B143" i="17"/>
  <c r="I143" i="17"/>
  <c r="K143" i="17"/>
  <c r="M143" i="17"/>
  <c r="P143" i="17"/>
  <c r="O143" i="17" s="1"/>
  <c r="A144" i="17"/>
  <c r="B144" i="17"/>
  <c r="I144" i="17"/>
  <c r="K144" i="17"/>
  <c r="M144" i="17"/>
  <c r="P144" i="17"/>
  <c r="O144" i="17" s="1"/>
  <c r="A145" i="17"/>
  <c r="B145" i="17"/>
  <c r="I145" i="17"/>
  <c r="K145" i="17"/>
  <c r="M145" i="17"/>
  <c r="P145" i="17"/>
  <c r="O145" i="17"/>
  <c r="A146" i="17"/>
  <c r="B146" i="17"/>
  <c r="I146" i="17"/>
  <c r="K146" i="17"/>
  <c r="M146" i="17"/>
  <c r="P146" i="17"/>
  <c r="O146" i="17"/>
  <c r="A148" i="17"/>
  <c r="B148" i="17"/>
  <c r="A150" i="17"/>
  <c r="B150" i="17"/>
  <c r="I150" i="17"/>
  <c r="M150" i="17"/>
  <c r="A151" i="17"/>
  <c r="B151" i="17"/>
  <c r="I151" i="17"/>
  <c r="M151" i="17"/>
  <c r="P151" i="17"/>
  <c r="O151" i="17"/>
  <c r="A152" i="17"/>
  <c r="B152" i="17"/>
  <c r="I152" i="17"/>
  <c r="M152" i="17"/>
  <c r="P152" i="17"/>
  <c r="O152" i="17" s="1"/>
  <c r="A153" i="17"/>
  <c r="B153" i="17"/>
  <c r="I153" i="17"/>
  <c r="K153" i="17"/>
  <c r="M153" i="17"/>
  <c r="P153" i="17"/>
  <c r="O153" i="17" s="1"/>
  <c r="A154" i="17"/>
  <c r="B154" i="17"/>
  <c r="I154" i="17"/>
  <c r="M154" i="17"/>
  <c r="P154" i="17"/>
  <c r="O154" i="17"/>
  <c r="A155" i="17"/>
  <c r="B155" i="17"/>
  <c r="I155" i="17"/>
  <c r="M155" i="17"/>
  <c r="P155" i="17"/>
  <c r="O155" i="17"/>
  <c r="A156" i="17"/>
  <c r="B156" i="17"/>
  <c r="I156" i="17"/>
  <c r="M156" i="17"/>
  <c r="P156" i="17"/>
  <c r="O156" i="17" s="1"/>
  <c r="A157" i="17"/>
  <c r="B157" i="17"/>
  <c r="I157" i="17"/>
  <c r="M157" i="17"/>
  <c r="A158" i="17"/>
  <c r="B158" i="17"/>
  <c r="I158" i="17"/>
  <c r="M158" i="17"/>
  <c r="A159" i="17"/>
  <c r="B159" i="17"/>
  <c r="I159" i="17"/>
  <c r="M159" i="17"/>
  <c r="P159" i="17"/>
  <c r="O159" i="17"/>
  <c r="A160" i="17"/>
  <c r="B160" i="17"/>
  <c r="I160" i="17"/>
  <c r="K160" i="17"/>
  <c r="M160" i="17"/>
  <c r="P160" i="17"/>
  <c r="O160" i="17" s="1"/>
  <c r="A161" i="17"/>
  <c r="B161" i="17"/>
  <c r="I161" i="17"/>
  <c r="K161" i="17"/>
  <c r="M161" i="17"/>
  <c r="P161" i="17"/>
  <c r="O161" i="17" s="1"/>
  <c r="A162" i="17"/>
  <c r="B162" i="17"/>
  <c r="I162" i="17"/>
  <c r="M162" i="17"/>
  <c r="P162" i="17"/>
  <c r="O162" i="17"/>
  <c r="A163" i="17"/>
  <c r="B163" i="17"/>
  <c r="I163" i="17"/>
  <c r="K163" i="17"/>
  <c r="M163" i="17"/>
  <c r="P163" i="17"/>
  <c r="O163" i="17" s="1"/>
  <c r="A164" i="17"/>
  <c r="B164" i="17"/>
  <c r="I164" i="17"/>
  <c r="K164" i="17"/>
  <c r="M164" i="17"/>
  <c r="P164" i="17"/>
  <c r="O164" i="17" s="1"/>
  <c r="A165" i="17"/>
  <c r="B165" i="17"/>
  <c r="I165" i="17"/>
  <c r="K165" i="17"/>
  <c r="M165" i="17"/>
  <c r="P165" i="17"/>
  <c r="O165" i="17" s="1"/>
  <c r="A166" i="17"/>
  <c r="B166" i="17"/>
  <c r="I166" i="17"/>
  <c r="K166" i="17"/>
  <c r="M166" i="17"/>
  <c r="P166" i="17"/>
  <c r="O166" i="17" s="1"/>
  <c r="A167" i="17"/>
  <c r="B167" i="17"/>
  <c r="I167" i="17"/>
  <c r="K167" i="17"/>
  <c r="M167" i="17"/>
  <c r="P167" i="17"/>
  <c r="O167" i="17"/>
  <c r="A168" i="17"/>
  <c r="B168" i="17"/>
  <c r="I168" i="17"/>
  <c r="K168" i="17"/>
  <c r="M168" i="17"/>
  <c r="P168" i="17"/>
  <c r="O168" i="17" s="1"/>
  <c r="A169" i="17"/>
  <c r="B169" i="17"/>
  <c r="I169" i="17"/>
  <c r="K169" i="17"/>
  <c r="M169" i="17"/>
  <c r="P169" i="17"/>
  <c r="O169" i="17" s="1"/>
  <c r="A171" i="17"/>
  <c r="B171" i="17"/>
  <c r="A173" i="17"/>
  <c r="B173" i="17"/>
  <c r="I173" i="17"/>
  <c r="K173" i="17"/>
  <c r="A174" i="17"/>
  <c r="B174" i="17"/>
  <c r="I174" i="17"/>
  <c r="K174" i="17"/>
  <c r="M174" i="17"/>
  <c r="P174" i="17"/>
  <c r="O174" i="17" s="1"/>
  <c r="A175" i="17"/>
  <c r="B175" i="17"/>
  <c r="I175" i="17"/>
  <c r="K175" i="17"/>
  <c r="A176" i="17"/>
  <c r="B176" i="17"/>
  <c r="I176" i="17"/>
  <c r="K176" i="17"/>
  <c r="A177" i="17"/>
  <c r="B177" i="17"/>
  <c r="I177" i="17"/>
  <c r="K177" i="17"/>
  <c r="M177" i="17"/>
  <c r="P177" i="17"/>
  <c r="O177" i="17" s="1"/>
  <c r="A178" i="17"/>
  <c r="B178" i="17"/>
  <c r="I178" i="17"/>
  <c r="K178" i="17"/>
  <c r="M178" i="17"/>
  <c r="P178" i="17"/>
  <c r="O178" i="17" s="1"/>
  <c r="A180" i="17"/>
  <c r="A182" i="17"/>
  <c r="I182" i="17"/>
  <c r="K182" i="17"/>
  <c r="A183" i="17"/>
  <c r="I183" i="17"/>
  <c r="K183" i="17"/>
  <c r="A184" i="17"/>
  <c r="I184" i="17"/>
  <c r="K184" i="17"/>
  <c r="A185" i="17"/>
  <c r="I185" i="17"/>
  <c r="K185" i="17"/>
  <c r="A187" i="17"/>
  <c r="A189" i="17"/>
  <c r="I189" i="17"/>
  <c r="L189" i="17"/>
  <c r="K189" i="17"/>
  <c r="A190" i="17"/>
  <c r="I190" i="17"/>
  <c r="L190" i="17"/>
  <c r="L212" i="17" s="1"/>
  <c r="K212" i="17" s="1"/>
  <c r="A191" i="17"/>
  <c r="I191" i="17"/>
  <c r="L191" i="17"/>
  <c r="K191" i="17"/>
  <c r="A192" i="17"/>
  <c r="I192" i="17"/>
  <c r="L192" i="17"/>
  <c r="K192" i="17" s="1"/>
  <c r="A193" i="17"/>
  <c r="I193" i="17"/>
  <c r="L193" i="17"/>
  <c r="K193" i="17"/>
  <c r="A194" i="17"/>
  <c r="I194" i="17"/>
  <c r="L194" i="17"/>
  <c r="K194" i="17" s="1"/>
  <c r="A195" i="17"/>
  <c r="I195" i="17"/>
  <c r="L195" i="17"/>
  <c r="K195" i="17"/>
  <c r="A196" i="17"/>
  <c r="I196" i="17"/>
  <c r="L196" i="17"/>
  <c r="K196" i="17" s="1"/>
  <c r="A200" i="17"/>
  <c r="A204" i="17"/>
  <c r="A205" i="17"/>
  <c r="I205" i="17"/>
  <c r="A206" i="17"/>
  <c r="A208" i="17"/>
  <c r="A209" i="17"/>
  <c r="A210" i="17"/>
  <c r="A211" i="17"/>
  <c r="K211" i="17"/>
  <c r="A212" i="17"/>
  <c r="A214" i="17"/>
  <c r="K223" i="17"/>
  <c r="A224" i="17"/>
  <c r="K224" i="17"/>
  <c r="M224" i="17"/>
  <c r="K225" i="17"/>
  <c r="M225" i="17"/>
  <c r="H185" i="16"/>
  <c r="H184" i="16"/>
  <c r="H183" i="16"/>
  <c r="H182" i="16"/>
  <c r="H178" i="16"/>
  <c r="H177" i="16"/>
  <c r="H176" i="16"/>
  <c r="H175" i="16"/>
  <c r="H174" i="16"/>
  <c r="H173" i="16"/>
  <c r="H169" i="16"/>
  <c r="H168" i="16"/>
  <c r="H167" i="16"/>
  <c r="H166" i="16"/>
  <c r="H165" i="16"/>
  <c r="H164" i="16"/>
  <c r="H163" i="16"/>
  <c r="H162" i="16"/>
  <c r="H161" i="16"/>
  <c r="P161" i="16" s="1"/>
  <c r="O161" i="16" s="1"/>
  <c r="H160" i="16"/>
  <c r="P160" i="16" s="1"/>
  <c r="O160" i="16" s="1"/>
  <c r="H159" i="16"/>
  <c r="H158" i="16"/>
  <c r="P158" i="16" s="1"/>
  <c r="O158" i="16" s="1"/>
  <c r="H157" i="16"/>
  <c r="P157" i="16" s="1"/>
  <c r="H156" i="16"/>
  <c r="H155" i="16"/>
  <c r="H154" i="16"/>
  <c r="H153" i="16"/>
  <c r="H152" i="16"/>
  <c r="P152" i="16" s="1"/>
  <c r="O152" i="16" s="1"/>
  <c r="H151" i="16"/>
  <c r="H150" i="16"/>
  <c r="H146" i="16"/>
  <c r="H145" i="16"/>
  <c r="H144" i="16"/>
  <c r="H143" i="16"/>
  <c r="H142" i="16"/>
  <c r="H141" i="16"/>
  <c r="H140" i="16"/>
  <c r="H139" i="16"/>
  <c r="P139" i="16" s="1"/>
  <c r="O139" i="16" s="1"/>
  <c r="H138" i="16"/>
  <c r="H134" i="16"/>
  <c r="H133" i="16"/>
  <c r="H132" i="16"/>
  <c r="H131" i="16"/>
  <c r="H130" i="16"/>
  <c r="H129" i="16"/>
  <c r="H128" i="16"/>
  <c r="H127" i="16"/>
  <c r="H126" i="16"/>
  <c r="H125" i="16"/>
  <c r="H124" i="16"/>
  <c r="H123" i="16"/>
  <c r="P123" i="16" s="1"/>
  <c r="H122" i="16"/>
  <c r="P122" i="16" s="1"/>
  <c r="O122" i="16" s="1"/>
  <c r="H121" i="16"/>
  <c r="P121" i="16" s="1"/>
  <c r="H120" i="16"/>
  <c r="H119" i="16"/>
  <c r="P119" i="16" s="1"/>
  <c r="H115" i="16"/>
  <c r="H114" i="16"/>
  <c r="H113" i="16"/>
  <c r="H112" i="16"/>
  <c r="H111" i="16"/>
  <c r="P111" i="16" s="1"/>
  <c r="H110" i="16"/>
  <c r="P110" i="16" s="1"/>
  <c r="O110" i="16" s="1"/>
  <c r="H106" i="16"/>
  <c r="H105" i="16"/>
  <c r="H104" i="16"/>
  <c r="H103" i="16"/>
  <c r="H102" i="16"/>
  <c r="H101" i="16"/>
  <c r="H97" i="16"/>
  <c r="H96" i="16"/>
  <c r="H95" i="16"/>
  <c r="H94" i="16"/>
  <c r="H93" i="16"/>
  <c r="H92" i="16"/>
  <c r="H91" i="16"/>
  <c r="H90" i="16"/>
  <c r="H89" i="16"/>
  <c r="H88" i="16"/>
  <c r="P88" i="16" s="1"/>
  <c r="O88" i="16" s="1"/>
  <c r="H87" i="16"/>
  <c r="P87" i="16" s="1"/>
  <c r="H86" i="16"/>
  <c r="H85" i="16"/>
  <c r="P85" i="16" s="1"/>
  <c r="O85" i="16" s="1"/>
  <c r="H84" i="16"/>
  <c r="P84" i="16" s="1"/>
  <c r="O84" i="16" s="1"/>
  <c r="H83" i="16"/>
  <c r="H82" i="16"/>
  <c r="H81" i="16"/>
  <c r="P81" i="16" s="1"/>
  <c r="O81" i="16" s="1"/>
  <c r="H80" i="16"/>
  <c r="P80" i="16" s="1"/>
  <c r="O80" i="16" s="1"/>
  <c r="H79" i="16"/>
  <c r="P79" i="16" s="1"/>
  <c r="O79" i="16" s="1"/>
  <c r="H78" i="16"/>
  <c r="H77" i="16"/>
  <c r="P77" i="16" s="1"/>
  <c r="O77" i="16" s="1"/>
  <c r="H76" i="16"/>
  <c r="P76" i="16" s="1"/>
  <c r="O76" i="16" s="1"/>
  <c r="H72" i="16"/>
  <c r="H71" i="16"/>
  <c r="H70" i="16"/>
  <c r="H69" i="16"/>
  <c r="H68" i="16"/>
  <c r="H67" i="16"/>
  <c r="H66" i="16"/>
  <c r="P66" i="16" s="1"/>
  <c r="H65" i="16"/>
  <c r="H64" i="16"/>
  <c r="P64" i="16" s="1"/>
  <c r="O64" i="16" s="1"/>
  <c r="H63" i="16"/>
  <c r="P63" i="16" s="1"/>
  <c r="O63" i="16" s="1"/>
  <c r="H62" i="16"/>
  <c r="H61" i="16"/>
  <c r="P61" i="16" s="1"/>
  <c r="O61" i="16" s="1"/>
  <c r="H60" i="16"/>
  <c r="H59" i="16"/>
  <c r="H55" i="16"/>
  <c r="H54" i="16"/>
  <c r="H53" i="16"/>
  <c r="H52" i="16"/>
  <c r="H51" i="16"/>
  <c r="H50" i="16"/>
  <c r="H49" i="16"/>
  <c r="H48" i="16"/>
  <c r="H47" i="16"/>
  <c r="P47" i="16" s="1"/>
  <c r="O47" i="16" s="1"/>
  <c r="H46" i="16"/>
  <c r="H45" i="16"/>
  <c r="H44" i="16"/>
  <c r="P44" i="16" s="1"/>
  <c r="H43" i="16"/>
  <c r="H42" i="16"/>
  <c r="P42" i="16" s="1"/>
  <c r="O42" i="16" s="1"/>
  <c r="H41" i="16"/>
  <c r="P41" i="16" s="1"/>
  <c r="O41" i="16" s="1"/>
  <c r="H40" i="16"/>
  <c r="H39" i="16"/>
  <c r="P39" i="16" s="1"/>
  <c r="O39" i="16" s="1"/>
  <c r="H38" i="16"/>
  <c r="H37" i="16"/>
  <c r="P37" i="16" s="1"/>
  <c r="H36" i="16"/>
  <c r="H35" i="16"/>
  <c r="H34" i="16"/>
  <c r="P34" i="16" s="1"/>
  <c r="O34" i="16" s="1"/>
  <c r="H33" i="16"/>
  <c r="H32" i="16"/>
  <c r="H31" i="16"/>
  <c r="P31" i="16" s="1"/>
  <c r="O31" i="16" s="1"/>
  <c r="H30" i="16"/>
  <c r="P30" i="16" s="1"/>
  <c r="O30" i="16" s="1"/>
  <c r="H29" i="16"/>
  <c r="H28" i="16"/>
  <c r="P28" i="16" s="1"/>
  <c r="O28" i="16" s="1"/>
  <c r="H27" i="16"/>
  <c r="H26" i="16"/>
  <c r="P26" i="16" s="1"/>
  <c r="O26" i="16" s="1"/>
  <c r="H25" i="16"/>
  <c r="P25" i="16" s="1"/>
  <c r="O25" i="16" s="1"/>
  <c r="H24" i="16"/>
  <c r="H23" i="16"/>
  <c r="P23" i="16" s="1"/>
  <c r="O23" i="16" s="1"/>
  <c r="H22" i="16"/>
  <c r="H21" i="16"/>
  <c r="H20" i="16"/>
  <c r="P20" i="16" s="1"/>
  <c r="H19" i="16"/>
  <c r="H18" i="16"/>
  <c r="P18" i="16" s="1"/>
  <c r="O18" i="16" s="1"/>
  <c r="H17" i="16"/>
  <c r="P17" i="16" s="1"/>
  <c r="O17" i="16" s="1"/>
  <c r="H16" i="16"/>
  <c r="H15" i="16"/>
  <c r="P15" i="16" s="1"/>
  <c r="O15" i="16" s="1"/>
  <c r="H14" i="16"/>
  <c r="P14" i="16" s="1"/>
  <c r="O14" i="16" s="1"/>
  <c r="H13" i="16"/>
  <c r="A2" i="16"/>
  <c r="A3" i="16"/>
  <c r="A10" i="16"/>
  <c r="B10" i="16"/>
  <c r="A12" i="16"/>
  <c r="B12" i="16"/>
  <c r="I12" i="16"/>
  <c r="K12" i="16"/>
  <c r="P12" i="16"/>
  <c r="O12" i="16" s="1"/>
  <c r="A13" i="16"/>
  <c r="B13" i="16"/>
  <c r="I13" i="16"/>
  <c r="K13" i="16"/>
  <c r="A14" i="16"/>
  <c r="B14" i="16"/>
  <c r="I14" i="16"/>
  <c r="K14" i="16"/>
  <c r="M14" i="16"/>
  <c r="A15" i="16"/>
  <c r="B15" i="16"/>
  <c r="K15" i="16"/>
  <c r="M15" i="16"/>
  <c r="A16" i="16"/>
  <c r="B16" i="16"/>
  <c r="I16" i="16"/>
  <c r="K16" i="16"/>
  <c r="M16" i="16"/>
  <c r="P16" i="16"/>
  <c r="O16" i="16" s="1"/>
  <c r="A17" i="16"/>
  <c r="B17" i="16"/>
  <c r="I17" i="16"/>
  <c r="K17" i="16"/>
  <c r="M17" i="16"/>
  <c r="A18" i="16"/>
  <c r="B18" i="16"/>
  <c r="I18" i="16"/>
  <c r="K18" i="16"/>
  <c r="M18" i="16"/>
  <c r="A19" i="16"/>
  <c r="B19" i="16"/>
  <c r="I19" i="16"/>
  <c r="K19" i="16"/>
  <c r="A20" i="16"/>
  <c r="B20" i="16"/>
  <c r="I20" i="16"/>
  <c r="K20" i="16"/>
  <c r="O20" i="16"/>
  <c r="A21" i="16"/>
  <c r="B21" i="16"/>
  <c r="I21" i="16"/>
  <c r="K21" i="16"/>
  <c r="P21" i="16"/>
  <c r="O21" i="16"/>
  <c r="A22" i="16"/>
  <c r="B22" i="16"/>
  <c r="I22" i="16"/>
  <c r="K22" i="16"/>
  <c r="P22" i="16"/>
  <c r="O22" i="16" s="1"/>
  <c r="A23" i="16"/>
  <c r="B23" i="16"/>
  <c r="K23" i="16"/>
  <c r="M23" i="16"/>
  <c r="A24" i="16"/>
  <c r="B24" i="16"/>
  <c r="I24" i="16"/>
  <c r="K24" i="16"/>
  <c r="A25" i="16"/>
  <c r="B25" i="16"/>
  <c r="I25" i="16"/>
  <c r="K25" i="16"/>
  <c r="M25" i="16"/>
  <c r="A26" i="16"/>
  <c r="B26" i="16"/>
  <c r="I26" i="16"/>
  <c r="K26" i="16"/>
  <c r="M26" i="16"/>
  <c r="A27" i="16"/>
  <c r="B27" i="16"/>
  <c r="I27" i="16"/>
  <c r="K27" i="16"/>
  <c r="A28" i="16"/>
  <c r="B28" i="16"/>
  <c r="I28" i="16"/>
  <c r="K28" i="16"/>
  <c r="A29" i="16"/>
  <c r="B29" i="16"/>
  <c r="I29" i="16"/>
  <c r="K29" i="16"/>
  <c r="P29" i="16"/>
  <c r="O29" i="16"/>
  <c r="A30" i="16"/>
  <c r="B30" i="16"/>
  <c r="I30" i="16"/>
  <c r="K30" i="16"/>
  <c r="M30" i="16"/>
  <c r="A31" i="16"/>
  <c r="B31" i="16"/>
  <c r="K31" i="16"/>
  <c r="M31" i="16"/>
  <c r="A32" i="16"/>
  <c r="B32" i="16"/>
  <c r="I32" i="16"/>
  <c r="K32" i="16"/>
  <c r="A33" i="16"/>
  <c r="B33" i="16"/>
  <c r="I33" i="16"/>
  <c r="K33" i="16"/>
  <c r="A34" i="16"/>
  <c r="B34" i="16"/>
  <c r="I34" i="16"/>
  <c r="K34" i="16"/>
  <c r="M34" i="16"/>
  <c r="A35" i="16"/>
  <c r="B35" i="16"/>
  <c r="I35" i="16"/>
  <c r="K35" i="16"/>
  <c r="A36" i="16"/>
  <c r="B36" i="16"/>
  <c r="I36" i="16"/>
  <c r="K36" i="16"/>
  <c r="P36" i="16"/>
  <c r="O36" i="16" s="1"/>
  <c r="A37" i="16"/>
  <c r="B37" i="16"/>
  <c r="I37" i="16"/>
  <c r="K37" i="16"/>
  <c r="O37" i="16"/>
  <c r="A38" i="16"/>
  <c r="B38" i="16"/>
  <c r="I38" i="16"/>
  <c r="K38" i="16"/>
  <c r="M38" i="16"/>
  <c r="P38" i="16"/>
  <c r="O38" i="16" s="1"/>
  <c r="A39" i="16"/>
  <c r="B39" i="16"/>
  <c r="K39" i="16"/>
  <c r="A40" i="16"/>
  <c r="B40" i="16"/>
  <c r="I40" i="16"/>
  <c r="K40" i="16"/>
  <c r="M40" i="16"/>
  <c r="P40" i="16"/>
  <c r="O40" i="16" s="1"/>
  <c r="A41" i="16"/>
  <c r="B41" i="16"/>
  <c r="I41" i="16"/>
  <c r="K41" i="16"/>
  <c r="M41" i="16"/>
  <c r="A42" i="16"/>
  <c r="B42" i="16"/>
  <c r="I42" i="16"/>
  <c r="K42" i="16"/>
  <c r="M42" i="16"/>
  <c r="A43" i="16"/>
  <c r="B43" i="16"/>
  <c r="I43" i="16"/>
  <c r="K43" i="16"/>
  <c r="A44" i="16"/>
  <c r="B44" i="16"/>
  <c r="I44" i="16"/>
  <c r="K44" i="16"/>
  <c r="O44" i="16"/>
  <c r="A45" i="16"/>
  <c r="B45" i="16"/>
  <c r="I45" i="16"/>
  <c r="K45" i="16"/>
  <c r="P45" i="16"/>
  <c r="O45" i="16"/>
  <c r="A46" i="16"/>
  <c r="B46" i="16"/>
  <c r="I46" i="16"/>
  <c r="K46" i="16"/>
  <c r="M46" i="16"/>
  <c r="P46" i="16"/>
  <c r="O46" i="16" s="1"/>
  <c r="A47" i="16"/>
  <c r="B47" i="16"/>
  <c r="K47" i="16"/>
  <c r="M47" i="16"/>
  <c r="A48" i="16"/>
  <c r="B48" i="16"/>
  <c r="I48" i="16"/>
  <c r="K48" i="16"/>
  <c r="M48" i="16"/>
  <c r="P48" i="16"/>
  <c r="O48" i="16" s="1"/>
  <c r="A49" i="16"/>
  <c r="B49" i="16"/>
  <c r="I49" i="16"/>
  <c r="K49" i="16"/>
  <c r="M49" i="16"/>
  <c r="P49" i="16"/>
  <c r="O49" i="16" s="1"/>
  <c r="A50" i="16"/>
  <c r="B50" i="16"/>
  <c r="I50" i="16"/>
  <c r="K50" i="16"/>
  <c r="M50" i="16"/>
  <c r="P50" i="16"/>
  <c r="O50" i="16"/>
  <c r="A51" i="16"/>
  <c r="B51" i="16"/>
  <c r="I51" i="16"/>
  <c r="K51" i="16"/>
  <c r="M51" i="16"/>
  <c r="P51" i="16"/>
  <c r="O51" i="16" s="1"/>
  <c r="A52" i="16"/>
  <c r="B52" i="16"/>
  <c r="I52" i="16"/>
  <c r="K52" i="16"/>
  <c r="P52" i="16"/>
  <c r="O52" i="16"/>
  <c r="A53" i="16"/>
  <c r="B53" i="16"/>
  <c r="I53" i="16"/>
  <c r="K53" i="16"/>
  <c r="P53" i="16"/>
  <c r="O53" i="16"/>
  <c r="A54" i="16"/>
  <c r="B54" i="16"/>
  <c r="I54" i="16"/>
  <c r="K54" i="16"/>
  <c r="M54" i="16"/>
  <c r="P54" i="16"/>
  <c r="O54" i="16" s="1"/>
  <c r="A55" i="16"/>
  <c r="B55" i="16"/>
  <c r="K55" i="16"/>
  <c r="M55" i="16"/>
  <c r="P55" i="16"/>
  <c r="O55" i="16" s="1"/>
  <c r="A57" i="16"/>
  <c r="B57" i="16"/>
  <c r="A59" i="16"/>
  <c r="B59" i="16"/>
  <c r="I59" i="16"/>
  <c r="K59" i="16"/>
  <c r="A60" i="16"/>
  <c r="B60" i="16"/>
  <c r="I60" i="16"/>
  <c r="K60" i="16"/>
  <c r="A61" i="16"/>
  <c r="B61" i="16"/>
  <c r="I61" i="16"/>
  <c r="K61" i="16"/>
  <c r="M61" i="16"/>
  <c r="A62" i="16"/>
  <c r="B62" i="16"/>
  <c r="I62" i="16"/>
  <c r="K62" i="16"/>
  <c r="A63" i="16"/>
  <c r="B63" i="16"/>
  <c r="I63" i="16"/>
  <c r="K63" i="16"/>
  <c r="A64" i="16"/>
  <c r="B64" i="16"/>
  <c r="I64" i="16"/>
  <c r="K64" i="16"/>
  <c r="M64" i="16"/>
  <c r="A65" i="16"/>
  <c r="B65" i="16"/>
  <c r="I65" i="16"/>
  <c r="K65" i="16"/>
  <c r="M65" i="16"/>
  <c r="P65" i="16"/>
  <c r="O65" i="16" s="1"/>
  <c r="A66" i="16"/>
  <c r="B66" i="16"/>
  <c r="I66" i="16"/>
  <c r="K66" i="16"/>
  <c r="O66" i="16"/>
  <c r="A67" i="16"/>
  <c r="B67" i="16"/>
  <c r="I67" i="16"/>
  <c r="K67" i="16"/>
  <c r="P67" i="16"/>
  <c r="O67" i="16"/>
  <c r="A68" i="16"/>
  <c r="B68" i="16"/>
  <c r="I68" i="16"/>
  <c r="K68" i="16"/>
  <c r="M68" i="16"/>
  <c r="P68" i="16"/>
  <c r="O68" i="16" s="1"/>
  <c r="A69" i="16"/>
  <c r="B69" i="16"/>
  <c r="I69" i="16"/>
  <c r="K69" i="16"/>
  <c r="M69" i="16"/>
  <c r="P69" i="16"/>
  <c r="O69" i="16" s="1"/>
  <c r="A70" i="16"/>
  <c r="B70" i="16"/>
  <c r="I70" i="16"/>
  <c r="K70" i="16"/>
  <c r="P70" i="16"/>
  <c r="O70" i="16"/>
  <c r="A71" i="16"/>
  <c r="B71" i="16"/>
  <c r="I71" i="16"/>
  <c r="K71" i="16"/>
  <c r="M71" i="16"/>
  <c r="P71" i="16"/>
  <c r="O71" i="16" s="1"/>
  <c r="A72" i="16"/>
  <c r="B72" i="16"/>
  <c r="I72" i="16"/>
  <c r="K72" i="16"/>
  <c r="M72" i="16"/>
  <c r="P72" i="16"/>
  <c r="O72" i="16" s="1"/>
  <c r="A74" i="16"/>
  <c r="B74" i="16"/>
  <c r="A76" i="16"/>
  <c r="B76" i="16"/>
  <c r="I76" i="16"/>
  <c r="M76" i="16"/>
  <c r="A77" i="16"/>
  <c r="B77" i="16"/>
  <c r="I77" i="16"/>
  <c r="A78" i="16"/>
  <c r="B78" i="16"/>
  <c r="I78" i="16"/>
  <c r="M78" i="16"/>
  <c r="P78" i="16"/>
  <c r="O78" i="16"/>
  <c r="A79" i="16"/>
  <c r="B79" i="16"/>
  <c r="I79" i="16"/>
  <c r="A80" i="16"/>
  <c r="B80" i="16"/>
  <c r="I80" i="16"/>
  <c r="A81" i="16"/>
  <c r="B81" i="16"/>
  <c r="I81" i="16"/>
  <c r="M81" i="16"/>
  <c r="A82" i="16"/>
  <c r="B82" i="16"/>
  <c r="I82" i="16"/>
  <c r="M82" i="16"/>
  <c r="P82" i="16"/>
  <c r="O82" i="16" s="1"/>
  <c r="A83" i="16"/>
  <c r="B83" i="16"/>
  <c r="I83" i="16"/>
  <c r="M83" i="16"/>
  <c r="P83" i="16"/>
  <c r="O83" i="16" s="1"/>
  <c r="A84" i="16"/>
  <c r="B84" i="16"/>
  <c r="I84" i="16"/>
  <c r="M84" i="16"/>
  <c r="A85" i="16"/>
  <c r="B85" i="16"/>
  <c r="I85" i="16"/>
  <c r="A86" i="16"/>
  <c r="B86" i="16"/>
  <c r="I86" i="16"/>
  <c r="M86" i="16"/>
  <c r="P86" i="16"/>
  <c r="O86" i="16"/>
  <c r="A87" i="16"/>
  <c r="B87" i="16"/>
  <c r="I87" i="16"/>
  <c r="O87" i="16"/>
  <c r="A88" i="16"/>
  <c r="B88" i="16"/>
  <c r="I88" i="16"/>
  <c r="A89" i="16"/>
  <c r="B89" i="16"/>
  <c r="I89" i="16"/>
  <c r="K89" i="16"/>
  <c r="M89" i="16"/>
  <c r="P89" i="16"/>
  <c r="O89" i="16" s="1"/>
  <c r="A90" i="16"/>
  <c r="B90" i="16"/>
  <c r="I90" i="16"/>
  <c r="K90" i="16"/>
  <c r="M90" i="16"/>
  <c r="P90" i="16"/>
  <c r="O90" i="16" s="1"/>
  <c r="A91" i="16"/>
  <c r="B91" i="16"/>
  <c r="I91" i="16"/>
  <c r="K91" i="16"/>
  <c r="M91" i="16"/>
  <c r="P91" i="16"/>
  <c r="O91" i="16"/>
  <c r="A92" i="16"/>
  <c r="B92" i="16"/>
  <c r="I92" i="16"/>
  <c r="K92" i="16"/>
  <c r="M92" i="16"/>
  <c r="P92" i="16"/>
  <c r="O92" i="16"/>
  <c r="A93" i="16"/>
  <c r="B93" i="16"/>
  <c r="I93" i="16"/>
  <c r="K93" i="16"/>
  <c r="M93" i="16"/>
  <c r="P93" i="16"/>
  <c r="O93" i="16" s="1"/>
  <c r="A94" i="16"/>
  <c r="B94" i="16"/>
  <c r="I94" i="16"/>
  <c r="K94" i="16"/>
  <c r="M94" i="16"/>
  <c r="P94" i="16"/>
  <c r="O94" i="16"/>
  <c r="A95" i="16"/>
  <c r="B95" i="16"/>
  <c r="I95" i="16"/>
  <c r="K95" i="16"/>
  <c r="P95" i="16"/>
  <c r="O95" i="16"/>
  <c r="A96" i="16"/>
  <c r="B96" i="16"/>
  <c r="I96" i="16"/>
  <c r="K96" i="16"/>
  <c r="P96" i="16"/>
  <c r="O96" i="16"/>
  <c r="A97" i="16"/>
  <c r="B97" i="16"/>
  <c r="I97" i="16"/>
  <c r="K97" i="16"/>
  <c r="M97" i="16"/>
  <c r="P97" i="16"/>
  <c r="O97" i="16" s="1"/>
  <c r="A99" i="16"/>
  <c r="B99" i="16"/>
  <c r="A101" i="16"/>
  <c r="B101" i="16"/>
  <c r="I101" i="16"/>
  <c r="K101" i="16"/>
  <c r="P101" i="16"/>
  <c r="O101" i="16" s="1"/>
  <c r="A102" i="16"/>
  <c r="B102" i="16"/>
  <c r="I102" i="16"/>
  <c r="K102" i="16"/>
  <c r="A103" i="16"/>
  <c r="B103" i="16"/>
  <c r="I103" i="16"/>
  <c r="K103" i="16"/>
  <c r="P103" i="16"/>
  <c r="O103" i="16" s="1"/>
  <c r="A104" i="16"/>
  <c r="B104" i="16"/>
  <c r="K104" i="16"/>
  <c r="M104" i="16"/>
  <c r="P104" i="16"/>
  <c r="O104" i="16" s="1"/>
  <c r="A105" i="16"/>
  <c r="B105" i="16"/>
  <c r="I105" i="16"/>
  <c r="K105" i="16"/>
  <c r="M105" i="16"/>
  <c r="P105" i="16"/>
  <c r="O105" i="16"/>
  <c r="A106" i="16"/>
  <c r="B106" i="16"/>
  <c r="I106" i="16"/>
  <c r="K106" i="16"/>
  <c r="M106" i="16"/>
  <c r="P106" i="16"/>
  <c r="O106" i="16" s="1"/>
  <c r="A108" i="16"/>
  <c r="B108" i="16"/>
  <c r="A110" i="16"/>
  <c r="B110" i="16"/>
  <c r="I110" i="16"/>
  <c r="K110" i="16"/>
  <c r="M110" i="16"/>
  <c r="A111" i="16"/>
  <c r="B111" i="16"/>
  <c r="I111" i="16"/>
  <c r="K111" i="16"/>
  <c r="A112" i="16"/>
  <c r="B112" i="16"/>
  <c r="I112" i="16"/>
  <c r="K112" i="16"/>
  <c r="P112" i="16"/>
  <c r="O112" i="16" s="1"/>
  <c r="A113" i="16"/>
  <c r="B113" i="16"/>
  <c r="I113" i="16"/>
  <c r="K113" i="16"/>
  <c r="M113" i="16"/>
  <c r="P113" i="16"/>
  <c r="O113" i="16" s="1"/>
  <c r="A114" i="16"/>
  <c r="B114" i="16"/>
  <c r="I114" i="16"/>
  <c r="K114" i="16"/>
  <c r="P114" i="16"/>
  <c r="O114" i="16" s="1"/>
  <c r="A115" i="16"/>
  <c r="B115" i="16"/>
  <c r="K115" i="16"/>
  <c r="M115" i="16"/>
  <c r="P115" i="16"/>
  <c r="O115" i="16" s="1"/>
  <c r="A117" i="16"/>
  <c r="B117" i="16"/>
  <c r="A119" i="16"/>
  <c r="B119" i="16"/>
  <c r="I119" i="16"/>
  <c r="K119" i="16"/>
  <c r="M119" i="16"/>
  <c r="O119" i="16"/>
  <c r="A120" i="16"/>
  <c r="B120" i="16"/>
  <c r="I120" i="16"/>
  <c r="K120" i="16"/>
  <c r="M120" i="16"/>
  <c r="P120" i="16"/>
  <c r="O120" i="16" s="1"/>
  <c r="A121" i="16"/>
  <c r="B121" i="16"/>
  <c r="I121" i="16"/>
  <c r="M121" i="16"/>
  <c r="A122" i="16"/>
  <c r="B122" i="16"/>
  <c r="I122" i="16"/>
  <c r="K122" i="16"/>
  <c r="A123" i="16"/>
  <c r="B123" i="16"/>
  <c r="I123" i="16"/>
  <c r="O123" i="16"/>
  <c r="A124" i="16"/>
  <c r="B124" i="16"/>
  <c r="I124" i="16"/>
  <c r="M124" i="16"/>
  <c r="P124" i="16"/>
  <c r="O124" i="16" s="1"/>
  <c r="A125" i="16"/>
  <c r="B125" i="16"/>
  <c r="I125" i="16"/>
  <c r="K125" i="16"/>
  <c r="M125" i="16"/>
  <c r="P125" i="16"/>
  <c r="O125" i="16" s="1"/>
  <c r="A126" i="16"/>
  <c r="B126" i="16"/>
  <c r="I126" i="16"/>
  <c r="M126" i="16"/>
  <c r="P126" i="16"/>
  <c r="O126" i="16" s="1"/>
  <c r="A127" i="16"/>
  <c r="B127" i="16"/>
  <c r="I127" i="16"/>
  <c r="K127" i="16"/>
  <c r="M127" i="16"/>
  <c r="P127" i="16"/>
  <c r="O127" i="16"/>
  <c r="A128" i="16"/>
  <c r="B128" i="16"/>
  <c r="I128" i="16"/>
  <c r="K128" i="16"/>
  <c r="M128" i="16"/>
  <c r="P128" i="16"/>
  <c r="O128" i="16" s="1"/>
  <c r="A129" i="16"/>
  <c r="B129" i="16"/>
  <c r="I129" i="16"/>
  <c r="K129" i="16"/>
  <c r="M129" i="16"/>
  <c r="P129" i="16"/>
  <c r="O129" i="16" s="1"/>
  <c r="A130" i="16"/>
  <c r="B130" i="16"/>
  <c r="I130" i="16"/>
  <c r="K130" i="16"/>
  <c r="P130" i="16"/>
  <c r="O130" i="16" s="1"/>
  <c r="A131" i="16"/>
  <c r="B131" i="16"/>
  <c r="I131" i="16"/>
  <c r="K131" i="16"/>
  <c r="P131" i="16"/>
  <c r="O131" i="16"/>
  <c r="A132" i="16"/>
  <c r="B132" i="16"/>
  <c r="I132" i="16"/>
  <c r="K132" i="16"/>
  <c r="M132" i="16"/>
  <c r="P132" i="16"/>
  <c r="O132" i="16" s="1"/>
  <c r="A133" i="16"/>
  <c r="B133" i="16"/>
  <c r="I133" i="16"/>
  <c r="K133" i="16"/>
  <c r="M133" i="16"/>
  <c r="P133" i="16"/>
  <c r="O133" i="16" s="1"/>
  <c r="A134" i="16"/>
  <c r="B134" i="16"/>
  <c r="I134" i="16"/>
  <c r="K134" i="16"/>
  <c r="M134" i="16"/>
  <c r="P134" i="16"/>
  <c r="O134" i="16" s="1"/>
  <c r="A136" i="16"/>
  <c r="B136" i="16"/>
  <c r="A138" i="16"/>
  <c r="B138" i="16"/>
  <c r="I138" i="16"/>
  <c r="M138" i="16"/>
  <c r="P138" i="16"/>
  <c r="A139" i="16"/>
  <c r="B139" i="16"/>
  <c r="I139" i="16"/>
  <c r="A140" i="16"/>
  <c r="B140" i="16"/>
  <c r="I140" i="16"/>
  <c r="K140" i="16"/>
  <c r="M140" i="16"/>
  <c r="P140" i="16"/>
  <c r="O140" i="16"/>
  <c r="A141" i="16"/>
  <c r="B141" i="16"/>
  <c r="I141" i="16"/>
  <c r="K141" i="16"/>
  <c r="P141" i="16"/>
  <c r="O141" i="16" s="1"/>
  <c r="A142" i="16"/>
  <c r="B142" i="16"/>
  <c r="I142" i="16"/>
  <c r="K142" i="16"/>
  <c r="P142" i="16"/>
  <c r="O142" i="16" s="1"/>
  <c r="A143" i="16"/>
  <c r="B143" i="16"/>
  <c r="I143" i="16"/>
  <c r="K143" i="16"/>
  <c r="M143" i="16"/>
  <c r="P143" i="16"/>
  <c r="O143" i="16" s="1"/>
  <c r="A144" i="16"/>
  <c r="B144" i="16"/>
  <c r="I144" i="16"/>
  <c r="K144" i="16"/>
  <c r="M144" i="16"/>
  <c r="P144" i="16"/>
  <c r="O144" i="16"/>
  <c r="A145" i="16"/>
  <c r="B145" i="16"/>
  <c r="I145" i="16"/>
  <c r="K145" i="16"/>
  <c r="M145" i="16"/>
  <c r="P145" i="16"/>
  <c r="O145" i="16" s="1"/>
  <c r="A146" i="16"/>
  <c r="B146" i="16"/>
  <c r="I146" i="16"/>
  <c r="K146" i="16"/>
  <c r="M146" i="16"/>
  <c r="P146" i="16"/>
  <c r="O146" i="16" s="1"/>
  <c r="A148" i="16"/>
  <c r="B148" i="16"/>
  <c r="A150" i="16"/>
  <c r="B150" i="16"/>
  <c r="I150" i="16"/>
  <c r="M150" i="16"/>
  <c r="P150" i="16"/>
  <c r="A151" i="16"/>
  <c r="B151" i="16"/>
  <c r="I151" i="16"/>
  <c r="M151" i="16"/>
  <c r="P151" i="16"/>
  <c r="O151" i="16" s="1"/>
  <c r="A152" i="16"/>
  <c r="B152" i="16"/>
  <c r="I152" i="16"/>
  <c r="A153" i="16"/>
  <c r="B153" i="16"/>
  <c r="I153" i="16"/>
  <c r="K153" i="16"/>
  <c r="M153" i="16"/>
  <c r="P153" i="16"/>
  <c r="O153" i="16"/>
  <c r="A154" i="16"/>
  <c r="B154" i="16"/>
  <c r="I154" i="16"/>
  <c r="M154" i="16"/>
  <c r="P154" i="16"/>
  <c r="O154" i="16" s="1"/>
  <c r="A155" i="16"/>
  <c r="B155" i="16"/>
  <c r="I155" i="16"/>
  <c r="M155" i="16"/>
  <c r="P155" i="16"/>
  <c r="O155" i="16" s="1"/>
  <c r="A156" i="16"/>
  <c r="B156" i="16"/>
  <c r="I156" i="16"/>
  <c r="P156" i="16"/>
  <c r="O156" i="16" s="1"/>
  <c r="A157" i="16"/>
  <c r="B157" i="16"/>
  <c r="I157" i="16"/>
  <c r="M157" i="16"/>
  <c r="O157" i="16"/>
  <c r="A158" i="16"/>
  <c r="B158" i="16"/>
  <c r="I158" i="16"/>
  <c r="M158" i="16"/>
  <c r="A159" i="16"/>
  <c r="B159" i="16"/>
  <c r="I159" i="16"/>
  <c r="K159" i="16"/>
  <c r="M159" i="16"/>
  <c r="P159" i="16"/>
  <c r="O159" i="16" s="1"/>
  <c r="A160" i="16"/>
  <c r="B160" i="16"/>
  <c r="I160" i="16"/>
  <c r="A161" i="16"/>
  <c r="B161" i="16"/>
  <c r="I161" i="16"/>
  <c r="K161" i="16"/>
  <c r="M161" i="16"/>
  <c r="A162" i="16"/>
  <c r="B162" i="16"/>
  <c r="I162" i="16"/>
  <c r="M162" i="16"/>
  <c r="P162" i="16"/>
  <c r="O162" i="16" s="1"/>
  <c r="A163" i="16"/>
  <c r="B163" i="16"/>
  <c r="I163" i="16"/>
  <c r="K163" i="16"/>
  <c r="M163" i="16"/>
  <c r="P163" i="16"/>
  <c r="O163" i="16" s="1"/>
  <c r="A164" i="16"/>
  <c r="B164" i="16"/>
  <c r="I164" i="16"/>
  <c r="K164" i="16"/>
  <c r="P164" i="16"/>
  <c r="O164" i="16" s="1"/>
  <c r="A165" i="16"/>
  <c r="B165" i="16"/>
  <c r="I165" i="16"/>
  <c r="K165" i="16"/>
  <c r="M165" i="16"/>
  <c r="P165" i="16"/>
  <c r="O165" i="16"/>
  <c r="A166" i="16"/>
  <c r="B166" i="16"/>
  <c r="I166" i="16"/>
  <c r="K166" i="16"/>
  <c r="M166" i="16"/>
  <c r="P166" i="16"/>
  <c r="O166" i="16" s="1"/>
  <c r="A167" i="16"/>
  <c r="B167" i="16"/>
  <c r="I167" i="16"/>
  <c r="K167" i="16"/>
  <c r="P167" i="16"/>
  <c r="O167" i="16" s="1"/>
  <c r="A168" i="16"/>
  <c r="B168" i="16"/>
  <c r="I168" i="16"/>
  <c r="K168" i="16"/>
  <c r="P168" i="16"/>
  <c r="O168" i="16" s="1"/>
  <c r="A169" i="16"/>
  <c r="B169" i="16"/>
  <c r="I169" i="16"/>
  <c r="K169" i="16"/>
  <c r="M169" i="16"/>
  <c r="P169" i="16"/>
  <c r="O169" i="16" s="1"/>
  <c r="A171" i="16"/>
  <c r="B171" i="16"/>
  <c r="A173" i="16"/>
  <c r="B173" i="16"/>
  <c r="I173" i="16"/>
  <c r="K173" i="16"/>
  <c r="A174" i="16"/>
  <c r="B174" i="16"/>
  <c r="I174" i="16"/>
  <c r="K174" i="16"/>
  <c r="M174" i="16"/>
  <c r="P174" i="16"/>
  <c r="O174" i="16" s="1"/>
  <c r="A175" i="16"/>
  <c r="B175" i="16"/>
  <c r="K175" i="16"/>
  <c r="A176" i="16"/>
  <c r="B176" i="16"/>
  <c r="I176" i="16"/>
  <c r="K176" i="16"/>
  <c r="P176" i="16"/>
  <c r="O176" i="16" s="1"/>
  <c r="A177" i="16"/>
  <c r="B177" i="16"/>
  <c r="I177" i="16"/>
  <c r="K177" i="16"/>
  <c r="M177" i="16"/>
  <c r="P177" i="16"/>
  <c r="O177" i="16" s="1"/>
  <c r="A178" i="16"/>
  <c r="B178" i="16"/>
  <c r="I178" i="16"/>
  <c r="K178" i="16"/>
  <c r="M178" i="16"/>
  <c r="P178" i="16"/>
  <c r="O178" i="16"/>
  <c r="A180" i="16"/>
  <c r="A182" i="16"/>
  <c r="I182" i="16"/>
  <c r="K182" i="16"/>
  <c r="A183" i="16"/>
  <c r="I183" i="16"/>
  <c r="K183" i="16"/>
  <c r="A184" i="16"/>
  <c r="I184" i="16"/>
  <c r="K184" i="16"/>
  <c r="A185" i="16"/>
  <c r="K185" i="16"/>
  <c r="A187" i="16"/>
  <c r="A189" i="16"/>
  <c r="H189" i="16"/>
  <c r="I189" i="16"/>
  <c r="L189" i="16"/>
  <c r="A190" i="16"/>
  <c r="H190" i="16"/>
  <c r="I190" i="16"/>
  <c r="L190" i="16"/>
  <c r="K190" i="16"/>
  <c r="A191" i="16"/>
  <c r="H191" i="16"/>
  <c r="I191" i="16"/>
  <c r="L191" i="16"/>
  <c r="K191" i="16" s="1"/>
  <c r="A192" i="16"/>
  <c r="H192" i="16"/>
  <c r="I192" i="16"/>
  <c r="L192" i="16"/>
  <c r="K192" i="16" s="1"/>
  <c r="A193" i="16"/>
  <c r="H193" i="16"/>
  <c r="I193" i="16"/>
  <c r="L193" i="16"/>
  <c r="K193" i="16" s="1"/>
  <c r="A194" i="16"/>
  <c r="H194" i="16"/>
  <c r="I194" i="16"/>
  <c r="L194" i="16"/>
  <c r="K194" i="16" s="1"/>
  <c r="A195" i="16"/>
  <c r="H195" i="16"/>
  <c r="I195" i="16"/>
  <c r="L195" i="16"/>
  <c r="K195" i="16" s="1"/>
  <c r="A196" i="16"/>
  <c r="H196" i="16"/>
  <c r="I196" i="16"/>
  <c r="L196" i="16"/>
  <c r="K196" i="16" s="1"/>
  <c r="A200" i="16"/>
  <c r="A202" i="16"/>
  <c r="A204" i="16"/>
  <c r="A205" i="16"/>
  <c r="A206" i="16"/>
  <c r="A207" i="16"/>
  <c r="A208" i="16"/>
  <c r="A209" i="16"/>
  <c r="A210" i="16"/>
  <c r="A211" i="16"/>
  <c r="K211" i="16"/>
  <c r="A212" i="16"/>
  <c r="A214" i="16"/>
  <c r="K223" i="16"/>
  <c r="A224" i="16"/>
  <c r="K224" i="16"/>
  <c r="K225" i="16"/>
  <c r="L189" i="11"/>
  <c r="K189" i="11" s="1"/>
  <c r="L190" i="11"/>
  <c r="K190" i="11" s="1"/>
  <c r="L191" i="11"/>
  <c r="L192" i="11"/>
  <c r="K192" i="11" s="1"/>
  <c r="L193" i="11"/>
  <c r="K193" i="11" s="1"/>
  <c r="L194" i="11"/>
  <c r="K194" i="11" s="1"/>
  <c r="L195" i="11"/>
  <c r="L196" i="11"/>
  <c r="K196" i="11" s="1"/>
  <c r="H173" i="11"/>
  <c r="H174" i="11"/>
  <c r="P174" i="11"/>
  <c r="O174" i="11" s="1"/>
  <c r="H175" i="11"/>
  <c r="H176" i="11"/>
  <c r="P176" i="11" s="1"/>
  <c r="O176" i="11" s="1"/>
  <c r="P177" i="11"/>
  <c r="P178" i="11"/>
  <c r="O178" i="11" s="1"/>
  <c r="H59" i="11"/>
  <c r="H60" i="11"/>
  <c r="P60" i="11" s="1"/>
  <c r="O60" i="11" s="1"/>
  <c r="H61" i="11"/>
  <c r="P61" i="11" s="1"/>
  <c r="H62" i="11"/>
  <c r="H63" i="11"/>
  <c r="P63" i="11"/>
  <c r="O63" i="11" s="1"/>
  <c r="H64" i="11"/>
  <c r="P64" i="11" s="1"/>
  <c r="O64" i="11" s="1"/>
  <c r="H65" i="11"/>
  <c r="P65" i="11" s="1"/>
  <c r="H66" i="11"/>
  <c r="P66" i="11"/>
  <c r="O66" i="11" s="1"/>
  <c r="P67" i="11"/>
  <c r="O67" i="11" s="1"/>
  <c r="P68" i="11"/>
  <c r="P69" i="11"/>
  <c r="P70" i="11"/>
  <c r="O70" i="11" s="1"/>
  <c r="P71" i="11"/>
  <c r="P72" i="11"/>
  <c r="H101" i="11"/>
  <c r="P101" i="11"/>
  <c r="H102" i="11"/>
  <c r="P102" i="11" s="1"/>
  <c r="P103" i="11"/>
  <c r="O103" i="11" s="1"/>
  <c r="P104" i="11"/>
  <c r="O104" i="11" s="1"/>
  <c r="P105" i="11"/>
  <c r="P106" i="11"/>
  <c r="O106" i="11" s="1"/>
  <c r="H110" i="11"/>
  <c r="P110" i="11" s="1"/>
  <c r="H111" i="11"/>
  <c r="P111" i="11" s="1"/>
  <c r="O111" i="11" s="1"/>
  <c r="H112" i="11"/>
  <c r="P112" i="11" s="1"/>
  <c r="P113" i="11"/>
  <c r="P114" i="11"/>
  <c r="P115" i="11"/>
  <c r="H119" i="11"/>
  <c r="P119" i="11" s="1"/>
  <c r="H120" i="11"/>
  <c r="P120" i="11" s="1"/>
  <c r="O120" i="11" s="1"/>
  <c r="H121" i="11"/>
  <c r="P121" i="11" s="1"/>
  <c r="O121" i="11" s="1"/>
  <c r="H122" i="11"/>
  <c r="P122" i="11"/>
  <c r="O122" i="11" s="1"/>
  <c r="H123" i="11"/>
  <c r="P123" i="11" s="1"/>
  <c r="O123" i="11" s="1"/>
  <c r="H124" i="11"/>
  <c r="P124" i="11" s="1"/>
  <c r="O124" i="11" s="1"/>
  <c r="H125" i="11"/>
  <c r="P125" i="11" s="1"/>
  <c r="O125" i="11" s="1"/>
  <c r="H126" i="11"/>
  <c r="P126" i="11" s="1"/>
  <c r="O126" i="11" s="1"/>
  <c r="P127" i="11"/>
  <c r="O127" i="11" s="1"/>
  <c r="P128" i="11"/>
  <c r="O128" i="11" s="1"/>
  <c r="P129" i="11"/>
  <c r="P130" i="11"/>
  <c r="P131" i="11"/>
  <c r="O131" i="11" s="1"/>
  <c r="P132" i="11"/>
  <c r="P133" i="11"/>
  <c r="P134" i="11"/>
  <c r="P12" i="11"/>
  <c r="H13" i="11"/>
  <c r="H14" i="11"/>
  <c r="P14" i="11"/>
  <c r="O14" i="11" s="1"/>
  <c r="H15" i="11"/>
  <c r="P15" i="11" s="1"/>
  <c r="O15" i="11" s="1"/>
  <c r="H16" i="11"/>
  <c r="P16" i="11"/>
  <c r="H17" i="11"/>
  <c r="P17" i="11" s="1"/>
  <c r="O17" i="11" s="1"/>
  <c r="H18" i="11"/>
  <c r="P18" i="11" s="1"/>
  <c r="O18" i="11" s="1"/>
  <c r="H19" i="11"/>
  <c r="H20" i="11"/>
  <c r="P20" i="11" s="1"/>
  <c r="O20" i="11" s="1"/>
  <c r="H21" i="11"/>
  <c r="P21" i="11" s="1"/>
  <c r="H22" i="11"/>
  <c r="P22" i="11" s="1"/>
  <c r="O22" i="11" s="1"/>
  <c r="H23" i="11"/>
  <c r="P23" i="11" s="1"/>
  <c r="O23" i="11" s="1"/>
  <c r="H24" i="11"/>
  <c r="H25" i="11"/>
  <c r="P25" i="11" s="1"/>
  <c r="H26" i="11"/>
  <c r="P26" i="11"/>
  <c r="O26" i="11" s="1"/>
  <c r="H27" i="11"/>
  <c r="H28" i="11"/>
  <c r="P28" i="11" s="1"/>
  <c r="O28" i="11" s="1"/>
  <c r="H29" i="11"/>
  <c r="P29" i="11" s="1"/>
  <c r="H30" i="11"/>
  <c r="P30" i="11"/>
  <c r="O30" i="11" s="1"/>
  <c r="H31" i="11"/>
  <c r="P31" i="11" s="1"/>
  <c r="O31" i="11" s="1"/>
  <c r="H32" i="11"/>
  <c r="H33" i="11"/>
  <c r="H34" i="11"/>
  <c r="P34" i="11" s="1"/>
  <c r="O34" i="11" s="1"/>
  <c r="H35" i="11"/>
  <c r="H36" i="11"/>
  <c r="P36" i="11" s="1"/>
  <c r="O36" i="11" s="1"/>
  <c r="H37" i="11"/>
  <c r="P37" i="11" s="1"/>
  <c r="O37" i="11" s="1"/>
  <c r="H38" i="11"/>
  <c r="P38" i="11" s="1"/>
  <c r="O38" i="11" s="1"/>
  <c r="H39" i="11"/>
  <c r="P39" i="11"/>
  <c r="O39" i="11" s="1"/>
  <c r="H40" i="11"/>
  <c r="P40" i="11" s="1"/>
  <c r="O40" i="11" s="1"/>
  <c r="H41" i="11"/>
  <c r="P41" i="11" s="1"/>
  <c r="O41" i="11" s="1"/>
  <c r="H42" i="11"/>
  <c r="P42" i="11" s="1"/>
  <c r="O42" i="11" s="1"/>
  <c r="H43" i="11"/>
  <c r="H44" i="11"/>
  <c r="P44" i="11"/>
  <c r="O44" i="11" s="1"/>
  <c r="H45" i="11"/>
  <c r="P45" i="11" s="1"/>
  <c r="H46" i="11"/>
  <c r="P46" i="11" s="1"/>
  <c r="O46" i="11" s="1"/>
  <c r="H47" i="11"/>
  <c r="P47" i="11" s="1"/>
  <c r="O47" i="11" s="1"/>
  <c r="H48" i="11"/>
  <c r="P48" i="11"/>
  <c r="P49" i="11"/>
  <c r="O49" i="11" s="1"/>
  <c r="P50" i="11"/>
  <c r="P51" i="11"/>
  <c r="O51" i="11" s="1"/>
  <c r="P52" i="11"/>
  <c r="O52" i="11" s="1"/>
  <c r="P53" i="11"/>
  <c r="P54" i="11"/>
  <c r="O54" i="11" s="1"/>
  <c r="P55" i="11"/>
  <c r="H76" i="11"/>
  <c r="P76" i="11" s="1"/>
  <c r="H77" i="11"/>
  <c r="P77" i="11"/>
  <c r="O77" i="11" s="1"/>
  <c r="H78" i="11"/>
  <c r="P78" i="11" s="1"/>
  <c r="H79" i="11"/>
  <c r="P79" i="11" s="1"/>
  <c r="O79" i="11" s="1"/>
  <c r="H80" i="11"/>
  <c r="P80" i="11" s="1"/>
  <c r="O80" i="11" s="1"/>
  <c r="H81" i="11"/>
  <c r="P81" i="11" s="1"/>
  <c r="O81" i="11" s="1"/>
  <c r="H82" i="11"/>
  <c r="P82" i="11" s="1"/>
  <c r="O82" i="11" s="1"/>
  <c r="H83" i="11"/>
  <c r="P83" i="11" s="1"/>
  <c r="O83" i="11" s="1"/>
  <c r="H84" i="11"/>
  <c r="P84" i="11" s="1"/>
  <c r="O84" i="11" s="1"/>
  <c r="H85" i="11"/>
  <c r="P85" i="11"/>
  <c r="O85" i="11" s="1"/>
  <c r="H86" i="11"/>
  <c r="P86" i="11"/>
  <c r="H87" i="11"/>
  <c r="P87" i="11" s="1"/>
  <c r="O87" i="11" s="1"/>
  <c r="H88" i="11"/>
  <c r="P88" i="11" s="1"/>
  <c r="P89" i="11"/>
  <c r="P90" i="11"/>
  <c r="O90" i="11" s="1"/>
  <c r="P91" i="11"/>
  <c r="O91" i="11" s="1"/>
  <c r="P92" i="11"/>
  <c r="O92" i="11" s="1"/>
  <c r="P93" i="11"/>
  <c r="O93" i="11" s="1"/>
  <c r="P94" i="11"/>
  <c r="P95" i="11"/>
  <c r="O95" i="11" s="1"/>
  <c r="P96" i="11"/>
  <c r="P97" i="11"/>
  <c r="H138" i="11"/>
  <c r="P138" i="11" s="1"/>
  <c r="O138" i="11" s="1"/>
  <c r="H139" i="11"/>
  <c r="P139" i="11"/>
  <c r="O139" i="11" s="1"/>
  <c r="P140" i="11"/>
  <c r="P141" i="11"/>
  <c r="P142" i="11"/>
  <c r="O142" i="11" s="1"/>
  <c r="P143" i="11"/>
  <c r="O143" i="11" s="1"/>
  <c r="P144" i="11"/>
  <c r="P145" i="11"/>
  <c r="O145" i="11" s="1"/>
  <c r="P146" i="11"/>
  <c r="H150" i="11"/>
  <c r="P150" i="11" s="1"/>
  <c r="H151" i="11"/>
  <c r="P151" i="11" s="1"/>
  <c r="O151" i="11" s="1"/>
  <c r="H152" i="11"/>
  <c r="P152" i="11" s="1"/>
  <c r="O152" i="11" s="1"/>
  <c r="H153" i="11"/>
  <c r="P153" i="11"/>
  <c r="O153" i="11" s="1"/>
  <c r="H154" i="11"/>
  <c r="P154" i="11" s="1"/>
  <c r="O154" i="11" s="1"/>
  <c r="H155" i="11"/>
  <c r="P155" i="11" s="1"/>
  <c r="O155" i="11" s="1"/>
  <c r="H156" i="11"/>
  <c r="P156" i="11"/>
  <c r="O156" i="11" s="1"/>
  <c r="H157" i="11"/>
  <c r="P157" i="11" s="1"/>
  <c r="O157" i="11" s="1"/>
  <c r="H158" i="11"/>
  <c r="P158" i="11" s="1"/>
  <c r="O158" i="11" s="1"/>
  <c r="H159" i="11"/>
  <c r="P159" i="11" s="1"/>
  <c r="O159" i="11" s="1"/>
  <c r="H160" i="11"/>
  <c r="P160" i="11" s="1"/>
  <c r="O160" i="11" s="1"/>
  <c r="H161" i="11"/>
  <c r="P161" i="11"/>
  <c r="O161" i="11" s="1"/>
  <c r="H162" i="11"/>
  <c r="P162" i="11" s="1"/>
  <c r="O162" i="11" s="1"/>
  <c r="P163" i="11"/>
  <c r="O163" i="11" s="1"/>
  <c r="P164" i="11"/>
  <c r="O164" i="11" s="1"/>
  <c r="P165" i="11"/>
  <c r="P166" i="11"/>
  <c r="P167" i="11"/>
  <c r="P168" i="11"/>
  <c r="O168" i="11" s="1"/>
  <c r="P169" i="11"/>
  <c r="O169" i="11" s="1"/>
  <c r="K225" i="11"/>
  <c r="K224" i="11"/>
  <c r="K223" i="11"/>
  <c r="A224" i="11"/>
  <c r="A200" i="11"/>
  <c r="A202" i="11"/>
  <c r="K205" i="11"/>
  <c r="A214" i="11"/>
  <c r="A212" i="11"/>
  <c r="A211" i="11"/>
  <c r="A210" i="11"/>
  <c r="A209" i="11"/>
  <c r="A208" i="11"/>
  <c r="A207" i="11"/>
  <c r="A206" i="11"/>
  <c r="A205" i="11"/>
  <c r="A204" i="11"/>
  <c r="I196" i="11"/>
  <c r="H196" i="11"/>
  <c r="K195" i="11"/>
  <c r="I195" i="11"/>
  <c r="H195" i="11"/>
  <c r="I194" i="11"/>
  <c r="H194" i="11"/>
  <c r="I193" i="11"/>
  <c r="H193" i="11"/>
  <c r="H192" i="11"/>
  <c r="I192" i="11"/>
  <c r="H191" i="11"/>
  <c r="I191" i="11"/>
  <c r="H190" i="11"/>
  <c r="I190" i="11"/>
  <c r="H189" i="11"/>
  <c r="I189" i="11"/>
  <c r="K185" i="11"/>
  <c r="H185" i="11"/>
  <c r="K184" i="11"/>
  <c r="I184" i="11"/>
  <c r="H184" i="11"/>
  <c r="H183" i="11"/>
  <c r="K183" i="11"/>
  <c r="I183" i="11"/>
  <c r="H182" i="11"/>
  <c r="K182" i="11"/>
  <c r="I182" i="11"/>
  <c r="M178" i="11"/>
  <c r="K178" i="11"/>
  <c r="I178" i="11"/>
  <c r="H178" i="11"/>
  <c r="O177" i="11"/>
  <c r="M177" i="11"/>
  <c r="K177" i="11"/>
  <c r="I177" i="11"/>
  <c r="H177" i="11"/>
  <c r="M176" i="11"/>
  <c r="K176" i="11"/>
  <c r="I176" i="11"/>
  <c r="K175" i="11"/>
  <c r="I175" i="11"/>
  <c r="M174" i="11"/>
  <c r="K174" i="11"/>
  <c r="I174" i="11"/>
  <c r="K173" i="11"/>
  <c r="I173" i="11"/>
  <c r="A196" i="11"/>
  <c r="A195" i="11"/>
  <c r="A194" i="11"/>
  <c r="A193" i="11"/>
  <c r="A192" i="11"/>
  <c r="A191" i="11"/>
  <c r="A190" i="11"/>
  <c r="A189" i="11"/>
  <c r="A185" i="11"/>
  <c r="A184" i="11"/>
  <c r="A183" i="11"/>
  <c r="A182" i="11"/>
  <c r="A187" i="11"/>
  <c r="B178" i="11"/>
  <c r="A178" i="11"/>
  <c r="B177" i="11"/>
  <c r="A177" i="11"/>
  <c r="B176" i="11"/>
  <c r="A176" i="11"/>
  <c r="B175" i="11"/>
  <c r="A175" i="11"/>
  <c r="B174" i="11"/>
  <c r="A174" i="11"/>
  <c r="B173" i="11"/>
  <c r="A173" i="11"/>
  <c r="A180" i="11"/>
  <c r="B171" i="11"/>
  <c r="A171" i="11"/>
  <c r="L160" i="1"/>
  <c r="K160" i="1" s="1"/>
  <c r="K169" i="11"/>
  <c r="I169" i="11"/>
  <c r="H169" i="11"/>
  <c r="K168" i="11"/>
  <c r="I168" i="11"/>
  <c r="H168" i="11"/>
  <c r="O167" i="11"/>
  <c r="M167" i="11"/>
  <c r="K167" i="11"/>
  <c r="I167" i="11"/>
  <c r="H167" i="11"/>
  <c r="O166" i="11"/>
  <c r="M166" i="11"/>
  <c r="K166" i="11"/>
  <c r="I166" i="11"/>
  <c r="H166" i="11"/>
  <c r="O165" i="11"/>
  <c r="M165" i="11"/>
  <c r="K165" i="11"/>
  <c r="I165" i="11"/>
  <c r="H165" i="11"/>
  <c r="K164" i="11"/>
  <c r="I164" i="11"/>
  <c r="H164" i="11"/>
  <c r="K163" i="11"/>
  <c r="I163" i="11"/>
  <c r="H163" i="11"/>
  <c r="M162" i="11"/>
  <c r="I162" i="11"/>
  <c r="K161" i="11"/>
  <c r="I161" i="11"/>
  <c r="I160" i="11"/>
  <c r="M159" i="11"/>
  <c r="I159" i="11"/>
  <c r="M158" i="11"/>
  <c r="I158" i="11"/>
  <c r="M157" i="11"/>
  <c r="I157" i="11"/>
  <c r="I156" i="11"/>
  <c r="M155" i="11"/>
  <c r="I155" i="11"/>
  <c r="M154" i="11"/>
  <c r="I154" i="11"/>
  <c r="K153" i="11"/>
  <c r="I153" i="11"/>
  <c r="I152" i="11"/>
  <c r="M151" i="11"/>
  <c r="I151" i="11"/>
  <c r="O150" i="11"/>
  <c r="M150" i="11"/>
  <c r="B169" i="11"/>
  <c r="A169" i="11"/>
  <c r="B168" i="11"/>
  <c r="A168" i="11"/>
  <c r="B167" i="11"/>
  <c r="A167" i="11"/>
  <c r="B166" i="11"/>
  <c r="A166" i="11"/>
  <c r="B165" i="11"/>
  <c r="A165" i="11"/>
  <c r="B164" i="11"/>
  <c r="A164" i="11"/>
  <c r="B163" i="11"/>
  <c r="A163" i="11"/>
  <c r="B162" i="11"/>
  <c r="A162" i="11"/>
  <c r="B161" i="11"/>
  <c r="A161" i="11"/>
  <c r="B160" i="11"/>
  <c r="A160" i="11"/>
  <c r="B159" i="11"/>
  <c r="A159" i="11"/>
  <c r="B158" i="11"/>
  <c r="A158" i="11"/>
  <c r="B157" i="11"/>
  <c r="A157" i="11"/>
  <c r="B156" i="11"/>
  <c r="A156" i="11"/>
  <c r="B155" i="11"/>
  <c r="A155" i="11"/>
  <c r="B154" i="11"/>
  <c r="A154" i="11"/>
  <c r="B153" i="11"/>
  <c r="A153" i="11"/>
  <c r="B152" i="11"/>
  <c r="A152" i="11"/>
  <c r="B151" i="11"/>
  <c r="A151" i="11"/>
  <c r="B150" i="11"/>
  <c r="A150" i="11"/>
  <c r="B148" i="11"/>
  <c r="A148" i="11"/>
  <c r="O146" i="11"/>
  <c r="M146" i="11"/>
  <c r="K146" i="11"/>
  <c r="I146" i="11"/>
  <c r="H146" i="11"/>
  <c r="B146" i="11"/>
  <c r="A146" i="11"/>
  <c r="K145" i="11"/>
  <c r="I145" i="11"/>
  <c r="H145" i="11"/>
  <c r="B145" i="11"/>
  <c r="A145" i="11"/>
  <c r="O144" i="11"/>
  <c r="M144" i="11"/>
  <c r="K144" i="11"/>
  <c r="I144" i="11"/>
  <c r="H144" i="11"/>
  <c r="B144" i="11"/>
  <c r="A144" i="11"/>
  <c r="M143" i="11"/>
  <c r="K143" i="11"/>
  <c r="I143" i="11"/>
  <c r="H143" i="11"/>
  <c r="B143" i="11"/>
  <c r="A143" i="11"/>
  <c r="K142" i="11"/>
  <c r="I142" i="11"/>
  <c r="H142" i="11"/>
  <c r="B142" i="11"/>
  <c r="A142" i="11"/>
  <c r="O141" i="11"/>
  <c r="M141" i="11"/>
  <c r="K141" i="11"/>
  <c r="I141" i="11"/>
  <c r="H141" i="11"/>
  <c r="B141" i="11"/>
  <c r="A141" i="11"/>
  <c r="O140" i="11"/>
  <c r="M140" i="11"/>
  <c r="K140" i="11"/>
  <c r="I140" i="11"/>
  <c r="H140" i="11"/>
  <c r="B140" i="11"/>
  <c r="A140" i="11"/>
  <c r="M139" i="11"/>
  <c r="I139" i="11"/>
  <c r="B139" i="11"/>
  <c r="A139" i="11"/>
  <c r="M138" i="11"/>
  <c r="I138" i="11"/>
  <c r="B138" i="11"/>
  <c r="A138" i="11"/>
  <c r="B136" i="11"/>
  <c r="A136" i="11"/>
  <c r="O134" i="11"/>
  <c r="M134" i="11"/>
  <c r="K134" i="11"/>
  <c r="I134" i="11"/>
  <c r="H134" i="11"/>
  <c r="O133" i="11"/>
  <c r="K133" i="11"/>
  <c r="I133" i="11"/>
  <c r="H133" i="11"/>
  <c r="O132" i="11"/>
  <c r="K132" i="11"/>
  <c r="I132" i="11"/>
  <c r="H132" i="11"/>
  <c r="M131" i="11"/>
  <c r="K131" i="11"/>
  <c r="I131" i="11"/>
  <c r="H131" i="11"/>
  <c r="O130" i="11"/>
  <c r="M130" i="11"/>
  <c r="K130" i="11"/>
  <c r="I130" i="11"/>
  <c r="H130" i="11"/>
  <c r="O129" i="11"/>
  <c r="M129" i="11"/>
  <c r="K129" i="11"/>
  <c r="I129" i="11"/>
  <c r="H129" i="11"/>
  <c r="M128" i="11"/>
  <c r="K128" i="11"/>
  <c r="I128" i="11"/>
  <c r="H128" i="11"/>
  <c r="K127" i="11"/>
  <c r="I127" i="11"/>
  <c r="H127" i="11"/>
  <c r="M126" i="11"/>
  <c r="I126" i="11"/>
  <c r="M125" i="11"/>
  <c r="K125" i="11"/>
  <c r="I125" i="11"/>
  <c r="I124" i="11"/>
  <c r="M123" i="11"/>
  <c r="I123" i="11"/>
  <c r="M122" i="11"/>
  <c r="K122" i="11"/>
  <c r="I122" i="11"/>
  <c r="M121" i="11"/>
  <c r="I121" i="11"/>
  <c r="M120" i="11"/>
  <c r="K120" i="11"/>
  <c r="I120" i="11"/>
  <c r="K119" i="11"/>
  <c r="I119" i="11"/>
  <c r="B134" i="11"/>
  <c r="A134" i="11"/>
  <c r="B133" i="11"/>
  <c r="A133" i="11"/>
  <c r="B132" i="11"/>
  <c r="A132" i="11"/>
  <c r="B131" i="11"/>
  <c r="A131" i="11"/>
  <c r="B130" i="11"/>
  <c r="A130" i="11"/>
  <c r="B129" i="11"/>
  <c r="A129" i="11"/>
  <c r="B128" i="11"/>
  <c r="A128" i="11"/>
  <c r="B127" i="11"/>
  <c r="A127" i="11"/>
  <c r="B126" i="11"/>
  <c r="A126" i="11"/>
  <c r="B125" i="11"/>
  <c r="A125" i="11"/>
  <c r="B124" i="11"/>
  <c r="A124" i="11"/>
  <c r="B123" i="11"/>
  <c r="A123" i="11"/>
  <c r="B122" i="11"/>
  <c r="A122" i="11"/>
  <c r="B121" i="11"/>
  <c r="A121" i="11"/>
  <c r="B120" i="11"/>
  <c r="A120" i="11"/>
  <c r="B119" i="11"/>
  <c r="A119" i="11"/>
  <c r="B115" i="11"/>
  <c r="A115" i="11"/>
  <c r="B114" i="11"/>
  <c r="A114" i="11"/>
  <c r="B113" i="11"/>
  <c r="A113" i="11"/>
  <c r="B112" i="11"/>
  <c r="A112" i="11"/>
  <c r="B111" i="11"/>
  <c r="A111" i="11"/>
  <c r="B110" i="11"/>
  <c r="A110" i="11"/>
  <c r="B106" i="11"/>
  <c r="A106" i="11"/>
  <c r="B105" i="11"/>
  <c r="A105" i="11"/>
  <c r="B104" i="11"/>
  <c r="A104" i="11"/>
  <c r="B103" i="11"/>
  <c r="A103" i="11"/>
  <c r="B102" i="11"/>
  <c r="A102" i="11"/>
  <c r="B101" i="11"/>
  <c r="A101" i="11"/>
  <c r="B117" i="11"/>
  <c r="A117" i="11"/>
  <c r="O115" i="11"/>
  <c r="M115" i="11"/>
  <c r="K115" i="11"/>
  <c r="I115" i="11"/>
  <c r="H115" i="11"/>
  <c r="O114" i="11"/>
  <c r="M114" i="11"/>
  <c r="K114" i="11"/>
  <c r="I114" i="11"/>
  <c r="H114" i="11"/>
  <c r="O113" i="11"/>
  <c r="K113" i="11"/>
  <c r="I113" i="11"/>
  <c r="H113" i="11"/>
  <c r="O112" i="11"/>
  <c r="M112" i="11"/>
  <c r="K112" i="11"/>
  <c r="I112" i="11"/>
  <c r="M111" i="11"/>
  <c r="K111" i="11"/>
  <c r="I111" i="11"/>
  <c r="M110" i="11"/>
  <c r="K110" i="11"/>
  <c r="I110" i="11"/>
  <c r="M106" i="11"/>
  <c r="K106" i="11"/>
  <c r="I106" i="11"/>
  <c r="O105" i="11"/>
  <c r="M105" i="11"/>
  <c r="K105" i="11"/>
  <c r="I105" i="11"/>
  <c r="M104" i="11"/>
  <c r="K104" i="11"/>
  <c r="I104" i="11"/>
  <c r="M103" i="11"/>
  <c r="K103" i="11"/>
  <c r="I103" i="11"/>
  <c r="O102" i="11"/>
  <c r="K102" i="11"/>
  <c r="I102" i="11"/>
  <c r="M101" i="11"/>
  <c r="K101" i="11"/>
  <c r="I101" i="11"/>
  <c r="H106" i="11"/>
  <c r="H105" i="11"/>
  <c r="H104" i="11"/>
  <c r="H103" i="11"/>
  <c r="B108" i="11"/>
  <c r="A108" i="11"/>
  <c r="B99" i="11"/>
  <c r="A99" i="11"/>
  <c r="O97" i="11"/>
  <c r="M97" i="11"/>
  <c r="K97" i="11"/>
  <c r="O96" i="11"/>
  <c r="M96" i="11"/>
  <c r="K96" i="11"/>
  <c r="M95" i="11"/>
  <c r="K95" i="11"/>
  <c r="O94" i="11"/>
  <c r="K94" i="11"/>
  <c r="M93" i="11"/>
  <c r="K93" i="11"/>
  <c r="M92" i="11"/>
  <c r="K92" i="11"/>
  <c r="M91" i="11"/>
  <c r="K91" i="11"/>
  <c r="M90" i="11"/>
  <c r="K90" i="11"/>
  <c r="O89" i="11"/>
  <c r="M89" i="11"/>
  <c r="K89" i="11"/>
  <c r="O88" i="11"/>
  <c r="M88" i="11"/>
  <c r="K88" i="11"/>
  <c r="M87" i="11"/>
  <c r="O86" i="11"/>
  <c r="M85" i="11"/>
  <c r="M84" i="11"/>
  <c r="M83" i="11"/>
  <c r="M82" i="11"/>
  <c r="M81" i="11"/>
  <c r="M80" i="11"/>
  <c r="M79" i="11"/>
  <c r="O78" i="11"/>
  <c r="M77" i="11"/>
  <c r="M76" i="11"/>
  <c r="I97" i="11"/>
  <c r="I96" i="11"/>
  <c r="I95" i="11"/>
  <c r="I94" i="11"/>
  <c r="I93" i="11"/>
  <c r="I92" i="11"/>
  <c r="I90" i="11"/>
  <c r="I89" i="11"/>
  <c r="I88" i="11"/>
  <c r="I87" i="11"/>
  <c r="I86" i="11"/>
  <c r="I85" i="11"/>
  <c r="I84" i="11"/>
  <c r="I82" i="11"/>
  <c r="I81" i="11"/>
  <c r="I80" i="11"/>
  <c r="I79" i="11"/>
  <c r="I78" i="11"/>
  <c r="I77" i="11"/>
  <c r="I76" i="11"/>
  <c r="H97" i="11"/>
  <c r="H96" i="11"/>
  <c r="H95" i="11"/>
  <c r="H94" i="11"/>
  <c r="H93" i="11"/>
  <c r="H92" i="11"/>
  <c r="H91" i="11"/>
  <c r="H90" i="11"/>
  <c r="H89" i="11"/>
  <c r="B97" i="11"/>
  <c r="A97" i="11"/>
  <c r="B96" i="11"/>
  <c r="A96" i="11"/>
  <c r="B95" i="11"/>
  <c r="A95" i="11"/>
  <c r="B94" i="11"/>
  <c r="A94" i="11"/>
  <c r="B93" i="11"/>
  <c r="A93" i="11"/>
  <c r="B92" i="11"/>
  <c r="A92" i="11"/>
  <c r="B91" i="11"/>
  <c r="A91" i="11"/>
  <c r="B90" i="11"/>
  <c r="A90" i="11"/>
  <c r="B89" i="11"/>
  <c r="A89" i="11"/>
  <c r="B88" i="11"/>
  <c r="A88" i="11"/>
  <c r="B87" i="11"/>
  <c r="A87" i="11"/>
  <c r="B86" i="11"/>
  <c r="A86" i="11"/>
  <c r="B85" i="11"/>
  <c r="A85" i="11"/>
  <c r="B84" i="11"/>
  <c r="A84" i="11"/>
  <c r="B83" i="11"/>
  <c r="A83" i="11"/>
  <c r="B82" i="11"/>
  <c r="A82" i="11"/>
  <c r="B81" i="11"/>
  <c r="A81" i="11"/>
  <c r="B80" i="11"/>
  <c r="A80" i="11"/>
  <c r="B79" i="11"/>
  <c r="A79" i="11"/>
  <c r="B78" i="11"/>
  <c r="A78" i="11"/>
  <c r="B77" i="11"/>
  <c r="A77" i="11"/>
  <c r="B76" i="11"/>
  <c r="A76" i="11"/>
  <c r="B72" i="11"/>
  <c r="A72" i="11"/>
  <c r="B71" i="11"/>
  <c r="A71" i="11"/>
  <c r="B70" i="11"/>
  <c r="A70" i="11"/>
  <c r="B69" i="11"/>
  <c r="A69" i="11"/>
  <c r="B68" i="11"/>
  <c r="A68" i="11"/>
  <c r="B67" i="11"/>
  <c r="A67" i="11"/>
  <c r="B66" i="11"/>
  <c r="A66" i="11"/>
  <c r="B65" i="11"/>
  <c r="A65" i="11"/>
  <c r="B64" i="11"/>
  <c r="A64" i="11"/>
  <c r="B63" i="11"/>
  <c r="A63" i="11"/>
  <c r="B62" i="11"/>
  <c r="A62" i="11"/>
  <c r="B61" i="11"/>
  <c r="A61" i="11"/>
  <c r="B60" i="11"/>
  <c r="A60" i="11"/>
  <c r="B59" i="11"/>
  <c r="A59" i="11"/>
  <c r="B55" i="11"/>
  <c r="A55" i="11"/>
  <c r="B54" i="11"/>
  <c r="A54" i="11"/>
  <c r="B53" i="11"/>
  <c r="A53" i="11"/>
  <c r="B52" i="11"/>
  <c r="A52" i="11"/>
  <c r="B51" i="11"/>
  <c r="A51" i="11"/>
  <c r="B50" i="11"/>
  <c r="A50" i="11"/>
  <c r="B49" i="11"/>
  <c r="A49" i="11"/>
  <c r="B48" i="11"/>
  <c r="A48" i="11"/>
  <c r="B47" i="11"/>
  <c r="A47" i="11"/>
  <c r="B46" i="11"/>
  <c r="A46" i="11"/>
  <c r="B45" i="11"/>
  <c r="A45" i="11"/>
  <c r="B44" i="11"/>
  <c r="A44" i="11"/>
  <c r="B43" i="11"/>
  <c r="A43" i="11"/>
  <c r="B42" i="11"/>
  <c r="A42" i="11"/>
  <c r="B41" i="11"/>
  <c r="A41" i="11"/>
  <c r="B40" i="11"/>
  <c r="A40" i="11"/>
  <c r="B39" i="11"/>
  <c r="A39" i="11"/>
  <c r="B38" i="11"/>
  <c r="A38" i="11"/>
  <c r="B37" i="11"/>
  <c r="A37" i="11"/>
  <c r="B36" i="11"/>
  <c r="A36" i="11"/>
  <c r="B35" i="11"/>
  <c r="A35" i="11"/>
  <c r="B34" i="11"/>
  <c r="A34" i="11"/>
  <c r="B33" i="11"/>
  <c r="A33" i="11"/>
  <c r="B32" i="11"/>
  <c r="A32" i="11"/>
  <c r="B31" i="11"/>
  <c r="A31" i="11"/>
  <c r="B30" i="11"/>
  <c r="A30" i="11"/>
  <c r="B29" i="11"/>
  <c r="A29" i="11"/>
  <c r="B28" i="11"/>
  <c r="A28" i="11"/>
  <c r="B27" i="11"/>
  <c r="A27" i="11"/>
  <c r="B26" i="11"/>
  <c r="A26" i="11"/>
  <c r="B25" i="11"/>
  <c r="A25" i="11"/>
  <c r="B24" i="11"/>
  <c r="A24" i="11"/>
  <c r="B23" i="11"/>
  <c r="A23" i="11"/>
  <c r="B22" i="11"/>
  <c r="A22" i="11"/>
  <c r="B21" i="11"/>
  <c r="A21" i="11"/>
  <c r="B20" i="11"/>
  <c r="A20" i="11"/>
  <c r="B19" i="11"/>
  <c r="A19" i="11"/>
  <c r="B18" i="11"/>
  <c r="A18" i="11"/>
  <c r="B17" i="11"/>
  <c r="A17" i="11"/>
  <c r="B16" i="11"/>
  <c r="A16" i="11"/>
  <c r="B15" i="11"/>
  <c r="A15" i="11"/>
  <c r="B14" i="11"/>
  <c r="A14" i="11"/>
  <c r="B13" i="11"/>
  <c r="A13" i="11"/>
  <c r="B12" i="11"/>
  <c r="A12" i="11"/>
  <c r="B74" i="11"/>
  <c r="A74" i="11"/>
  <c r="O72" i="11"/>
  <c r="M72" i="11"/>
  <c r="O71" i="11"/>
  <c r="M71" i="11"/>
  <c r="M70" i="11"/>
  <c r="O69" i="11"/>
  <c r="M69" i="11"/>
  <c r="O68" i="11"/>
  <c r="M68" i="11"/>
  <c r="M67" i="11"/>
  <c r="M66" i="11"/>
  <c r="O65" i="11"/>
  <c r="M65" i="11"/>
  <c r="M64" i="11"/>
  <c r="M63" i="11"/>
  <c r="O61" i="11"/>
  <c r="M61" i="11"/>
  <c r="M60" i="11"/>
  <c r="K72" i="11"/>
  <c r="K71" i="11"/>
  <c r="K70" i="11"/>
  <c r="K69" i="11"/>
  <c r="K68" i="11"/>
  <c r="K67" i="11"/>
  <c r="K66" i="11"/>
  <c r="K65" i="11"/>
  <c r="K64" i="11"/>
  <c r="K63" i="11"/>
  <c r="K62" i="11"/>
  <c r="K61" i="11"/>
  <c r="K60" i="11"/>
  <c r="K59" i="11"/>
  <c r="I72" i="11"/>
  <c r="I71" i="11"/>
  <c r="I69" i="11"/>
  <c r="I68" i="11"/>
  <c r="I67" i="11"/>
  <c r="I66" i="11"/>
  <c r="I65" i="11"/>
  <c r="I64" i="11"/>
  <c r="I63" i="11"/>
  <c r="I61" i="11"/>
  <c r="I60" i="11"/>
  <c r="I59" i="11"/>
  <c r="H72" i="11"/>
  <c r="H71" i="11"/>
  <c r="H70" i="11"/>
  <c r="H69" i="11"/>
  <c r="H68" i="11"/>
  <c r="H67" i="11"/>
  <c r="H55" i="11"/>
  <c r="B57" i="11"/>
  <c r="I55" i="11"/>
  <c r="I54" i="11"/>
  <c r="I53" i="11"/>
  <c r="I52" i="11"/>
  <c r="I51" i="11"/>
  <c r="I50" i="11"/>
  <c r="I49" i="11"/>
  <c r="I48" i="11"/>
  <c r="I47" i="11"/>
  <c r="I46" i="11"/>
  <c r="I45" i="11"/>
  <c r="I44" i="11"/>
  <c r="I43" i="11"/>
  <c r="I42" i="11"/>
  <c r="I41" i="11"/>
  <c r="I40" i="11"/>
  <c r="I39" i="11"/>
  <c r="I38" i="11"/>
  <c r="I37" i="11"/>
  <c r="I36" i="11"/>
  <c r="I35" i="11"/>
  <c r="I34" i="11"/>
  <c r="I33" i="11"/>
  <c r="I32" i="11"/>
  <c r="I31" i="11"/>
  <c r="I30" i="11"/>
  <c r="I29" i="11"/>
  <c r="I28" i="11"/>
  <c r="I27" i="11"/>
  <c r="I26" i="11"/>
  <c r="I25" i="11"/>
  <c r="I24" i="11"/>
  <c r="I23" i="11"/>
  <c r="I22" i="11"/>
  <c r="I21" i="11"/>
  <c r="I20" i="11"/>
  <c r="I19" i="11"/>
  <c r="I18" i="11"/>
  <c r="I17" i="11"/>
  <c r="I16" i="11"/>
  <c r="I15" i="11"/>
  <c r="I14" i="11"/>
  <c r="I13" i="11"/>
  <c r="I12" i="11"/>
  <c r="O55" i="11"/>
  <c r="O53" i="11"/>
  <c r="O50" i="11"/>
  <c r="O48" i="11"/>
  <c r="O45" i="11"/>
  <c r="O29" i="11"/>
  <c r="O25" i="11"/>
  <c r="O21" i="11"/>
  <c r="O16" i="11"/>
  <c r="M55" i="11"/>
  <c r="M54" i="11"/>
  <c r="M53" i="11"/>
  <c r="M51" i="11"/>
  <c r="M50" i="11"/>
  <c r="M48" i="11"/>
  <c r="M47" i="11"/>
  <c r="M46" i="11"/>
  <c r="M45" i="11"/>
  <c r="M42" i="11"/>
  <c r="M41" i="11"/>
  <c r="M40" i="11"/>
  <c r="M39" i="11"/>
  <c r="M38" i="11"/>
  <c r="M37" i="11"/>
  <c r="M34" i="11"/>
  <c r="M31" i="11"/>
  <c r="M30" i="11"/>
  <c r="M29" i="11"/>
  <c r="M26" i="11"/>
  <c r="M25" i="11"/>
  <c r="M23" i="11"/>
  <c r="M22" i="11"/>
  <c r="M21" i="11"/>
  <c r="M20" i="11"/>
  <c r="M18" i="11"/>
  <c r="M17" i="11"/>
  <c r="M16" i="11"/>
  <c r="M15" i="11"/>
  <c r="M14" i="11"/>
  <c r="M12" i="11"/>
  <c r="K55" i="11"/>
  <c r="K54" i="11"/>
  <c r="K53" i="11"/>
  <c r="K52" i="11"/>
  <c r="K51" i="11"/>
  <c r="K50" i="11"/>
  <c r="K49" i="11"/>
  <c r="K48" i="11"/>
  <c r="K47" i="11"/>
  <c r="K46" i="11"/>
  <c r="K45" i="11"/>
  <c r="K44" i="11"/>
  <c r="K43" i="11"/>
  <c r="K42" i="11"/>
  <c r="K41" i="11"/>
  <c r="K40" i="11"/>
  <c r="K39" i="11"/>
  <c r="K38" i="11"/>
  <c r="K37" i="11"/>
  <c r="K36" i="11"/>
  <c r="K35" i="11"/>
  <c r="K34" i="11"/>
  <c r="K33" i="11"/>
  <c r="K32" i="11"/>
  <c r="K31" i="11"/>
  <c r="K30" i="11"/>
  <c r="K29" i="11"/>
  <c r="K28" i="11"/>
  <c r="K27" i="11"/>
  <c r="K26" i="11"/>
  <c r="K25" i="11"/>
  <c r="K24" i="11"/>
  <c r="K23" i="11"/>
  <c r="K22" i="11"/>
  <c r="K21" i="11"/>
  <c r="K20" i="11"/>
  <c r="K19" i="11"/>
  <c r="K18" i="11"/>
  <c r="K17" i="11"/>
  <c r="K16" i="11"/>
  <c r="K15" i="11"/>
  <c r="K14" i="11"/>
  <c r="K13" i="11"/>
  <c r="K12" i="11"/>
  <c r="F12" i="5"/>
  <c r="A57" i="11"/>
  <c r="A10" i="11"/>
  <c r="H54" i="11"/>
  <c r="H53" i="11"/>
  <c r="H52" i="11"/>
  <c r="H51" i="11"/>
  <c r="H50" i="11"/>
  <c r="H49" i="11"/>
  <c r="A3" i="11"/>
  <c r="A2" i="11"/>
  <c r="H212" i="5"/>
  <c r="H211" i="5"/>
  <c r="F212" i="5"/>
  <c r="F211" i="5"/>
  <c r="F185" i="5"/>
  <c r="A185" i="5"/>
  <c r="F184" i="5"/>
  <c r="A184" i="5"/>
  <c r="F183" i="5"/>
  <c r="A183" i="5"/>
  <c r="F182" i="5"/>
  <c r="A182" i="5"/>
  <c r="E183" i="1"/>
  <c r="E182" i="1"/>
  <c r="H169" i="5"/>
  <c r="F169" i="5"/>
  <c r="H168" i="5"/>
  <c r="F168" i="5"/>
  <c r="H167" i="5"/>
  <c r="F167" i="5"/>
  <c r="H166" i="5"/>
  <c r="F166" i="5"/>
  <c r="H165" i="5"/>
  <c r="F165" i="5"/>
  <c r="H164" i="5"/>
  <c r="F164" i="5"/>
  <c r="H163" i="5"/>
  <c r="F163" i="5"/>
  <c r="H162" i="5"/>
  <c r="H161" i="5"/>
  <c r="F161" i="5"/>
  <c r="H160" i="5"/>
  <c r="H159" i="5"/>
  <c r="F159" i="5"/>
  <c r="H158" i="5"/>
  <c r="H157" i="5"/>
  <c r="H156" i="5"/>
  <c r="H155" i="5"/>
  <c r="H154" i="5"/>
  <c r="H153" i="5"/>
  <c r="F153" i="5"/>
  <c r="H152" i="5"/>
  <c r="H151" i="5"/>
  <c r="H146" i="5"/>
  <c r="F146" i="5"/>
  <c r="H145" i="5"/>
  <c r="F145" i="5"/>
  <c r="H144" i="5"/>
  <c r="F144" i="5"/>
  <c r="H143" i="5"/>
  <c r="F143" i="5"/>
  <c r="H142" i="5"/>
  <c r="F142" i="5"/>
  <c r="H141" i="5"/>
  <c r="F141" i="5"/>
  <c r="H140" i="5"/>
  <c r="F140" i="5"/>
  <c r="H139" i="5"/>
  <c r="H134" i="5"/>
  <c r="F134" i="5"/>
  <c r="H133" i="5"/>
  <c r="F133" i="5"/>
  <c r="H132" i="5"/>
  <c r="F132" i="5"/>
  <c r="H131" i="5"/>
  <c r="F131" i="5"/>
  <c r="H130" i="5"/>
  <c r="F130" i="5"/>
  <c r="H129" i="5"/>
  <c r="F129" i="5"/>
  <c r="H128" i="5"/>
  <c r="F128" i="5"/>
  <c r="H127" i="5"/>
  <c r="F127" i="5"/>
  <c r="H126" i="5"/>
  <c r="H125" i="5"/>
  <c r="F125" i="5"/>
  <c r="H124" i="5"/>
  <c r="H123" i="5"/>
  <c r="H122" i="5"/>
  <c r="H121" i="5"/>
  <c r="H120" i="5"/>
  <c r="F120" i="5"/>
  <c r="H97" i="5"/>
  <c r="F97" i="5"/>
  <c r="H96" i="5"/>
  <c r="F96" i="5"/>
  <c r="H95" i="5"/>
  <c r="F95" i="5"/>
  <c r="H94" i="5"/>
  <c r="F94" i="5"/>
  <c r="H93" i="5"/>
  <c r="F93" i="5"/>
  <c r="H92" i="5"/>
  <c r="F92" i="5"/>
  <c r="H91" i="5"/>
  <c r="F91" i="5"/>
  <c r="H90" i="5"/>
  <c r="F90" i="5"/>
  <c r="H89" i="5"/>
  <c r="F89" i="5"/>
  <c r="H88" i="5"/>
  <c r="H87" i="5"/>
  <c r="H86" i="5"/>
  <c r="H85" i="5"/>
  <c r="H84" i="5"/>
  <c r="H83" i="5"/>
  <c r="H82" i="5"/>
  <c r="H81" i="5"/>
  <c r="H80" i="5"/>
  <c r="H79" i="5"/>
  <c r="F79" i="5"/>
  <c r="H78" i="5"/>
  <c r="H77" i="5"/>
  <c r="G196" i="5"/>
  <c r="F196" i="5" s="1"/>
  <c r="G195" i="5"/>
  <c r="F195" i="5" s="1"/>
  <c r="G194" i="5"/>
  <c r="F194" i="5" s="1"/>
  <c r="G193" i="5"/>
  <c r="F193" i="5"/>
  <c r="F192" i="5"/>
  <c r="F191" i="5"/>
  <c r="F190" i="5"/>
  <c r="F189" i="5"/>
  <c r="A196" i="5"/>
  <c r="A195" i="5"/>
  <c r="A194" i="5"/>
  <c r="A193" i="5"/>
  <c r="A192" i="5"/>
  <c r="A191" i="5"/>
  <c r="A190" i="5"/>
  <c r="A189" i="5"/>
  <c r="H178" i="5"/>
  <c r="F178" i="5"/>
  <c r="H177" i="5"/>
  <c r="F177" i="5"/>
  <c r="F176" i="5"/>
  <c r="F175" i="5"/>
  <c r="H174" i="5"/>
  <c r="F174" i="5"/>
  <c r="F173" i="5"/>
  <c r="B178" i="5"/>
  <c r="A178" i="5"/>
  <c r="B177" i="5"/>
  <c r="A177" i="5"/>
  <c r="B176" i="5"/>
  <c r="A176" i="5"/>
  <c r="B175" i="5"/>
  <c r="A175" i="5"/>
  <c r="B174" i="5"/>
  <c r="A174" i="5"/>
  <c r="B173" i="5"/>
  <c r="A173" i="5"/>
  <c r="H150" i="5"/>
  <c r="B169" i="5"/>
  <c r="A169" i="5"/>
  <c r="B168" i="5"/>
  <c r="A168" i="5"/>
  <c r="B167" i="5"/>
  <c r="A167" i="5"/>
  <c r="B166" i="5"/>
  <c r="A166" i="5"/>
  <c r="B165" i="5"/>
  <c r="A165" i="5"/>
  <c r="B164" i="5"/>
  <c r="A164" i="5"/>
  <c r="B163" i="5"/>
  <c r="A163" i="5"/>
  <c r="B162" i="5"/>
  <c r="A162" i="5"/>
  <c r="B161" i="5"/>
  <c r="A161" i="5"/>
  <c r="B160" i="5"/>
  <c r="A160" i="5"/>
  <c r="B159" i="5"/>
  <c r="A159" i="5"/>
  <c r="B158" i="5"/>
  <c r="A158" i="5"/>
  <c r="B157" i="5"/>
  <c r="A157" i="5"/>
  <c r="B156" i="5"/>
  <c r="A156" i="5"/>
  <c r="B155" i="5"/>
  <c r="A155" i="5"/>
  <c r="B154" i="5"/>
  <c r="A154" i="5"/>
  <c r="B153" i="5"/>
  <c r="A153" i="5"/>
  <c r="B152" i="5"/>
  <c r="A152" i="5"/>
  <c r="B151" i="5"/>
  <c r="A151" i="5"/>
  <c r="B150" i="5"/>
  <c r="A150" i="5"/>
  <c r="H138" i="5"/>
  <c r="B146" i="5"/>
  <c r="A146" i="5"/>
  <c r="B145" i="5"/>
  <c r="A145" i="5"/>
  <c r="B144" i="5"/>
  <c r="A144" i="5"/>
  <c r="B143" i="5"/>
  <c r="A143" i="5"/>
  <c r="B142" i="5"/>
  <c r="A142" i="5"/>
  <c r="B141" i="5"/>
  <c r="A141" i="5"/>
  <c r="B140" i="5"/>
  <c r="A140" i="5"/>
  <c r="B139" i="5"/>
  <c r="A139" i="5"/>
  <c r="B138" i="5"/>
  <c r="A138" i="5"/>
  <c r="H119" i="5"/>
  <c r="B134" i="5"/>
  <c r="A134" i="5"/>
  <c r="B133" i="5"/>
  <c r="A133" i="5"/>
  <c r="B132" i="5"/>
  <c r="A132" i="5"/>
  <c r="B131" i="5"/>
  <c r="A131" i="5"/>
  <c r="B130" i="5"/>
  <c r="A130" i="5"/>
  <c r="B129" i="5"/>
  <c r="A129" i="5"/>
  <c r="B128" i="5"/>
  <c r="A128" i="5"/>
  <c r="B127" i="5"/>
  <c r="A127" i="5"/>
  <c r="B126" i="5"/>
  <c r="A126" i="5"/>
  <c r="B125" i="5"/>
  <c r="A125" i="5"/>
  <c r="B124" i="5"/>
  <c r="A124" i="5"/>
  <c r="B123" i="5"/>
  <c r="A123" i="5"/>
  <c r="B122" i="5"/>
  <c r="A122" i="5"/>
  <c r="B121" i="5"/>
  <c r="A121" i="5"/>
  <c r="B120" i="5"/>
  <c r="A120" i="5"/>
  <c r="B119" i="5"/>
  <c r="A119" i="5"/>
  <c r="H115" i="5"/>
  <c r="H114" i="5"/>
  <c r="F114" i="5"/>
  <c r="H113" i="5"/>
  <c r="F113" i="5"/>
  <c r="F112" i="5"/>
  <c r="F111" i="5"/>
  <c r="F110" i="5"/>
  <c r="B115" i="5"/>
  <c r="A115" i="5"/>
  <c r="B114" i="5"/>
  <c r="A114" i="5"/>
  <c r="B113" i="5"/>
  <c r="A113" i="5"/>
  <c r="B112" i="5"/>
  <c r="A112" i="5"/>
  <c r="B111" i="5"/>
  <c r="A111" i="5"/>
  <c r="B110" i="5"/>
  <c r="A110" i="5"/>
  <c r="H106" i="5"/>
  <c r="H105" i="5"/>
  <c r="H104" i="5"/>
  <c r="H103" i="5"/>
  <c r="H101" i="5"/>
  <c r="F106" i="5"/>
  <c r="F105" i="5"/>
  <c r="F103" i="5"/>
  <c r="F102" i="5"/>
  <c r="F101" i="5"/>
  <c r="B106" i="5"/>
  <c r="B105" i="5"/>
  <c r="B104" i="5"/>
  <c r="B103" i="5"/>
  <c r="B102" i="5"/>
  <c r="B101" i="5"/>
  <c r="A106" i="5"/>
  <c r="A105" i="5"/>
  <c r="A104" i="5"/>
  <c r="A103" i="5"/>
  <c r="A102" i="5"/>
  <c r="A101" i="5"/>
  <c r="H76" i="5"/>
  <c r="B97" i="5"/>
  <c r="B96" i="5"/>
  <c r="B95" i="5"/>
  <c r="B94" i="5"/>
  <c r="B93" i="5"/>
  <c r="B92" i="5"/>
  <c r="B91" i="5"/>
  <c r="B90" i="5"/>
  <c r="B89" i="5"/>
  <c r="B88" i="5"/>
  <c r="B87" i="5"/>
  <c r="B86" i="5"/>
  <c r="B85" i="5"/>
  <c r="B84" i="5"/>
  <c r="B83" i="5"/>
  <c r="B82" i="5"/>
  <c r="B81" i="5"/>
  <c r="B80" i="5"/>
  <c r="B79" i="5"/>
  <c r="B78" i="5"/>
  <c r="B77" i="5"/>
  <c r="B76" i="5"/>
  <c r="A97" i="5"/>
  <c r="A96" i="5"/>
  <c r="A95" i="5"/>
  <c r="A94" i="5"/>
  <c r="A93" i="5"/>
  <c r="A92" i="5"/>
  <c r="A91" i="5"/>
  <c r="A90" i="5"/>
  <c r="A89" i="5"/>
  <c r="A88" i="5"/>
  <c r="A87" i="5"/>
  <c r="A86" i="5"/>
  <c r="A85" i="5"/>
  <c r="A84" i="5"/>
  <c r="A83" i="5"/>
  <c r="A82" i="5"/>
  <c r="A81" i="5"/>
  <c r="A80" i="5"/>
  <c r="A79" i="5"/>
  <c r="A78" i="5"/>
  <c r="A77" i="5"/>
  <c r="A76" i="5"/>
  <c r="H72" i="5"/>
  <c r="H71" i="5"/>
  <c r="H70" i="5"/>
  <c r="H69" i="5"/>
  <c r="H68" i="5"/>
  <c r="H67" i="5"/>
  <c r="H66" i="5"/>
  <c r="H65" i="5"/>
  <c r="H61" i="5"/>
  <c r="F72" i="5"/>
  <c r="F71" i="5"/>
  <c r="F70" i="5"/>
  <c r="F69" i="5"/>
  <c r="F68" i="5"/>
  <c r="F67" i="5"/>
  <c r="F66" i="5"/>
  <c r="F65" i="5"/>
  <c r="F64" i="5"/>
  <c r="F63" i="5"/>
  <c r="F62" i="5"/>
  <c r="F61" i="5"/>
  <c r="F60" i="5"/>
  <c r="F59" i="5"/>
  <c r="B72" i="5"/>
  <c r="B71" i="5"/>
  <c r="B70" i="5"/>
  <c r="B69" i="5"/>
  <c r="B68" i="5"/>
  <c r="B67" i="5"/>
  <c r="B66" i="5"/>
  <c r="B65" i="5"/>
  <c r="B64" i="5"/>
  <c r="B63" i="5"/>
  <c r="B62" i="5"/>
  <c r="B61" i="5"/>
  <c r="B60" i="5"/>
  <c r="B59" i="5"/>
  <c r="A72" i="5"/>
  <c r="A71" i="5"/>
  <c r="A70" i="5"/>
  <c r="A69" i="5"/>
  <c r="A68" i="5"/>
  <c r="A67" i="5"/>
  <c r="A66" i="5"/>
  <c r="A65" i="5"/>
  <c r="A64" i="5"/>
  <c r="A63" i="5"/>
  <c r="A62" i="5"/>
  <c r="A61" i="5"/>
  <c r="A60" i="5"/>
  <c r="A59" i="5"/>
  <c r="H55" i="5"/>
  <c r="H54" i="5"/>
  <c r="H53" i="5"/>
  <c r="H52" i="5"/>
  <c r="H51" i="5"/>
  <c r="H50" i="5"/>
  <c r="H49" i="5"/>
  <c r="H48" i="5"/>
  <c r="H45" i="5"/>
  <c r="H42" i="5"/>
  <c r="H39" i="5"/>
  <c r="H38" i="5"/>
  <c r="H37" i="5"/>
  <c r="H34" i="5"/>
  <c r="H31" i="5"/>
  <c r="H30" i="5"/>
  <c r="H26" i="5"/>
  <c r="H25" i="5"/>
  <c r="H18" i="5"/>
  <c r="H14" i="5"/>
  <c r="H12"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E12" i="1"/>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D72" i="1"/>
  <c r="D71" i="1"/>
  <c r="D70" i="1"/>
  <c r="D69" i="1"/>
  <c r="D68" i="1"/>
  <c r="D67" i="1"/>
  <c r="D55" i="1"/>
  <c r="D54" i="1"/>
  <c r="D53" i="1"/>
  <c r="D52" i="1"/>
  <c r="D51" i="1"/>
  <c r="D50" i="1"/>
  <c r="D49" i="1"/>
  <c r="D48" i="1"/>
  <c r="D97" i="1"/>
  <c r="D96" i="1"/>
  <c r="D95" i="1"/>
  <c r="D94" i="1"/>
  <c r="D93" i="1"/>
  <c r="D92" i="1"/>
  <c r="D91" i="1"/>
  <c r="D90" i="1"/>
  <c r="D89" i="1"/>
  <c r="D106" i="1"/>
  <c r="D105" i="1"/>
  <c r="D104" i="1"/>
  <c r="D103" i="1"/>
  <c r="D115" i="1"/>
  <c r="D114" i="1"/>
  <c r="D113" i="1"/>
  <c r="D134" i="1"/>
  <c r="D133" i="1"/>
  <c r="D132" i="1"/>
  <c r="D131" i="1"/>
  <c r="D130" i="1"/>
  <c r="D129" i="1"/>
  <c r="D128" i="1"/>
  <c r="D127" i="1"/>
  <c r="D146" i="1"/>
  <c r="D145" i="1"/>
  <c r="D144" i="1"/>
  <c r="D143" i="1"/>
  <c r="D142" i="1"/>
  <c r="D141" i="1"/>
  <c r="D140" i="1"/>
  <c r="D169" i="1"/>
  <c r="D168" i="1"/>
  <c r="D167" i="1"/>
  <c r="D166" i="1"/>
  <c r="D165" i="1"/>
  <c r="D164" i="1"/>
  <c r="D163" i="1"/>
  <c r="D178" i="1"/>
  <c r="D177" i="1"/>
  <c r="B171" i="5"/>
  <c r="B148" i="5"/>
  <c r="B136" i="5"/>
  <c r="B117" i="5"/>
  <c r="B108" i="5"/>
  <c r="B99" i="5"/>
  <c r="B74" i="5"/>
  <c r="B57" i="5"/>
  <c r="B10" i="5"/>
  <c r="A3" i="5"/>
  <c r="A2" i="5"/>
  <c r="A3" i="1"/>
  <c r="A2" i="1"/>
  <c r="D57" i="1"/>
  <c r="A12" i="15"/>
  <c r="H106" i="1"/>
  <c r="H105" i="1"/>
  <c r="G105" i="1" s="1"/>
  <c r="H104" i="1"/>
  <c r="H103" i="1"/>
  <c r="G103" i="1" s="1"/>
  <c r="H102" i="1"/>
  <c r="G102" i="1" s="1"/>
  <c r="H101" i="1"/>
  <c r="H115" i="1"/>
  <c r="H114" i="1"/>
  <c r="H113" i="1"/>
  <c r="G113" i="1" s="1"/>
  <c r="H112" i="1"/>
  <c r="G112" i="1" s="1"/>
  <c r="H111" i="1"/>
  <c r="G111" i="1" s="1"/>
  <c r="H110" i="1"/>
  <c r="G110" i="1" s="1"/>
  <c r="H178" i="1"/>
  <c r="G178" i="1" s="1"/>
  <c r="H177" i="1"/>
  <c r="H176" i="1"/>
  <c r="G176" i="1" s="1"/>
  <c r="H175" i="1"/>
  <c r="G175" i="1" s="1"/>
  <c r="H174" i="1"/>
  <c r="H173" i="1"/>
  <c r="G173" i="1" s="1"/>
  <c r="H169" i="1"/>
  <c r="H168" i="1"/>
  <c r="G168" i="1" s="1"/>
  <c r="H167" i="1"/>
  <c r="G167" i="1" s="1"/>
  <c r="H166" i="1"/>
  <c r="G166" i="1" s="1"/>
  <c r="H165" i="1"/>
  <c r="H164" i="1"/>
  <c r="G164" i="1" s="1"/>
  <c r="H163" i="1"/>
  <c r="G163" i="1" s="1"/>
  <c r="H146" i="1"/>
  <c r="G146" i="1" s="1"/>
  <c r="H145" i="1"/>
  <c r="G145" i="1" s="1"/>
  <c r="H144" i="1"/>
  <c r="G144" i="1" s="1"/>
  <c r="H143" i="1"/>
  <c r="G143" i="1" s="1"/>
  <c r="H142" i="1"/>
  <c r="G142" i="1" s="1"/>
  <c r="H141" i="1"/>
  <c r="H140" i="1"/>
  <c r="G140" i="1" s="1"/>
  <c r="H134" i="1"/>
  <c r="G134" i="1" s="1"/>
  <c r="H133" i="1"/>
  <c r="G133" i="1" s="1"/>
  <c r="H132" i="1"/>
  <c r="H131" i="1"/>
  <c r="G131" i="1" s="1"/>
  <c r="H130" i="1"/>
  <c r="G130" i="1" s="1"/>
  <c r="H129" i="1"/>
  <c r="H128" i="1"/>
  <c r="G128" i="1" s="1"/>
  <c r="H127" i="1"/>
  <c r="G127" i="1" s="1"/>
  <c r="H97" i="1"/>
  <c r="G97" i="1" s="1"/>
  <c r="H96" i="1"/>
  <c r="G96" i="1" s="1"/>
  <c r="H95" i="1"/>
  <c r="H94" i="1"/>
  <c r="G94" i="1" s="1"/>
  <c r="H93" i="1"/>
  <c r="G93" i="1" s="1"/>
  <c r="H92" i="1"/>
  <c r="G92" i="1" s="1"/>
  <c r="H91" i="1"/>
  <c r="G91" i="1" s="1"/>
  <c r="H90" i="1"/>
  <c r="H89" i="1"/>
  <c r="G89" i="1" s="1"/>
  <c r="L178" i="1"/>
  <c r="K178" i="1" s="1"/>
  <c r="L177" i="1"/>
  <c r="L169" i="1"/>
  <c r="K169" i="1" s="1"/>
  <c r="L168" i="1"/>
  <c r="K168" i="1" s="1"/>
  <c r="L167" i="1"/>
  <c r="K167" i="1" s="1"/>
  <c r="L166" i="1"/>
  <c r="L165" i="1"/>
  <c r="L164" i="1"/>
  <c r="K164" i="1" s="1"/>
  <c r="L163" i="1"/>
  <c r="K163" i="1" s="1"/>
  <c r="L162" i="1"/>
  <c r="K162" i="1" s="1"/>
  <c r="L161" i="1"/>
  <c r="K161" i="1" s="1"/>
  <c r="L159" i="1"/>
  <c r="K159" i="1" s="1"/>
  <c r="L158" i="1"/>
  <c r="L156" i="1"/>
  <c r="K156" i="1" s="1"/>
  <c r="L155" i="1"/>
  <c r="L154" i="1"/>
  <c r="L153" i="1"/>
  <c r="K153" i="1" s="1"/>
  <c r="L152" i="1"/>
  <c r="K152" i="1" s="1"/>
  <c r="L151" i="1"/>
  <c r="K151" i="1" s="1"/>
  <c r="L150" i="1"/>
  <c r="L146" i="1"/>
  <c r="L145" i="1"/>
  <c r="K145" i="1" s="1"/>
  <c r="L144" i="1"/>
  <c r="K144" i="1" s="1"/>
  <c r="L143" i="1"/>
  <c r="K143" i="1" s="1"/>
  <c r="L142" i="1"/>
  <c r="K142" i="1" s="1"/>
  <c r="L141" i="1"/>
  <c r="K141" i="1" s="1"/>
  <c r="L140" i="1"/>
  <c r="K140" i="1" s="1"/>
  <c r="L139" i="1"/>
  <c r="L138" i="1"/>
  <c r="L134" i="1"/>
  <c r="K134" i="1" s="1"/>
  <c r="L133" i="1"/>
  <c r="K133" i="1" s="1"/>
  <c r="L132" i="1"/>
  <c r="L131" i="1"/>
  <c r="K131" i="1" s="1"/>
  <c r="L130" i="1"/>
  <c r="L129" i="1"/>
  <c r="K129" i="1" s="1"/>
  <c r="L128" i="1"/>
  <c r="L127" i="1"/>
  <c r="L126" i="1"/>
  <c r="K126" i="1" s="1"/>
  <c r="L125" i="1"/>
  <c r="L124" i="1"/>
  <c r="L123" i="1"/>
  <c r="K123" i="1" s="1"/>
  <c r="L122" i="1"/>
  <c r="L121" i="1"/>
  <c r="K121" i="1" s="1"/>
  <c r="L120" i="1"/>
  <c r="L119" i="1"/>
  <c r="K119" i="1" s="1"/>
  <c r="L115" i="1"/>
  <c r="K115" i="1" s="1"/>
  <c r="L114" i="1"/>
  <c r="K114" i="1" s="1"/>
  <c r="L113" i="1"/>
  <c r="L106" i="1"/>
  <c r="L105" i="1"/>
  <c r="K105" i="1" s="1"/>
  <c r="L104" i="1"/>
  <c r="K104" i="1" s="1"/>
  <c r="L103" i="1"/>
  <c r="L97" i="1"/>
  <c r="L96" i="1"/>
  <c r="K96" i="1" s="1"/>
  <c r="L95" i="1"/>
  <c r="K95" i="1" s="1"/>
  <c r="L94" i="1"/>
  <c r="L93" i="1"/>
  <c r="K93" i="1" s="1"/>
  <c r="L92" i="1"/>
  <c r="L91" i="1"/>
  <c r="K91" i="1" s="1"/>
  <c r="L90" i="1"/>
  <c r="L89" i="1"/>
  <c r="L88" i="1"/>
  <c r="K88" i="1" s="1"/>
  <c r="L86" i="1"/>
  <c r="L84" i="1"/>
  <c r="K84" i="1" s="1"/>
  <c r="L83" i="1"/>
  <c r="K83" i="1" s="1"/>
  <c r="L82" i="1"/>
  <c r="K82" i="1" s="1"/>
  <c r="L81" i="1"/>
  <c r="L80" i="1"/>
  <c r="K80" i="1" s="1"/>
  <c r="L79" i="1"/>
  <c r="L78" i="1"/>
  <c r="K78" i="1" s="1"/>
  <c r="L76" i="1"/>
  <c r="L72" i="1"/>
  <c r="K72" i="1" s="1"/>
  <c r="L71" i="1"/>
  <c r="L70" i="1"/>
  <c r="K70" i="1" s="1"/>
  <c r="L69" i="1"/>
  <c r="L68" i="1"/>
  <c r="K68" i="1" s="1"/>
  <c r="L67" i="1"/>
  <c r="K67" i="1" s="1"/>
  <c r="H72" i="1"/>
  <c r="H71" i="1"/>
  <c r="G71" i="1" s="1"/>
  <c r="H70" i="1"/>
  <c r="G70" i="1" s="1"/>
  <c r="H69" i="1"/>
  <c r="H68" i="1"/>
  <c r="H67" i="1"/>
  <c r="H66" i="1"/>
  <c r="G66" i="1" s="1"/>
  <c r="H65" i="1"/>
  <c r="G65" i="1" s="1"/>
  <c r="H64" i="1"/>
  <c r="H63" i="1"/>
  <c r="G63" i="1" s="1"/>
  <c r="H62" i="1"/>
  <c r="G62" i="1" s="1"/>
  <c r="H61" i="1"/>
  <c r="H60" i="1"/>
  <c r="G60" i="1" s="1"/>
  <c r="H59" i="1"/>
  <c r="D10" i="1"/>
  <c r="K177" i="1"/>
  <c r="K176" i="1"/>
  <c r="K174" i="1"/>
  <c r="G177" i="1"/>
  <c r="G174" i="1"/>
  <c r="K166" i="1"/>
  <c r="K165" i="1"/>
  <c r="K158" i="1"/>
  <c r="K155" i="1"/>
  <c r="K154" i="1"/>
  <c r="K150" i="1"/>
  <c r="G169" i="1"/>
  <c r="G165" i="1"/>
  <c r="G162" i="1"/>
  <c r="G161" i="1"/>
  <c r="G160" i="1"/>
  <c r="G159" i="1"/>
  <c r="G154" i="1"/>
  <c r="G153" i="1"/>
  <c r="K146" i="1"/>
  <c r="K139" i="1"/>
  <c r="K138" i="1"/>
  <c r="G141" i="1"/>
  <c r="K132" i="1"/>
  <c r="K130" i="1"/>
  <c r="K128" i="1"/>
  <c r="K127" i="1"/>
  <c r="K125" i="1"/>
  <c r="K124" i="1"/>
  <c r="K122" i="1"/>
  <c r="K120" i="1"/>
  <c r="G132" i="1"/>
  <c r="G129" i="1"/>
  <c r="G125" i="1"/>
  <c r="G122" i="1"/>
  <c r="G121" i="1"/>
  <c r="G120" i="1"/>
  <c r="G119" i="1"/>
  <c r="K113" i="1"/>
  <c r="K112" i="1"/>
  <c r="K111" i="1"/>
  <c r="K110" i="1"/>
  <c r="G115" i="1"/>
  <c r="G114" i="1"/>
  <c r="K106" i="1"/>
  <c r="K103" i="1"/>
  <c r="K102" i="1"/>
  <c r="K101" i="1"/>
  <c r="G106" i="1"/>
  <c r="G104" i="1"/>
  <c r="G101" i="1"/>
  <c r="K97" i="1"/>
  <c r="K94" i="1"/>
  <c r="K92" i="1"/>
  <c r="K90" i="1"/>
  <c r="K89" i="1"/>
  <c r="K86" i="1"/>
  <c r="K81" i="1"/>
  <c r="K79" i="1"/>
  <c r="K76" i="1"/>
  <c r="G95" i="1"/>
  <c r="G90" i="1"/>
  <c r="G88" i="1"/>
  <c r="G84" i="1"/>
  <c r="G80" i="1"/>
  <c r="G79" i="1"/>
  <c r="K71" i="1"/>
  <c r="K69" i="1"/>
  <c r="K66" i="1"/>
  <c r="K65" i="1"/>
  <c r="K64" i="1"/>
  <c r="K63" i="1"/>
  <c r="K61" i="1"/>
  <c r="K60" i="1"/>
  <c r="G72" i="1"/>
  <c r="G69" i="1"/>
  <c r="G68" i="1"/>
  <c r="G67" i="1"/>
  <c r="G64" i="1"/>
  <c r="G61" i="1"/>
  <c r="G59" i="1"/>
  <c r="L55" i="1"/>
  <c r="K55" i="1" s="1"/>
  <c r="L54" i="1"/>
  <c r="K54" i="1" s="1"/>
  <c r="L53" i="1"/>
  <c r="K53" i="1"/>
  <c r="L52" i="1"/>
  <c r="K52" i="1" s="1"/>
  <c r="L51" i="1"/>
  <c r="K51" i="1" s="1"/>
  <c r="L50" i="1"/>
  <c r="K50" i="1" s="1"/>
  <c r="L49" i="1"/>
  <c r="K49" i="1"/>
  <c r="L48" i="1"/>
  <c r="K48" i="1" s="1"/>
  <c r="K47" i="1"/>
  <c r="K46" i="1"/>
  <c r="K45" i="1"/>
  <c r="K44" i="1"/>
  <c r="K42" i="1"/>
  <c r="K41" i="1"/>
  <c r="K40" i="1"/>
  <c r="K39" i="1"/>
  <c r="K38" i="1"/>
  <c r="K37" i="1"/>
  <c r="K36" i="1"/>
  <c r="K34" i="1"/>
  <c r="K31" i="1"/>
  <c r="K30" i="1"/>
  <c r="K29" i="1"/>
  <c r="K28" i="1"/>
  <c r="K26" i="1"/>
  <c r="K25" i="1"/>
  <c r="K23" i="1"/>
  <c r="K22" i="1"/>
  <c r="K21" i="1"/>
  <c r="K20" i="1"/>
  <c r="K18" i="1"/>
  <c r="K17" i="1"/>
  <c r="K16" i="1"/>
  <c r="K15" i="1"/>
  <c r="K14" i="1"/>
  <c r="K13" i="1"/>
  <c r="K12" i="1"/>
  <c r="H55" i="1"/>
  <c r="G55" i="1"/>
  <c r="H54" i="1"/>
  <c r="G54" i="1" s="1"/>
  <c r="H53" i="1"/>
  <c r="G53" i="1" s="1"/>
  <c r="H52" i="1"/>
  <c r="G52" i="1" s="1"/>
  <c r="H51" i="1"/>
  <c r="G51" i="1" s="1"/>
  <c r="H50" i="1"/>
  <c r="G50" i="1" s="1"/>
  <c r="H49" i="1"/>
  <c r="G49" i="1" s="1"/>
  <c r="H48" i="1"/>
  <c r="G48" i="1" s="1"/>
  <c r="H47" i="1"/>
  <c r="G47" i="1"/>
  <c r="H46" i="1"/>
  <c r="G46" i="1" s="1"/>
  <c r="H45" i="1"/>
  <c r="G45" i="1" s="1"/>
  <c r="H44" i="1"/>
  <c r="G44" i="1" s="1"/>
  <c r="H43" i="1"/>
  <c r="G43" i="1"/>
  <c r="H42" i="1"/>
  <c r="G42" i="1" s="1"/>
  <c r="H41" i="1"/>
  <c r="G41" i="1"/>
  <c r="H40" i="1"/>
  <c r="G40" i="1" s="1"/>
  <c r="H39" i="1"/>
  <c r="G39" i="1"/>
  <c r="H38" i="1"/>
  <c r="G38" i="1" s="1"/>
  <c r="H37" i="1"/>
  <c r="G37" i="1" s="1"/>
  <c r="H36" i="1"/>
  <c r="G36" i="1" s="1"/>
  <c r="H35" i="1"/>
  <c r="G35" i="1" s="1"/>
  <c r="H34" i="1"/>
  <c r="G34" i="1" s="1"/>
  <c r="H33" i="1"/>
  <c r="G33" i="1" s="1"/>
  <c r="H32" i="1"/>
  <c r="G32" i="1" s="1"/>
  <c r="H31" i="1"/>
  <c r="G31" i="1"/>
  <c r="H30" i="1"/>
  <c r="G30" i="1" s="1"/>
  <c r="H29" i="1"/>
  <c r="G29" i="1" s="1"/>
  <c r="H28" i="1"/>
  <c r="G28" i="1" s="1"/>
  <c r="H27" i="1"/>
  <c r="G27" i="1"/>
  <c r="H26" i="1"/>
  <c r="G26" i="1" s="1"/>
  <c r="H25" i="1"/>
  <c r="G25" i="1"/>
  <c r="H24" i="1"/>
  <c r="G24" i="1" s="1"/>
  <c r="H23" i="1"/>
  <c r="G23" i="1"/>
  <c r="H22" i="1"/>
  <c r="G22" i="1" s="1"/>
  <c r="H21" i="1"/>
  <c r="G21" i="1" s="1"/>
  <c r="H20" i="1"/>
  <c r="G20" i="1" s="1"/>
  <c r="H19" i="1"/>
  <c r="G19" i="1" s="1"/>
  <c r="H18" i="1"/>
  <c r="G18" i="1" s="1"/>
  <c r="H17" i="1"/>
  <c r="G17" i="1" s="1"/>
  <c r="H16" i="1"/>
  <c r="G16" i="1" s="1"/>
  <c r="H15" i="1"/>
  <c r="G15" i="1"/>
  <c r="H14" i="1"/>
  <c r="G14" i="1" s="1"/>
  <c r="H13" i="1"/>
  <c r="G13" i="1" s="1"/>
  <c r="H12" i="1"/>
  <c r="G12" i="1" s="1"/>
  <c r="E192" i="1"/>
  <c r="E191" i="1"/>
  <c r="E190" i="1"/>
  <c r="E189" i="1"/>
  <c r="I178" i="1"/>
  <c r="I177" i="1"/>
  <c r="I176" i="1"/>
  <c r="I175" i="1"/>
  <c r="I174" i="1"/>
  <c r="I173" i="1"/>
  <c r="E178" i="1"/>
  <c r="E177" i="1"/>
  <c r="E176" i="1"/>
  <c r="E175" i="1"/>
  <c r="E174" i="1"/>
  <c r="E173" i="1"/>
  <c r="I169" i="1"/>
  <c r="I168" i="1"/>
  <c r="I167" i="1"/>
  <c r="I166" i="1"/>
  <c r="I165" i="1"/>
  <c r="I164" i="1"/>
  <c r="I163" i="1"/>
  <c r="I162" i="1"/>
  <c r="I161" i="1"/>
  <c r="I160" i="1"/>
  <c r="I159" i="1"/>
  <c r="I158" i="1"/>
  <c r="I157" i="1"/>
  <c r="I156" i="1"/>
  <c r="I155" i="1"/>
  <c r="I154" i="1"/>
  <c r="I153" i="1"/>
  <c r="I152" i="1"/>
  <c r="I151" i="1"/>
  <c r="I150" i="1"/>
  <c r="E169" i="1"/>
  <c r="E168" i="1"/>
  <c r="E167" i="1"/>
  <c r="E166" i="1"/>
  <c r="E165" i="1"/>
  <c r="E164" i="1"/>
  <c r="E163" i="1"/>
  <c r="E162" i="1"/>
  <c r="E161" i="1"/>
  <c r="E160" i="1"/>
  <c r="E159" i="1"/>
  <c r="E158" i="1"/>
  <c r="E157" i="1"/>
  <c r="E156" i="1"/>
  <c r="E155" i="1"/>
  <c r="E154" i="1"/>
  <c r="E153" i="1"/>
  <c r="E152" i="1"/>
  <c r="E151" i="1"/>
  <c r="E150" i="1"/>
  <c r="I146" i="1"/>
  <c r="I145" i="1"/>
  <c r="I144" i="1"/>
  <c r="I143" i="1"/>
  <c r="I142" i="1"/>
  <c r="I141" i="1"/>
  <c r="I140" i="1"/>
  <c r="I139" i="1"/>
  <c r="I138" i="1"/>
  <c r="E146" i="1"/>
  <c r="E145" i="1"/>
  <c r="E144" i="1"/>
  <c r="E143" i="1"/>
  <c r="E142" i="1"/>
  <c r="E141" i="1"/>
  <c r="E140" i="1"/>
  <c r="E139" i="1"/>
  <c r="E138" i="1"/>
  <c r="I134" i="1"/>
  <c r="I133" i="1"/>
  <c r="I132" i="1"/>
  <c r="I131" i="1"/>
  <c r="I130" i="1"/>
  <c r="I129" i="1"/>
  <c r="I128" i="1"/>
  <c r="I127" i="1"/>
  <c r="I126" i="1"/>
  <c r="I125" i="1"/>
  <c r="I124" i="1"/>
  <c r="I123" i="1"/>
  <c r="I122" i="1"/>
  <c r="I121" i="1"/>
  <c r="I120" i="1"/>
  <c r="I119" i="1"/>
  <c r="E134" i="1"/>
  <c r="E133" i="1"/>
  <c r="E132" i="1"/>
  <c r="E131" i="1"/>
  <c r="E130" i="1"/>
  <c r="E129" i="1"/>
  <c r="E128" i="1"/>
  <c r="E127" i="1"/>
  <c r="E126" i="1"/>
  <c r="E125" i="1"/>
  <c r="E124" i="1"/>
  <c r="E123" i="1"/>
  <c r="E122" i="1"/>
  <c r="E121" i="1"/>
  <c r="E120" i="1"/>
  <c r="E119" i="1"/>
  <c r="I115" i="1"/>
  <c r="I114" i="1"/>
  <c r="I113" i="1"/>
  <c r="I112" i="1"/>
  <c r="I111" i="1"/>
  <c r="I110" i="1"/>
  <c r="E115" i="1"/>
  <c r="E114" i="1"/>
  <c r="E113" i="1"/>
  <c r="E112" i="1"/>
  <c r="E111" i="1"/>
  <c r="E110" i="1"/>
  <c r="I106" i="1"/>
  <c r="I105" i="1"/>
  <c r="I104" i="1"/>
  <c r="I103" i="1"/>
  <c r="I102" i="1"/>
  <c r="I101" i="1"/>
  <c r="E106" i="1"/>
  <c r="E105" i="1"/>
  <c r="E104" i="1"/>
  <c r="E103" i="1"/>
  <c r="E102" i="1"/>
  <c r="E101" i="1"/>
  <c r="I97" i="1"/>
  <c r="I96" i="1"/>
  <c r="I95" i="1"/>
  <c r="I94" i="1"/>
  <c r="I93" i="1"/>
  <c r="I92" i="1"/>
  <c r="I91" i="1"/>
  <c r="I90" i="1"/>
  <c r="I89" i="1"/>
  <c r="I88" i="1"/>
  <c r="I87" i="1"/>
  <c r="I86" i="1"/>
  <c r="I85" i="1"/>
  <c r="I84" i="1"/>
  <c r="I83" i="1"/>
  <c r="I82" i="1"/>
  <c r="I81" i="1"/>
  <c r="I80" i="1"/>
  <c r="I79" i="1"/>
  <c r="I78" i="1"/>
  <c r="I77" i="1"/>
  <c r="I76" i="1"/>
  <c r="E97" i="1"/>
  <c r="E96" i="1"/>
  <c r="E95" i="1"/>
  <c r="E94" i="1"/>
  <c r="E93" i="1"/>
  <c r="E92" i="1"/>
  <c r="E91" i="1"/>
  <c r="E90" i="1"/>
  <c r="E89" i="1"/>
  <c r="E88" i="1"/>
  <c r="E87" i="1"/>
  <c r="E86" i="1"/>
  <c r="E85" i="1"/>
  <c r="E84" i="1"/>
  <c r="E83" i="1"/>
  <c r="E82" i="1"/>
  <c r="E81" i="1"/>
  <c r="E80" i="1"/>
  <c r="E79" i="1"/>
  <c r="E78" i="1"/>
  <c r="E77" i="1"/>
  <c r="E76" i="1"/>
  <c r="I72" i="1"/>
  <c r="I71" i="1"/>
  <c r="I70" i="1"/>
  <c r="I69" i="1"/>
  <c r="I68" i="1"/>
  <c r="I67" i="1"/>
  <c r="I66" i="1"/>
  <c r="I65" i="1"/>
  <c r="I64" i="1"/>
  <c r="I63" i="1"/>
  <c r="I62" i="1"/>
  <c r="I61" i="1"/>
  <c r="I60" i="1"/>
  <c r="I59" i="1"/>
  <c r="E72" i="1"/>
  <c r="E71" i="1"/>
  <c r="E70" i="1"/>
  <c r="E69" i="1"/>
  <c r="E68" i="1"/>
  <c r="E67" i="1"/>
  <c r="E66" i="1"/>
  <c r="E65" i="1"/>
  <c r="E64" i="1"/>
  <c r="E63" i="1"/>
  <c r="E62" i="1"/>
  <c r="E61" i="1"/>
  <c r="E60" i="1"/>
  <c r="E59"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J40" i="12"/>
  <c r="A178" i="4"/>
  <c r="A177" i="4"/>
  <c r="A176" i="4"/>
  <c r="A175" i="4"/>
  <c r="A174" i="4"/>
  <c r="A173" i="4"/>
  <c r="A115" i="4"/>
  <c r="A114" i="4"/>
  <c r="A113" i="4"/>
  <c r="A112" i="4"/>
  <c r="A111" i="4"/>
  <c r="A110" i="4"/>
  <c r="A106" i="4"/>
  <c r="A105" i="4"/>
  <c r="A104" i="4"/>
  <c r="A103" i="4"/>
  <c r="A102" i="4"/>
  <c r="A101" i="4"/>
  <c r="A76" i="4"/>
  <c r="A72" i="4"/>
  <c r="A71" i="4"/>
  <c r="A70" i="4"/>
  <c r="A69" i="4"/>
  <c r="A68" i="4"/>
  <c r="A67" i="4"/>
  <c r="A66" i="4"/>
  <c r="A65" i="4"/>
  <c r="A64" i="4"/>
  <c r="A63" i="4"/>
  <c r="A62" i="4"/>
  <c r="A61" i="4"/>
  <c r="A60" i="4"/>
  <c r="A59"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B10" i="11"/>
  <c r="J31" i="12"/>
  <c r="M224" i="16"/>
  <c r="I173" i="4" l="1"/>
  <c r="L173" i="1"/>
  <c r="K173" i="4"/>
  <c r="H87" i="1"/>
  <c r="J22" i="12"/>
  <c r="N224" i="19"/>
  <c r="L154" i="11"/>
  <c r="K154" i="11" s="1"/>
  <c r="L154" i="19"/>
  <c r="K154" i="19" s="1"/>
  <c r="G154" i="5"/>
  <c r="F154" i="5" s="1"/>
  <c r="L154" i="16"/>
  <c r="K154" i="16" s="1"/>
  <c r="L154" i="17"/>
  <c r="K154" i="17" s="1"/>
  <c r="L154" i="18"/>
  <c r="K154" i="18" s="1"/>
  <c r="P208" i="16"/>
  <c r="O208" i="16" s="1"/>
  <c r="L87" i="1"/>
  <c r="K87" i="1" s="1"/>
  <c r="C35" i="4"/>
  <c r="K35" i="4"/>
  <c r="I35" i="4"/>
  <c r="L35" i="1"/>
  <c r="P62" i="11"/>
  <c r="O62" i="11" s="1"/>
  <c r="P27" i="11"/>
  <c r="O27" i="11" s="1"/>
  <c r="P205" i="11"/>
  <c r="O205" i="11" s="1"/>
  <c r="P27" i="18"/>
  <c r="O27" i="18" s="1"/>
  <c r="A207" i="19"/>
  <c r="A207" i="18"/>
  <c r="A207" i="17"/>
  <c r="P208" i="11"/>
  <c r="O208" i="11" s="1"/>
  <c r="N207" i="11"/>
  <c r="M207" i="11" s="1"/>
  <c r="O138" i="16"/>
  <c r="P19" i="17"/>
  <c r="O19" i="17" s="1"/>
  <c r="P27" i="17"/>
  <c r="O27" i="17" s="1"/>
  <c r="P35" i="17"/>
  <c r="O35" i="17" s="1"/>
  <c r="P64" i="18"/>
  <c r="O64" i="18" s="1"/>
  <c r="N29" i="18"/>
  <c r="M29" i="18" s="1"/>
  <c r="N29" i="17"/>
  <c r="M29" i="17" s="1"/>
  <c r="L203" i="17"/>
  <c r="K203" i="17" s="1"/>
  <c r="J211" i="11"/>
  <c r="I211" i="11" s="1"/>
  <c r="J206" i="11"/>
  <c r="I206" i="11" s="1"/>
  <c r="C24" i="4"/>
  <c r="L24" i="1"/>
  <c r="P24" i="17" s="1"/>
  <c r="K24" i="4"/>
  <c r="P62" i="16"/>
  <c r="O62" i="16" s="1"/>
  <c r="P206" i="17"/>
  <c r="O206" i="17" s="1"/>
  <c r="K190" i="17"/>
  <c r="P204" i="18"/>
  <c r="O204" i="18" s="1"/>
  <c r="O151" i="19"/>
  <c r="P209" i="19"/>
  <c r="O209" i="19" s="1"/>
  <c r="J212" i="19"/>
  <c r="I212" i="19" s="1"/>
  <c r="L203" i="11"/>
  <c r="K203" i="11" s="1"/>
  <c r="J203" i="16"/>
  <c r="I203" i="16" s="1"/>
  <c r="C27" i="4"/>
  <c r="K27" i="4"/>
  <c r="L27" i="1"/>
  <c r="P27" i="16" s="1"/>
  <c r="O27" i="16" s="1"/>
  <c r="I27" i="4"/>
  <c r="C16" i="4"/>
  <c r="K16" i="4"/>
  <c r="H152" i="1"/>
  <c r="L152" i="16" s="1"/>
  <c r="K152" i="16" s="1"/>
  <c r="N208" i="16"/>
  <c r="M208" i="16" s="1"/>
  <c r="N41" i="18"/>
  <c r="M41" i="18" s="1"/>
  <c r="N41" i="19"/>
  <c r="M41" i="19" s="1"/>
  <c r="N41" i="17"/>
  <c r="M41" i="17" s="1"/>
  <c r="I41" i="5"/>
  <c r="H41" i="5" s="1"/>
  <c r="N16" i="18"/>
  <c r="M16" i="18" s="1"/>
  <c r="N16" i="17"/>
  <c r="M16" i="17" s="1"/>
  <c r="N16" i="19"/>
  <c r="M16" i="19" s="1"/>
  <c r="I16" i="5"/>
  <c r="H16" i="5" s="1"/>
  <c r="C62" i="4"/>
  <c r="K62" i="4"/>
  <c r="L62" i="1"/>
  <c r="P62" i="19" s="1"/>
  <c r="O62" i="19" s="1"/>
  <c r="I62" i="4"/>
  <c r="C59" i="4"/>
  <c r="K59" i="4"/>
  <c r="L59" i="1"/>
  <c r="H151" i="1"/>
  <c r="H76" i="1"/>
  <c r="N63" i="19"/>
  <c r="M63" i="19" s="1"/>
  <c r="N63" i="17"/>
  <c r="M63" i="17" s="1"/>
  <c r="N40" i="18"/>
  <c r="M40" i="18" s="1"/>
  <c r="P40" i="19"/>
  <c r="O40" i="19" s="1"/>
  <c r="I15" i="5"/>
  <c r="H15" i="5" s="1"/>
  <c r="N15" i="18"/>
  <c r="M15" i="18" s="1"/>
  <c r="N15" i="17"/>
  <c r="M15" i="17" s="1"/>
  <c r="J211" i="17"/>
  <c r="I211" i="17" s="1"/>
  <c r="J202" i="17"/>
  <c r="I202" i="17" s="1"/>
  <c r="C19" i="4"/>
  <c r="K19" i="4"/>
  <c r="L19" i="1"/>
  <c r="I19" i="4"/>
  <c r="M80" i="19"/>
  <c r="N204" i="19"/>
  <c r="M204" i="19" s="1"/>
  <c r="P173" i="19"/>
  <c r="O173" i="19" s="1"/>
  <c r="N110" i="18"/>
  <c r="M110" i="18" s="1"/>
  <c r="N110" i="19"/>
  <c r="M110" i="19" s="1"/>
  <c r="N110" i="17"/>
  <c r="M110" i="17" s="1"/>
  <c r="P110" i="19"/>
  <c r="I110" i="5"/>
  <c r="H110" i="5" s="1"/>
  <c r="J212" i="17"/>
  <c r="I212" i="17" s="1"/>
  <c r="C40" i="4"/>
  <c r="K40" i="4"/>
  <c r="H82" i="1"/>
  <c r="N47" i="18"/>
  <c r="M47" i="18" s="1"/>
  <c r="I47" i="5"/>
  <c r="H47" i="5" s="1"/>
  <c r="I22" i="5"/>
  <c r="H22" i="5" s="1"/>
  <c r="N22" i="19"/>
  <c r="M22" i="19" s="1"/>
  <c r="N22" i="18"/>
  <c r="M22" i="18" s="1"/>
  <c r="J205" i="19"/>
  <c r="I205" i="19" s="1"/>
  <c r="J212" i="11"/>
  <c r="I212" i="11" s="1"/>
  <c r="C43" i="4"/>
  <c r="K43" i="4"/>
  <c r="L43" i="1"/>
  <c r="I43" i="4"/>
  <c r="L162" i="18"/>
  <c r="K162" i="18" s="1"/>
  <c r="L162" i="17"/>
  <c r="K162" i="17" s="1"/>
  <c r="L162" i="11"/>
  <c r="K162" i="11" s="1"/>
  <c r="G162" i="5"/>
  <c r="F162" i="5" s="1"/>
  <c r="L162" i="16"/>
  <c r="K162" i="16" s="1"/>
  <c r="L162" i="19"/>
  <c r="K162" i="19" s="1"/>
  <c r="H156" i="1"/>
  <c r="L88" i="19"/>
  <c r="K88" i="19" s="1"/>
  <c r="G88" i="5"/>
  <c r="F88" i="5" s="1"/>
  <c r="H81" i="1"/>
  <c r="B22" i="12"/>
  <c r="C24" i="12"/>
  <c r="B24" i="12" s="1"/>
  <c r="N224" i="11"/>
  <c r="P19" i="11"/>
  <c r="O19" i="11" s="1"/>
  <c r="P59" i="16"/>
  <c r="O59" i="16" s="1"/>
  <c r="N208" i="19"/>
  <c r="M208" i="19" s="1"/>
  <c r="M146" i="19"/>
  <c r="P41" i="19"/>
  <c r="O41" i="19" s="1"/>
  <c r="I46" i="5"/>
  <c r="H46" i="5" s="1"/>
  <c r="N46" i="18"/>
  <c r="M46" i="18" s="1"/>
  <c r="N46" i="17"/>
  <c r="M46" i="17" s="1"/>
  <c r="I21" i="5"/>
  <c r="H21" i="5" s="1"/>
  <c r="N21" i="18"/>
  <c r="M21" i="18" s="1"/>
  <c r="N21" i="19"/>
  <c r="M21" i="19" s="1"/>
  <c r="L210" i="18"/>
  <c r="K210" i="18" s="1"/>
  <c r="C32" i="4"/>
  <c r="L32" i="1"/>
  <c r="P32" i="17" s="1"/>
  <c r="O32" i="17" s="1"/>
  <c r="K32" i="4"/>
  <c r="G210" i="5"/>
  <c r="F210" i="5" s="1"/>
  <c r="L206" i="19"/>
  <c r="K206" i="19" s="1"/>
  <c r="J211" i="19"/>
  <c r="I211" i="19" s="1"/>
  <c r="L210" i="11"/>
  <c r="K210" i="11" s="1"/>
  <c r="L205" i="16"/>
  <c r="K205" i="16" s="1"/>
  <c r="L210" i="17"/>
  <c r="K210" i="17" s="1"/>
  <c r="J210" i="18"/>
  <c r="I210" i="18" s="1"/>
  <c r="P22" i="18"/>
  <c r="O22" i="18" s="1"/>
  <c r="P46" i="18"/>
  <c r="O46" i="18" s="1"/>
  <c r="P16" i="19"/>
  <c r="O16" i="19" s="1"/>
  <c r="P13" i="17"/>
  <c r="K102" i="4"/>
  <c r="E101" i="4"/>
  <c r="M101" i="4" s="1"/>
  <c r="O101" i="4" s="1"/>
  <c r="N101" i="4" s="1"/>
  <c r="N209" i="17"/>
  <c r="M209" i="17" s="1"/>
  <c r="L211" i="18"/>
  <c r="K211" i="18" s="1"/>
  <c r="I102" i="4"/>
  <c r="I63" i="4"/>
  <c r="K17" i="4"/>
  <c r="P16" i="18"/>
  <c r="O16" i="18" s="1"/>
  <c r="P24" i="18"/>
  <c r="O24" i="18" s="1"/>
  <c r="P32" i="18"/>
  <c r="O32" i="18" s="1"/>
  <c r="P40" i="18"/>
  <c r="O40" i="18" s="1"/>
  <c r="P176" i="18"/>
  <c r="O176" i="18" s="1"/>
  <c r="N30" i="18"/>
  <c r="M30" i="18" s="1"/>
  <c r="J208" i="16"/>
  <c r="I208" i="16" s="1"/>
  <c r="J210" i="11"/>
  <c r="I210" i="11" s="1"/>
  <c r="G102" i="4"/>
  <c r="M102" i="4" s="1"/>
  <c r="O102" i="4" s="1"/>
  <c r="N102" i="4" s="1"/>
  <c r="K65" i="4"/>
  <c r="K46" i="4"/>
  <c r="I41" i="4"/>
  <c r="K38" i="4"/>
  <c r="I33" i="4"/>
  <c r="K30" i="4"/>
  <c r="I25" i="4"/>
  <c r="K22" i="4"/>
  <c r="I17" i="4"/>
  <c r="K14" i="4"/>
  <c r="L206" i="16"/>
  <c r="K206" i="16" s="1"/>
  <c r="E102" i="4"/>
  <c r="I65" i="4"/>
  <c r="I46" i="4"/>
  <c r="I38" i="4"/>
  <c r="I30" i="4"/>
  <c r="I22" i="4"/>
  <c r="I14" i="4"/>
  <c r="M102" i="16"/>
  <c r="N205" i="16"/>
  <c r="M205" i="16" s="1"/>
  <c r="N209" i="18"/>
  <c r="M209" i="18" s="1"/>
  <c r="M150" i="18"/>
  <c r="L152" i="18"/>
  <c r="K152" i="18" s="1"/>
  <c r="G152" i="1"/>
  <c r="H77" i="1"/>
  <c r="L77" i="1"/>
  <c r="K77" i="1" s="1"/>
  <c r="O150" i="16"/>
  <c r="P209" i="16"/>
  <c r="O209" i="16" s="1"/>
  <c r="N206" i="11"/>
  <c r="M206" i="11" s="1"/>
  <c r="N206" i="16"/>
  <c r="M206" i="16" s="1"/>
  <c r="P206" i="11"/>
  <c r="O206" i="11" s="1"/>
  <c r="O110" i="11"/>
  <c r="P207" i="11"/>
  <c r="O207" i="11" s="1"/>
  <c r="L212" i="11"/>
  <c r="K212" i="11" s="1"/>
  <c r="O121" i="16"/>
  <c r="P207" i="16"/>
  <c r="O207" i="16" s="1"/>
  <c r="O111" i="16"/>
  <c r="P206" i="16"/>
  <c r="O206" i="16" s="1"/>
  <c r="K189" i="16"/>
  <c r="L212" i="16"/>
  <c r="K212" i="16" s="1"/>
  <c r="P204" i="11"/>
  <c r="O204" i="11" s="1"/>
  <c r="O13" i="17"/>
  <c r="P204" i="16"/>
  <c r="O204" i="16" s="1"/>
  <c r="P209" i="17"/>
  <c r="O209" i="17" s="1"/>
  <c r="O150" i="17"/>
  <c r="N205" i="11"/>
  <c r="M205" i="11" s="1"/>
  <c r="O110" i="19"/>
  <c r="H157" i="1"/>
  <c r="L123" i="11"/>
  <c r="K123" i="11" s="1"/>
  <c r="L123" i="18"/>
  <c r="K123" i="18" s="1"/>
  <c r="L123" i="17"/>
  <c r="K123" i="17" s="1"/>
  <c r="G123" i="5"/>
  <c r="F123" i="5" s="1"/>
  <c r="L123" i="19"/>
  <c r="K123" i="19" s="1"/>
  <c r="L123" i="16"/>
  <c r="K123" i="16" s="1"/>
  <c r="G76" i="5"/>
  <c r="L76" i="19"/>
  <c r="L76" i="11"/>
  <c r="L76" i="18"/>
  <c r="L76" i="16"/>
  <c r="L76" i="17"/>
  <c r="G76" i="1"/>
  <c r="G123" i="1"/>
  <c r="O76" i="11"/>
  <c r="O119" i="11"/>
  <c r="K191" i="11"/>
  <c r="A203" i="11"/>
  <c r="P13" i="11"/>
  <c r="O13" i="11" s="1"/>
  <c r="O101" i="17"/>
  <c r="P208" i="17"/>
  <c r="O208" i="17" s="1"/>
  <c r="A203" i="18"/>
  <c r="N207" i="19"/>
  <c r="M207" i="19" s="1"/>
  <c r="A202" i="19"/>
  <c r="A202" i="17"/>
  <c r="A202" i="18"/>
  <c r="I208" i="5"/>
  <c r="H208" i="5" s="1"/>
  <c r="P209" i="18"/>
  <c r="O209" i="18" s="1"/>
  <c r="J210" i="16"/>
  <c r="I210" i="16" s="1"/>
  <c r="I175" i="16"/>
  <c r="J202" i="16"/>
  <c r="I15" i="16"/>
  <c r="O12" i="11"/>
  <c r="I33" i="5"/>
  <c r="H33" i="5" s="1"/>
  <c r="N33" i="18"/>
  <c r="M33" i="18" s="1"/>
  <c r="N33" i="19"/>
  <c r="M33" i="19" s="1"/>
  <c r="P33" i="19"/>
  <c r="O33" i="19" s="1"/>
  <c r="N33" i="17"/>
  <c r="M33" i="17" s="1"/>
  <c r="N33" i="16"/>
  <c r="M33" i="16" s="1"/>
  <c r="G138" i="5"/>
  <c r="L138" i="18"/>
  <c r="L138" i="17"/>
  <c r="L138" i="11"/>
  <c r="L138" i="19"/>
  <c r="L138" i="16"/>
  <c r="G121" i="5"/>
  <c r="F121" i="5" s="1"/>
  <c r="L121" i="16"/>
  <c r="L121" i="11"/>
  <c r="K121" i="11" s="1"/>
  <c r="L121" i="18"/>
  <c r="K121" i="18" s="1"/>
  <c r="L121" i="19"/>
  <c r="L121" i="17"/>
  <c r="K121" i="17" s="1"/>
  <c r="O101" i="11"/>
  <c r="A203" i="16"/>
  <c r="N204" i="16"/>
  <c r="M204" i="16" s="1"/>
  <c r="O112" i="18"/>
  <c r="P206" i="18"/>
  <c r="O206" i="18" s="1"/>
  <c r="N44" i="18"/>
  <c r="M44" i="18" s="1"/>
  <c r="N44" i="19"/>
  <c r="M44" i="19" s="1"/>
  <c r="N44" i="17"/>
  <c r="M44" i="17" s="1"/>
  <c r="P44" i="19"/>
  <c r="O44" i="19" s="1"/>
  <c r="P44" i="18"/>
  <c r="O44" i="18" s="1"/>
  <c r="N19" i="18"/>
  <c r="M19" i="18" s="1"/>
  <c r="N19" i="19"/>
  <c r="M19" i="19" s="1"/>
  <c r="N19" i="17"/>
  <c r="M19" i="17" s="1"/>
  <c r="P19" i="18"/>
  <c r="O19" i="18" s="1"/>
  <c r="N19" i="16"/>
  <c r="M19" i="16" s="1"/>
  <c r="O119" i="18"/>
  <c r="P207" i="18"/>
  <c r="O207" i="18" s="1"/>
  <c r="H85" i="1"/>
  <c r="G138" i="1"/>
  <c r="L157" i="1"/>
  <c r="K157" i="1" s="1"/>
  <c r="I185" i="16"/>
  <c r="M111" i="16"/>
  <c r="A203" i="17"/>
  <c r="P207" i="17"/>
  <c r="O207" i="17" s="1"/>
  <c r="N209" i="11"/>
  <c r="M209" i="11" s="1"/>
  <c r="N204" i="11"/>
  <c r="M204" i="11" s="1"/>
  <c r="N33" i="11"/>
  <c r="M33" i="11" s="1"/>
  <c r="N207" i="16"/>
  <c r="M207" i="16" s="1"/>
  <c r="L212" i="18"/>
  <c r="K212" i="18" s="1"/>
  <c r="N102" i="18"/>
  <c r="M102" i="18" s="1"/>
  <c r="I102" i="5"/>
  <c r="H102" i="5" s="1"/>
  <c r="P102" i="16"/>
  <c r="P102" i="17"/>
  <c r="O102" i="17" s="1"/>
  <c r="N102" i="17"/>
  <c r="M102" i="17" s="1"/>
  <c r="I204" i="5"/>
  <c r="H204" i="5" s="1"/>
  <c r="I60" i="5"/>
  <c r="H60" i="5" s="1"/>
  <c r="P60" i="19"/>
  <c r="N60" i="17"/>
  <c r="M60" i="17" s="1"/>
  <c r="N60" i="18"/>
  <c r="M60" i="18" s="1"/>
  <c r="P60" i="16"/>
  <c r="N60" i="16"/>
  <c r="M60" i="16" s="1"/>
  <c r="N209" i="16"/>
  <c r="M209" i="16" s="1"/>
  <c r="N209" i="19"/>
  <c r="M209" i="19" s="1"/>
  <c r="M150" i="19"/>
  <c r="I13" i="5"/>
  <c r="N13" i="18"/>
  <c r="N13" i="11"/>
  <c r="M13" i="11" s="1"/>
  <c r="N13" i="19"/>
  <c r="P13" i="16"/>
  <c r="O13" i="16" s="1"/>
  <c r="K33" i="1"/>
  <c r="P209" i="11"/>
  <c r="O209" i="11" s="1"/>
  <c r="P33" i="11"/>
  <c r="O33" i="11" s="1"/>
  <c r="P33" i="16"/>
  <c r="O33" i="16" s="1"/>
  <c r="O76" i="17"/>
  <c r="P204" i="17"/>
  <c r="O204" i="17" s="1"/>
  <c r="N208" i="11"/>
  <c r="M208" i="11" s="1"/>
  <c r="P208" i="18"/>
  <c r="O208" i="18" s="1"/>
  <c r="N204" i="17"/>
  <c r="M204" i="17" s="1"/>
  <c r="M140" i="18"/>
  <c r="N208" i="18"/>
  <c r="M208" i="18" s="1"/>
  <c r="N204" i="18"/>
  <c r="M204" i="18" s="1"/>
  <c r="J206" i="19"/>
  <c r="I206" i="19" s="1"/>
  <c r="I113" i="19"/>
  <c r="P60" i="18"/>
  <c r="O60" i="18" s="1"/>
  <c r="P111" i="19"/>
  <c r="O111" i="19" s="1"/>
  <c r="L211" i="19"/>
  <c r="K211" i="19" s="1"/>
  <c r="K182" i="19"/>
  <c r="L205" i="18"/>
  <c r="K205" i="18" s="1"/>
  <c r="P204" i="19"/>
  <c r="O204" i="19" s="1"/>
  <c r="O76" i="19"/>
  <c r="N207" i="18"/>
  <c r="M207" i="18" s="1"/>
  <c r="N111" i="18"/>
  <c r="M111" i="18" s="1"/>
  <c r="N111" i="17"/>
  <c r="I111" i="5"/>
  <c r="H111" i="5" s="1"/>
  <c r="N111" i="19"/>
  <c r="N43" i="18"/>
  <c r="M43" i="18" s="1"/>
  <c r="I43" i="5"/>
  <c r="H43" i="5" s="1"/>
  <c r="N43" i="19"/>
  <c r="M43" i="19" s="1"/>
  <c r="N43" i="17"/>
  <c r="M43" i="17" s="1"/>
  <c r="J207" i="19"/>
  <c r="I207" i="19" s="1"/>
  <c r="I123" i="19"/>
  <c r="L202" i="17"/>
  <c r="J204" i="17"/>
  <c r="I204" i="17" s="1"/>
  <c r="P13" i="18"/>
  <c r="P102" i="18"/>
  <c r="P24" i="19"/>
  <c r="O24" i="19" s="1"/>
  <c r="I17" i="5"/>
  <c r="H17" i="5" s="1"/>
  <c r="P17" i="19"/>
  <c r="O17" i="19" s="1"/>
  <c r="N225" i="16"/>
  <c r="M225" i="16" s="1"/>
  <c r="J208" i="18"/>
  <c r="I208" i="18" s="1"/>
  <c r="I138" i="18"/>
  <c r="J204" i="18"/>
  <c r="I204" i="18" s="1"/>
  <c r="N205" i="19"/>
  <c r="M205" i="19" s="1"/>
  <c r="M101" i="19"/>
  <c r="I176" i="5"/>
  <c r="H176" i="5" s="1"/>
  <c r="N176" i="18"/>
  <c r="M176" i="18" s="1"/>
  <c r="N176" i="19"/>
  <c r="M176" i="19" s="1"/>
  <c r="P176" i="19"/>
  <c r="O176" i="19" s="1"/>
  <c r="N176" i="17"/>
  <c r="M176" i="17" s="1"/>
  <c r="I207" i="5"/>
  <c r="H207" i="5" s="1"/>
  <c r="N64" i="18"/>
  <c r="M64" i="18" s="1"/>
  <c r="N64" i="17"/>
  <c r="M64" i="17" s="1"/>
  <c r="I64" i="5"/>
  <c r="H64" i="5" s="1"/>
  <c r="N64" i="19"/>
  <c r="M64" i="19" s="1"/>
  <c r="J209" i="18"/>
  <c r="I209" i="18" s="1"/>
  <c r="N208" i="17"/>
  <c r="M208" i="17" s="1"/>
  <c r="N205" i="17"/>
  <c r="M205" i="17" s="1"/>
  <c r="H139" i="1"/>
  <c r="L80" i="18"/>
  <c r="K80" i="18" s="1"/>
  <c r="L80" i="17"/>
  <c r="K80" i="17" s="1"/>
  <c r="L80" i="16"/>
  <c r="K80" i="16" s="1"/>
  <c r="L80" i="19"/>
  <c r="K80" i="19" s="1"/>
  <c r="L80" i="11"/>
  <c r="K80" i="11" s="1"/>
  <c r="G80" i="5"/>
  <c r="F80" i="5" s="1"/>
  <c r="G202" i="5"/>
  <c r="P17" i="18"/>
  <c r="O17" i="18" s="1"/>
  <c r="P33" i="18"/>
  <c r="O33" i="18" s="1"/>
  <c r="P19" i="19"/>
  <c r="O19" i="19" s="1"/>
  <c r="P207" i="19"/>
  <c r="O207" i="19" s="1"/>
  <c r="O122" i="19"/>
  <c r="N173" i="18"/>
  <c r="N173" i="17"/>
  <c r="N173" i="19"/>
  <c r="N63" i="18"/>
  <c r="M63" i="18" s="1"/>
  <c r="P63" i="19"/>
  <c r="O63" i="19" s="1"/>
  <c r="I63" i="5"/>
  <c r="H63" i="5" s="1"/>
  <c r="N47" i="17"/>
  <c r="M47" i="17" s="1"/>
  <c r="N47" i="19"/>
  <c r="M47" i="19" s="1"/>
  <c r="I29" i="5"/>
  <c r="H29" i="5" s="1"/>
  <c r="N29" i="19"/>
  <c r="M29" i="19" s="1"/>
  <c r="N23" i="19"/>
  <c r="M23" i="19" s="1"/>
  <c r="N23" i="17"/>
  <c r="M23" i="17" s="1"/>
  <c r="N23" i="18"/>
  <c r="M23" i="18" s="1"/>
  <c r="I23" i="5"/>
  <c r="H23" i="5" s="1"/>
  <c r="L205" i="19"/>
  <c r="K205" i="19" s="1"/>
  <c r="K103" i="19"/>
  <c r="J208" i="19"/>
  <c r="I208" i="19" s="1"/>
  <c r="L206" i="18"/>
  <c r="K206" i="18" s="1"/>
  <c r="P208" i="19"/>
  <c r="O208" i="19" s="1"/>
  <c r="P47" i="19"/>
  <c r="O47" i="19" s="1"/>
  <c r="I40" i="5"/>
  <c r="H40" i="5" s="1"/>
  <c r="N40" i="17"/>
  <c r="M40" i="17" s="1"/>
  <c r="N40" i="19"/>
  <c r="M40" i="19" s="1"/>
  <c r="N35" i="18"/>
  <c r="M35" i="18" s="1"/>
  <c r="N35" i="19"/>
  <c r="M35" i="19" s="1"/>
  <c r="N28" i="18"/>
  <c r="M28" i="18" s="1"/>
  <c r="I28" i="5"/>
  <c r="H28" i="5" s="1"/>
  <c r="N28" i="19"/>
  <c r="M28" i="19" s="1"/>
  <c r="L210" i="19"/>
  <c r="K210" i="19" s="1"/>
  <c r="J208" i="17"/>
  <c r="I208" i="17" s="1"/>
  <c r="P13" i="19"/>
  <c r="P64" i="19"/>
  <c r="O64" i="19" s="1"/>
  <c r="P102" i="19"/>
  <c r="I209" i="5"/>
  <c r="H209" i="5" s="1"/>
  <c r="I112" i="5"/>
  <c r="H112" i="5" s="1"/>
  <c r="N112" i="18"/>
  <c r="M112" i="18" s="1"/>
  <c r="N112" i="19"/>
  <c r="M112" i="19" s="1"/>
  <c r="J203" i="18"/>
  <c r="I203" i="18" s="1"/>
  <c r="J205" i="16"/>
  <c r="I205" i="16" s="1"/>
  <c r="P20" i="19"/>
  <c r="O20" i="19" s="1"/>
  <c r="L202" i="19"/>
  <c r="J209" i="19"/>
  <c r="I209" i="19" s="1"/>
  <c r="J207" i="11"/>
  <c r="I207" i="11" s="1"/>
  <c r="J202" i="11"/>
  <c r="I24" i="12"/>
  <c r="N224" i="18"/>
  <c r="H22" i="12"/>
  <c r="M22" i="12" s="1"/>
  <c r="G206" i="5"/>
  <c r="F206" i="5" s="1"/>
  <c r="G205" i="5"/>
  <c r="F205" i="5" s="1"/>
  <c r="L87" i="16"/>
  <c r="K87" i="16" s="1"/>
  <c r="L87" i="11"/>
  <c r="K87" i="11" s="1"/>
  <c r="L87" i="18"/>
  <c r="K87" i="18" s="1"/>
  <c r="P15" i="19"/>
  <c r="O15" i="19" s="1"/>
  <c r="P23" i="19"/>
  <c r="O23" i="19" s="1"/>
  <c r="N45" i="18"/>
  <c r="M45" i="18" s="1"/>
  <c r="L202" i="11"/>
  <c r="L203" i="16"/>
  <c r="K203" i="16" s="1"/>
  <c r="L202" i="18"/>
  <c r="J205" i="18"/>
  <c r="I205" i="18" s="1"/>
  <c r="J208" i="11"/>
  <c r="I208" i="11" s="1"/>
  <c r="K176" i="4"/>
  <c r="E176" i="4"/>
  <c r="C176" i="4"/>
  <c r="G176" i="4"/>
  <c r="I176" i="4"/>
  <c r="H126" i="1"/>
  <c r="G84" i="5"/>
  <c r="F84" i="5" s="1"/>
  <c r="L84" i="19"/>
  <c r="K84" i="19" s="1"/>
  <c r="L84" i="18"/>
  <c r="K84" i="18" s="1"/>
  <c r="L84" i="16"/>
  <c r="K84" i="16" s="1"/>
  <c r="L84" i="17"/>
  <c r="K84" i="17" s="1"/>
  <c r="L84" i="11"/>
  <c r="K84" i="11" s="1"/>
  <c r="I36" i="5"/>
  <c r="H36" i="5" s="1"/>
  <c r="I20" i="5"/>
  <c r="H20" i="5" s="1"/>
  <c r="L203" i="19"/>
  <c r="K203" i="19" s="1"/>
  <c r="L203" i="18"/>
  <c r="K203" i="18" s="1"/>
  <c r="J206" i="17"/>
  <c r="I206" i="17" s="1"/>
  <c r="J203" i="11"/>
  <c r="I203" i="11" s="1"/>
  <c r="L211" i="11"/>
  <c r="K211" i="11" s="1"/>
  <c r="L202" i="16"/>
  <c r="J209" i="17"/>
  <c r="I209" i="17" s="1"/>
  <c r="J207" i="17"/>
  <c r="I207" i="17" s="1"/>
  <c r="C175" i="4"/>
  <c r="K175" i="4"/>
  <c r="E175" i="4"/>
  <c r="L175" i="1"/>
  <c r="G175" i="4"/>
  <c r="J202" i="19"/>
  <c r="J207" i="18"/>
  <c r="I207" i="18" s="1"/>
  <c r="J202" i="18"/>
  <c r="J204" i="16"/>
  <c r="I204" i="16" s="1"/>
  <c r="L159" i="11"/>
  <c r="K159" i="11" s="1"/>
  <c r="L159" i="18"/>
  <c r="K159" i="18" s="1"/>
  <c r="L159" i="17"/>
  <c r="K159" i="17" s="1"/>
  <c r="G122" i="5"/>
  <c r="F122" i="5" s="1"/>
  <c r="L122" i="19"/>
  <c r="K122" i="19" s="1"/>
  <c r="J210" i="19"/>
  <c r="I210" i="19" s="1"/>
  <c r="J211" i="18"/>
  <c r="I211" i="18" s="1"/>
  <c r="J212" i="16"/>
  <c r="I212" i="16" s="1"/>
  <c r="J206" i="16"/>
  <c r="I206" i="16" s="1"/>
  <c r="G156" i="5"/>
  <c r="F156" i="5" s="1"/>
  <c r="L156" i="18"/>
  <c r="K156" i="18" s="1"/>
  <c r="L156" i="17"/>
  <c r="K156" i="17" s="1"/>
  <c r="L156" i="11"/>
  <c r="K156" i="11" s="1"/>
  <c r="H83" i="1"/>
  <c r="J203" i="19"/>
  <c r="I203" i="19" s="1"/>
  <c r="L205" i="17"/>
  <c r="K205" i="17" s="1"/>
  <c r="J209" i="16"/>
  <c r="I209" i="16" s="1"/>
  <c r="J207" i="16"/>
  <c r="I207" i="16" s="1"/>
  <c r="J204" i="11"/>
  <c r="I204" i="11" s="1"/>
  <c r="C174" i="4"/>
  <c r="E174" i="4"/>
  <c r="I174" i="4"/>
  <c r="K174" i="4"/>
  <c r="H155" i="1"/>
  <c r="L88" i="18"/>
  <c r="K88" i="18" s="1"/>
  <c r="L88" i="17"/>
  <c r="K88" i="17" s="1"/>
  <c r="L88" i="16"/>
  <c r="K88" i="16" s="1"/>
  <c r="L79" i="16"/>
  <c r="K79" i="16" s="1"/>
  <c r="L79" i="11"/>
  <c r="K79" i="11" s="1"/>
  <c r="J204" i="19"/>
  <c r="I204" i="19" s="1"/>
  <c r="L210" i="16"/>
  <c r="K210" i="16" s="1"/>
  <c r="L206" i="17"/>
  <c r="K206" i="17" s="1"/>
  <c r="J212" i="18"/>
  <c r="I212" i="18" s="1"/>
  <c r="J210" i="17"/>
  <c r="I210" i="17" s="1"/>
  <c r="J203" i="17"/>
  <c r="I203" i="17" s="1"/>
  <c r="J205" i="11"/>
  <c r="I205" i="11" s="1"/>
  <c r="E24" i="12"/>
  <c r="L160" i="16"/>
  <c r="K160" i="16" s="1"/>
  <c r="L160" i="11"/>
  <c r="K160" i="11" s="1"/>
  <c r="L151" i="11"/>
  <c r="K151" i="11" s="1"/>
  <c r="L151" i="18"/>
  <c r="K151" i="18" s="1"/>
  <c r="L151" i="17"/>
  <c r="K151" i="17" s="1"/>
  <c r="G119" i="5"/>
  <c r="L119" i="18"/>
  <c r="L119" i="17"/>
  <c r="G112" i="4"/>
  <c r="I112" i="4"/>
  <c r="K112" i="4"/>
  <c r="E112" i="4"/>
  <c r="G110" i="4"/>
  <c r="I110" i="4"/>
  <c r="K110" i="4"/>
  <c r="E110" i="4"/>
  <c r="H158" i="1"/>
  <c r="H150" i="1"/>
  <c r="H86" i="1"/>
  <c r="H78" i="1"/>
  <c r="C173" i="4"/>
  <c r="E173" i="4"/>
  <c r="G173" i="4"/>
  <c r="G111" i="4"/>
  <c r="I111" i="4"/>
  <c r="K111" i="4"/>
  <c r="E111" i="4"/>
  <c r="M76" i="4"/>
  <c r="O76" i="4" s="1"/>
  <c r="N76" i="4" s="1"/>
  <c r="G203" i="5"/>
  <c r="F203" i="5" s="1"/>
  <c r="H124" i="1"/>
  <c r="G66" i="4"/>
  <c r="G65" i="4"/>
  <c r="G64" i="4"/>
  <c r="G63" i="4"/>
  <c r="G62" i="4"/>
  <c r="G61" i="4"/>
  <c r="G60" i="4"/>
  <c r="G59"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E66" i="4"/>
  <c r="E65" i="4"/>
  <c r="E64" i="4"/>
  <c r="M64" i="4" s="1"/>
  <c r="O64" i="4" s="1"/>
  <c r="N64" i="4" s="1"/>
  <c r="E63" i="4"/>
  <c r="M63" i="4" s="1"/>
  <c r="O63" i="4" s="1"/>
  <c r="N63" i="4" s="1"/>
  <c r="E62" i="4"/>
  <c r="M62" i="4" s="1"/>
  <c r="O62" i="4" s="1"/>
  <c r="N62" i="4" s="1"/>
  <c r="E61" i="4"/>
  <c r="E60" i="4"/>
  <c r="E59" i="4"/>
  <c r="E47" i="4"/>
  <c r="E46" i="4"/>
  <c r="E45" i="4"/>
  <c r="M45" i="4" s="1"/>
  <c r="O45" i="4" s="1"/>
  <c r="N45" i="4" s="1"/>
  <c r="E44" i="4"/>
  <c r="M44" i="4" s="1"/>
  <c r="O44" i="4" s="1"/>
  <c r="N44" i="4" s="1"/>
  <c r="E43" i="4"/>
  <c r="M43" i="4" s="1"/>
  <c r="O43" i="4" s="1"/>
  <c r="N43" i="4" s="1"/>
  <c r="E42" i="4"/>
  <c r="E41" i="4"/>
  <c r="E40" i="4"/>
  <c r="E39" i="4"/>
  <c r="E38" i="4"/>
  <c r="E37" i="4"/>
  <c r="M37" i="4" s="1"/>
  <c r="O37" i="4" s="1"/>
  <c r="N37" i="4" s="1"/>
  <c r="E36" i="4"/>
  <c r="M36" i="4" s="1"/>
  <c r="O36" i="4" s="1"/>
  <c r="N36" i="4" s="1"/>
  <c r="E35" i="4"/>
  <c r="M35" i="4" s="1"/>
  <c r="O35" i="4" s="1"/>
  <c r="N35" i="4" s="1"/>
  <c r="E34" i="4"/>
  <c r="E33" i="4"/>
  <c r="E32" i="4"/>
  <c r="E31" i="4"/>
  <c r="M31" i="4" s="1"/>
  <c r="O31" i="4" s="1"/>
  <c r="N31" i="4" s="1"/>
  <c r="E30" i="4"/>
  <c r="E29" i="4"/>
  <c r="M29" i="4" s="1"/>
  <c r="O29" i="4" s="1"/>
  <c r="N29" i="4" s="1"/>
  <c r="E28" i="4"/>
  <c r="M28" i="4" s="1"/>
  <c r="O28" i="4" s="1"/>
  <c r="N28" i="4" s="1"/>
  <c r="E27" i="4"/>
  <c r="M27" i="4" s="1"/>
  <c r="O27" i="4" s="1"/>
  <c r="N27" i="4" s="1"/>
  <c r="E26" i="4"/>
  <c r="E25" i="4"/>
  <c r="E24" i="4"/>
  <c r="E23" i="4"/>
  <c r="E22" i="4"/>
  <c r="E21" i="4"/>
  <c r="M21" i="4" s="1"/>
  <c r="O21" i="4" s="1"/>
  <c r="N21" i="4" s="1"/>
  <c r="E20" i="4"/>
  <c r="M20" i="4" s="1"/>
  <c r="O20" i="4" s="1"/>
  <c r="N20" i="4" s="1"/>
  <c r="E19" i="4"/>
  <c r="M19" i="4" s="1"/>
  <c r="O19" i="4" s="1"/>
  <c r="N19" i="4" s="1"/>
  <c r="E18" i="4"/>
  <c r="E17" i="4"/>
  <c r="E16" i="4"/>
  <c r="E15" i="4"/>
  <c r="M15" i="4" s="1"/>
  <c r="O15" i="4" s="1"/>
  <c r="N15" i="4" s="1"/>
  <c r="E14" i="4"/>
  <c r="E13" i="4"/>
  <c r="E12" i="4"/>
  <c r="M12" i="4" s="1"/>
  <c r="O12" i="4" s="1"/>
  <c r="O24" i="17" l="1"/>
  <c r="N35" i="11"/>
  <c r="M35" i="11" s="1"/>
  <c r="N35" i="16"/>
  <c r="M35" i="16" s="1"/>
  <c r="I35" i="5"/>
  <c r="H35" i="5" s="1"/>
  <c r="P35" i="18"/>
  <c r="O35" i="18" s="1"/>
  <c r="K35" i="1"/>
  <c r="P35" i="11"/>
  <c r="O35" i="11" s="1"/>
  <c r="I205" i="5"/>
  <c r="H205" i="5" s="1"/>
  <c r="L152" i="19"/>
  <c r="K152" i="19" s="1"/>
  <c r="L156" i="19"/>
  <c r="K156" i="19" s="1"/>
  <c r="L156" i="16"/>
  <c r="K156" i="16" s="1"/>
  <c r="G156" i="1"/>
  <c r="P43" i="19"/>
  <c r="O43" i="19" s="1"/>
  <c r="N43" i="11"/>
  <c r="M43" i="11" s="1"/>
  <c r="N43" i="16"/>
  <c r="M43" i="16" s="1"/>
  <c r="P43" i="18"/>
  <c r="O43" i="18" s="1"/>
  <c r="P43" i="17"/>
  <c r="O43" i="17" s="1"/>
  <c r="K43" i="1"/>
  <c r="G151" i="5"/>
  <c r="F151" i="5" s="1"/>
  <c r="L151" i="19"/>
  <c r="K151" i="19" s="1"/>
  <c r="L151" i="16"/>
  <c r="K151" i="16" s="1"/>
  <c r="G151" i="1"/>
  <c r="P43" i="16"/>
  <c r="O43" i="16" s="1"/>
  <c r="M23" i="4"/>
  <c r="O23" i="4" s="1"/>
  <c r="N23" i="4" s="1"/>
  <c r="M39" i="4"/>
  <c r="O39" i="4" s="1"/>
  <c r="N39" i="4" s="1"/>
  <c r="M47" i="4"/>
  <c r="O47" i="4" s="1"/>
  <c r="N47" i="4" s="1"/>
  <c r="M66" i="4"/>
  <c r="O66" i="4" s="1"/>
  <c r="N66" i="4" s="1"/>
  <c r="I24" i="5"/>
  <c r="H24" i="5" s="1"/>
  <c r="L152" i="17"/>
  <c r="K152" i="17" s="1"/>
  <c r="G81" i="5"/>
  <c r="F81" i="5" s="1"/>
  <c r="L81" i="18"/>
  <c r="K81" i="18" s="1"/>
  <c r="L81" i="17"/>
  <c r="K81" i="17" s="1"/>
  <c r="L81" i="11"/>
  <c r="K81" i="11" s="1"/>
  <c r="L81" i="16"/>
  <c r="K81" i="16" s="1"/>
  <c r="L81" i="19"/>
  <c r="K81" i="19" s="1"/>
  <c r="G81" i="1"/>
  <c r="I59" i="5"/>
  <c r="H59" i="5" s="1"/>
  <c r="N59" i="17"/>
  <c r="N59" i="19"/>
  <c r="P59" i="19"/>
  <c r="O59" i="19" s="1"/>
  <c r="N59" i="18"/>
  <c r="M59" i="18" s="1"/>
  <c r="N59" i="16"/>
  <c r="P59" i="18"/>
  <c r="N59" i="11"/>
  <c r="P59" i="11"/>
  <c r="K59" i="1"/>
  <c r="P62" i="17"/>
  <c r="O62" i="17" s="1"/>
  <c r="P35" i="16"/>
  <c r="O35" i="16" s="1"/>
  <c r="L87" i="19"/>
  <c r="K87" i="19" s="1"/>
  <c r="G87" i="5"/>
  <c r="F87" i="5" s="1"/>
  <c r="L87" i="17"/>
  <c r="K87" i="17" s="1"/>
  <c r="G87" i="1"/>
  <c r="N205" i="18"/>
  <c r="M205" i="18" s="1"/>
  <c r="N24" i="11"/>
  <c r="M24" i="11" s="1"/>
  <c r="G152" i="5"/>
  <c r="F152" i="5" s="1"/>
  <c r="P43" i="11"/>
  <c r="O43" i="11" s="1"/>
  <c r="G82" i="5"/>
  <c r="F82" i="5" s="1"/>
  <c r="L82" i="16"/>
  <c r="K82" i="16" s="1"/>
  <c r="L82" i="18"/>
  <c r="K82" i="18" s="1"/>
  <c r="L82" i="19"/>
  <c r="K82" i="19" s="1"/>
  <c r="L82" i="11"/>
  <c r="K82" i="11" s="1"/>
  <c r="L82" i="17"/>
  <c r="K82" i="17" s="1"/>
  <c r="G82" i="1"/>
  <c r="P59" i="17"/>
  <c r="M13" i="4"/>
  <c r="O13" i="4" s="1"/>
  <c r="N13" i="4" s="1"/>
  <c r="M173" i="4"/>
  <c r="O173" i="4" s="1"/>
  <c r="N173" i="4" s="1"/>
  <c r="N24" i="19"/>
  <c r="M24" i="19" s="1"/>
  <c r="L152" i="11"/>
  <c r="K152" i="11" s="1"/>
  <c r="P35" i="19"/>
  <c r="O35" i="19" s="1"/>
  <c r="N225" i="11"/>
  <c r="M225" i="11" s="1"/>
  <c r="M224" i="11"/>
  <c r="I19" i="5"/>
  <c r="H19" i="5" s="1"/>
  <c r="N19" i="11"/>
  <c r="M19" i="11" s="1"/>
  <c r="K19" i="1"/>
  <c r="P19" i="16"/>
  <c r="O19" i="16" s="1"/>
  <c r="N225" i="19"/>
  <c r="M225" i="19" s="1"/>
  <c r="M224" i="19"/>
  <c r="M227" i="19"/>
  <c r="I173" i="5"/>
  <c r="H173" i="5" s="1"/>
  <c r="N173" i="11"/>
  <c r="M173" i="11" s="1"/>
  <c r="P173" i="16"/>
  <c r="O173" i="16" s="1"/>
  <c r="N173" i="16"/>
  <c r="M173" i="16" s="1"/>
  <c r="P173" i="18"/>
  <c r="O173" i="18" s="1"/>
  <c r="P173" i="17"/>
  <c r="O173" i="17" s="1"/>
  <c r="P173" i="11"/>
  <c r="O173" i="11" s="1"/>
  <c r="K173" i="1"/>
  <c r="M18" i="4"/>
  <c r="O18" i="4" s="1"/>
  <c r="N18" i="4" s="1"/>
  <c r="M26" i="4"/>
  <c r="O26" i="4" s="1"/>
  <c r="N26" i="4" s="1"/>
  <c r="M34" i="4"/>
  <c r="O34" i="4" s="1"/>
  <c r="N34" i="4" s="1"/>
  <c r="M42" i="4"/>
  <c r="O42" i="4" s="1"/>
  <c r="N42" i="4" s="1"/>
  <c r="M61" i="4"/>
  <c r="O61" i="4" s="1"/>
  <c r="N61" i="4" s="1"/>
  <c r="M111" i="4"/>
  <c r="O111" i="4" s="1"/>
  <c r="N111" i="4" s="1"/>
  <c r="M112" i="4"/>
  <c r="O112" i="4" s="1"/>
  <c r="N112" i="4" s="1"/>
  <c r="N35" i="17"/>
  <c r="M35" i="17" s="1"/>
  <c r="N24" i="17"/>
  <c r="M24" i="17" s="1"/>
  <c r="P32" i="19"/>
  <c r="O32" i="19" s="1"/>
  <c r="I32" i="5"/>
  <c r="H32" i="5" s="1"/>
  <c r="N32" i="18"/>
  <c r="M32" i="18" s="1"/>
  <c r="N32" i="19"/>
  <c r="M32" i="19" s="1"/>
  <c r="N32" i="17"/>
  <c r="M32" i="17" s="1"/>
  <c r="N32" i="16"/>
  <c r="M32" i="16" s="1"/>
  <c r="P32" i="16"/>
  <c r="O32" i="16" s="1"/>
  <c r="K32" i="1"/>
  <c r="N32" i="11"/>
  <c r="M32" i="11" s="1"/>
  <c r="P32" i="11"/>
  <c r="O32" i="11" s="1"/>
  <c r="N27" i="18"/>
  <c r="M27" i="18" s="1"/>
  <c r="N27" i="17"/>
  <c r="M27" i="17" s="1"/>
  <c r="N27" i="19"/>
  <c r="M27" i="19" s="1"/>
  <c r="I27" i="5"/>
  <c r="H27" i="5" s="1"/>
  <c r="N27" i="11"/>
  <c r="M27" i="11" s="1"/>
  <c r="P27" i="19"/>
  <c r="O27" i="19" s="1"/>
  <c r="N27" i="16"/>
  <c r="M27" i="16" s="1"/>
  <c r="K27" i="1"/>
  <c r="N62" i="18"/>
  <c r="M62" i="18" s="1"/>
  <c r="N62" i="17"/>
  <c r="M62" i="17" s="1"/>
  <c r="N62" i="19"/>
  <c r="M62" i="19" s="1"/>
  <c r="I62" i="5"/>
  <c r="H62" i="5" s="1"/>
  <c r="N62" i="11"/>
  <c r="M62" i="11" s="1"/>
  <c r="N62" i="16"/>
  <c r="M62" i="16" s="1"/>
  <c r="P62" i="18"/>
  <c r="O62" i="18" s="1"/>
  <c r="K62" i="1"/>
  <c r="N24" i="16"/>
  <c r="M24" i="16" s="1"/>
  <c r="N24" i="18"/>
  <c r="M24" i="18" s="1"/>
  <c r="P24" i="16"/>
  <c r="O24" i="16" s="1"/>
  <c r="K24" i="1"/>
  <c r="P24" i="11"/>
  <c r="O24" i="11" s="1"/>
  <c r="M24" i="12"/>
  <c r="L24" i="12" s="1"/>
  <c r="L22" i="12"/>
  <c r="N12" i="4"/>
  <c r="P205" i="19"/>
  <c r="O205" i="19" s="1"/>
  <c r="O102" i="19"/>
  <c r="O60" i="19"/>
  <c r="P203" i="19"/>
  <c r="O203" i="19" s="1"/>
  <c r="K121" i="19"/>
  <c r="G150" i="5"/>
  <c r="L150" i="19"/>
  <c r="J150" i="11"/>
  <c r="L150" i="11"/>
  <c r="L150" i="17"/>
  <c r="L150" i="18"/>
  <c r="L150" i="16"/>
  <c r="G150" i="1"/>
  <c r="G155" i="5"/>
  <c r="F155" i="5" s="1"/>
  <c r="L155" i="18"/>
  <c r="K155" i="18" s="1"/>
  <c r="L155" i="17"/>
  <c r="K155" i="17" s="1"/>
  <c r="L155" i="11"/>
  <c r="K155" i="11" s="1"/>
  <c r="L155" i="19"/>
  <c r="K155" i="19" s="1"/>
  <c r="L155" i="16"/>
  <c r="K155" i="16" s="1"/>
  <c r="G155" i="1"/>
  <c r="G83" i="5"/>
  <c r="F83" i="5" s="1"/>
  <c r="L83" i="16"/>
  <c r="K83" i="16" s="1"/>
  <c r="L83" i="17"/>
  <c r="K83" i="17" s="1"/>
  <c r="L83" i="18"/>
  <c r="K83" i="18" s="1"/>
  <c r="L83" i="11"/>
  <c r="K83" i="11" s="1"/>
  <c r="L83" i="19"/>
  <c r="K83" i="19" s="1"/>
  <c r="G83" i="1"/>
  <c r="L126" i="18"/>
  <c r="K126" i="18" s="1"/>
  <c r="L126" i="17"/>
  <c r="K126" i="17" s="1"/>
  <c r="L126" i="16"/>
  <c r="K126" i="16" s="1"/>
  <c r="G126" i="5"/>
  <c r="F126" i="5" s="1"/>
  <c r="L126" i="19"/>
  <c r="K126" i="19" s="1"/>
  <c r="L126" i="11"/>
  <c r="K126" i="11" s="1"/>
  <c r="G126" i="1"/>
  <c r="N206" i="18"/>
  <c r="M206" i="18" s="1"/>
  <c r="O13" i="18"/>
  <c r="P202" i="18"/>
  <c r="N202" i="16"/>
  <c r="L85" i="11"/>
  <c r="K85" i="11" s="1"/>
  <c r="G85" i="5"/>
  <c r="F85" i="5" s="1"/>
  <c r="L85" i="18"/>
  <c r="K85" i="18" s="1"/>
  <c r="L85" i="17"/>
  <c r="K85" i="17" s="1"/>
  <c r="L85" i="16"/>
  <c r="K85" i="16" s="1"/>
  <c r="L85" i="19"/>
  <c r="K85" i="19" s="1"/>
  <c r="G85" i="1"/>
  <c r="K138" i="18"/>
  <c r="K76" i="11"/>
  <c r="G78" i="5"/>
  <c r="F78" i="5" s="1"/>
  <c r="L78" i="16"/>
  <c r="K78" i="16" s="1"/>
  <c r="L78" i="11"/>
  <c r="K78" i="11" s="1"/>
  <c r="L78" i="17"/>
  <c r="K78" i="17" s="1"/>
  <c r="L78" i="19"/>
  <c r="K78" i="19" s="1"/>
  <c r="L78" i="18"/>
  <c r="K78" i="18" s="1"/>
  <c r="G78" i="1"/>
  <c r="K119" i="17"/>
  <c r="M174" i="4"/>
  <c r="O174" i="4" s="1"/>
  <c r="N174" i="4" s="1"/>
  <c r="N175" i="17"/>
  <c r="M175" i="17" s="1"/>
  <c r="N175" i="19"/>
  <c r="M175" i="19" s="1"/>
  <c r="P175" i="19"/>
  <c r="N175" i="18"/>
  <c r="M175" i="18" s="1"/>
  <c r="P175" i="18"/>
  <c r="N175" i="11"/>
  <c r="P175" i="17"/>
  <c r="I175" i="5"/>
  <c r="N175" i="16"/>
  <c r="P175" i="16"/>
  <c r="K175" i="1"/>
  <c r="M176" i="4"/>
  <c r="O176" i="4" s="1"/>
  <c r="N176" i="4" s="1"/>
  <c r="K202" i="11"/>
  <c r="J214" i="17"/>
  <c r="O13" i="19"/>
  <c r="P202" i="19"/>
  <c r="F138" i="5"/>
  <c r="K76" i="19"/>
  <c r="L77" i="11"/>
  <c r="K77" i="11" s="1"/>
  <c r="G77" i="5"/>
  <c r="F77" i="5" s="1"/>
  <c r="L77" i="18"/>
  <c r="K77" i="18" s="1"/>
  <c r="L77" i="17"/>
  <c r="K77" i="17" s="1"/>
  <c r="L77" i="16"/>
  <c r="K77" i="16" s="1"/>
  <c r="L77" i="19"/>
  <c r="K77" i="19" s="1"/>
  <c r="G77" i="1"/>
  <c r="K202" i="16"/>
  <c r="K138" i="17"/>
  <c r="K119" i="18"/>
  <c r="J214" i="18"/>
  <c r="I202" i="18"/>
  <c r="I203" i="5"/>
  <c r="H203" i="5" s="1"/>
  <c r="M13" i="19"/>
  <c r="K121" i="16"/>
  <c r="G157" i="5"/>
  <c r="F157" i="5" s="1"/>
  <c r="L157" i="16"/>
  <c r="K157" i="16" s="1"/>
  <c r="L157" i="19"/>
  <c r="K157" i="19" s="1"/>
  <c r="L157" i="18"/>
  <c r="K157" i="18" s="1"/>
  <c r="L157" i="11"/>
  <c r="K157" i="11" s="1"/>
  <c r="L157" i="17"/>
  <c r="K157" i="17" s="1"/>
  <c r="G157" i="1"/>
  <c r="M14" i="4"/>
  <c r="O14" i="4" s="1"/>
  <c r="N14" i="4" s="1"/>
  <c r="M38" i="4"/>
  <c r="O38" i="4" s="1"/>
  <c r="N38" i="4" s="1"/>
  <c r="G124" i="5"/>
  <c r="F124" i="5" s="1"/>
  <c r="L124" i="16"/>
  <c r="K124" i="16" s="1"/>
  <c r="L124" i="11"/>
  <c r="K124" i="11" s="1"/>
  <c r="L124" i="17"/>
  <c r="K124" i="17" s="1"/>
  <c r="L124" i="18"/>
  <c r="K124" i="18" s="1"/>
  <c r="L124" i="19"/>
  <c r="K124" i="19" s="1"/>
  <c r="G124" i="1"/>
  <c r="G158" i="5"/>
  <c r="F158" i="5" s="1"/>
  <c r="L158" i="17"/>
  <c r="K158" i="17" s="1"/>
  <c r="L158" i="19"/>
  <c r="K158" i="19" s="1"/>
  <c r="L158" i="16"/>
  <c r="K158" i="16" s="1"/>
  <c r="L158" i="11"/>
  <c r="K158" i="11" s="1"/>
  <c r="L158" i="18"/>
  <c r="K158" i="18" s="1"/>
  <c r="G158" i="1"/>
  <c r="P205" i="17"/>
  <c r="O205" i="17" s="1"/>
  <c r="J214" i="19"/>
  <c r="I202" i="19"/>
  <c r="M175" i="4"/>
  <c r="O175" i="4" s="1"/>
  <c r="N175" i="4" s="1"/>
  <c r="N225" i="18"/>
  <c r="M225" i="18" s="1"/>
  <c r="M224" i="18"/>
  <c r="N203" i="18"/>
  <c r="M203" i="18" s="1"/>
  <c r="N206" i="19"/>
  <c r="M206" i="19" s="1"/>
  <c r="M111" i="19"/>
  <c r="M13" i="18"/>
  <c r="N202" i="18"/>
  <c r="O60" i="16"/>
  <c r="P203" i="16"/>
  <c r="O203" i="16" s="1"/>
  <c r="O102" i="16"/>
  <c r="P205" i="16"/>
  <c r="O205" i="16" s="1"/>
  <c r="K138" i="16"/>
  <c r="P175" i="11"/>
  <c r="K202" i="18"/>
  <c r="G139" i="5"/>
  <c r="F139" i="5" s="1"/>
  <c r="L139" i="16"/>
  <c r="K139" i="16" s="1"/>
  <c r="L139" i="19"/>
  <c r="K139" i="19" s="1"/>
  <c r="L139" i="17"/>
  <c r="K139" i="17" s="1"/>
  <c r="L139" i="18"/>
  <c r="K139" i="18" s="1"/>
  <c r="L139" i="11"/>
  <c r="K139" i="11" s="1"/>
  <c r="G139" i="1"/>
  <c r="O102" i="18"/>
  <c r="P205" i="18"/>
  <c r="O205" i="18" s="1"/>
  <c r="J214" i="16"/>
  <c r="I202" i="16"/>
  <c r="F76" i="5"/>
  <c r="M30" i="4"/>
  <c r="O30" i="4" s="1"/>
  <c r="N30" i="4" s="1"/>
  <c r="M65" i="4"/>
  <c r="O65" i="4" s="1"/>
  <c r="N65" i="4" s="1"/>
  <c r="N202" i="17"/>
  <c r="M16" i="4"/>
  <c r="O16" i="4" s="1"/>
  <c r="N16" i="4" s="1"/>
  <c r="M24" i="4"/>
  <c r="O24" i="4" s="1"/>
  <c r="N24" i="4" s="1"/>
  <c r="M32" i="4"/>
  <c r="O32" i="4" s="1"/>
  <c r="N32" i="4" s="1"/>
  <c r="M40" i="4"/>
  <c r="O40" i="4" s="1"/>
  <c r="N40" i="4" s="1"/>
  <c r="M59" i="4"/>
  <c r="O59" i="4" s="1"/>
  <c r="N59" i="4" s="1"/>
  <c r="K202" i="19"/>
  <c r="M173" i="19"/>
  <c r="I202" i="5"/>
  <c r="H13" i="5"/>
  <c r="L208" i="19"/>
  <c r="K208" i="19" s="1"/>
  <c r="K138" i="19"/>
  <c r="K76" i="17"/>
  <c r="N210" i="18"/>
  <c r="M210" i="18" s="1"/>
  <c r="M173" i="18"/>
  <c r="K76" i="18"/>
  <c r="D24" i="12"/>
  <c r="I202" i="11"/>
  <c r="M22" i="4"/>
  <c r="O22" i="4" s="1"/>
  <c r="N22" i="4" s="1"/>
  <c r="M46" i="4"/>
  <c r="O46" i="4" s="1"/>
  <c r="N46" i="4" s="1"/>
  <c r="G86" i="5"/>
  <c r="F86" i="5" s="1"/>
  <c r="L86" i="16"/>
  <c r="K86" i="16" s="1"/>
  <c r="L86" i="11"/>
  <c r="K86" i="11" s="1"/>
  <c r="L86" i="18"/>
  <c r="K86" i="18" s="1"/>
  <c r="L86" i="17"/>
  <c r="K86" i="17" s="1"/>
  <c r="L86" i="19"/>
  <c r="K86" i="19" s="1"/>
  <c r="G86" i="1"/>
  <c r="G207" i="5"/>
  <c r="F207" i="5" s="1"/>
  <c r="F119" i="5"/>
  <c r="K202" i="17"/>
  <c r="M17" i="4"/>
  <c r="O17" i="4" s="1"/>
  <c r="N17" i="4" s="1"/>
  <c r="M25" i="4"/>
  <c r="O25" i="4" s="1"/>
  <c r="N25" i="4" s="1"/>
  <c r="M33" i="4"/>
  <c r="O33" i="4" s="1"/>
  <c r="N33" i="4" s="1"/>
  <c r="M41" i="4"/>
  <c r="O41" i="4" s="1"/>
  <c r="N41" i="4" s="1"/>
  <c r="M60" i="4"/>
  <c r="O60" i="4" s="1"/>
  <c r="N60" i="4" s="1"/>
  <c r="M110" i="4"/>
  <c r="O110" i="4" s="1"/>
  <c r="N110" i="4" s="1"/>
  <c r="H24" i="12"/>
  <c r="L207" i="11"/>
  <c r="K207" i="11" s="1"/>
  <c r="N210" i="17"/>
  <c r="M210" i="17" s="1"/>
  <c r="M173" i="17"/>
  <c r="F202" i="5"/>
  <c r="I206" i="5"/>
  <c r="H206" i="5" s="1"/>
  <c r="M111" i="17"/>
  <c r="N206" i="17"/>
  <c r="M206" i="17" s="1"/>
  <c r="K138" i="11"/>
  <c r="K76" i="16"/>
  <c r="P206" i="19"/>
  <c r="O206" i="19" s="1"/>
  <c r="M59" i="17" l="1"/>
  <c r="N203" i="17"/>
  <c r="M203" i="17" s="1"/>
  <c r="P202" i="16"/>
  <c r="O59" i="11"/>
  <c r="P203" i="11"/>
  <c r="O203" i="11" s="1"/>
  <c r="N202" i="11"/>
  <c r="P202" i="11"/>
  <c r="O202" i="11" s="1"/>
  <c r="M59" i="11"/>
  <c r="N203" i="11"/>
  <c r="M203" i="11" s="1"/>
  <c r="L207" i="18"/>
  <c r="K207" i="18" s="1"/>
  <c r="O59" i="18"/>
  <c r="P203" i="18"/>
  <c r="O203" i="18" s="1"/>
  <c r="L207" i="16"/>
  <c r="K207" i="16" s="1"/>
  <c r="M59" i="16"/>
  <c r="N203" i="16"/>
  <c r="M203" i="16" s="1"/>
  <c r="N202" i="19"/>
  <c r="M202" i="19" s="1"/>
  <c r="O59" i="17"/>
  <c r="P203" i="17"/>
  <c r="O203" i="17" s="1"/>
  <c r="P202" i="17"/>
  <c r="O202" i="17" s="1"/>
  <c r="L204" i="16"/>
  <c r="K204" i="16" s="1"/>
  <c r="N203" i="19"/>
  <c r="M203" i="19" s="1"/>
  <c r="M59" i="19"/>
  <c r="G208" i="5"/>
  <c r="F208" i="5" s="1"/>
  <c r="O175" i="16"/>
  <c r="P210" i="16"/>
  <c r="O210" i="16" s="1"/>
  <c r="L204" i="11"/>
  <c r="L209" i="11"/>
  <c r="K209" i="11" s="1"/>
  <c r="K150" i="11"/>
  <c r="L204" i="17"/>
  <c r="N214" i="17"/>
  <c r="M202" i="17"/>
  <c r="O202" i="19"/>
  <c r="M175" i="16"/>
  <c r="N210" i="16"/>
  <c r="M210" i="16" s="1"/>
  <c r="J209" i="11"/>
  <c r="I150" i="11"/>
  <c r="L208" i="17"/>
  <c r="K208" i="17" s="1"/>
  <c r="H175" i="5"/>
  <c r="I210" i="5"/>
  <c r="H210" i="5" s="1"/>
  <c r="L208" i="18"/>
  <c r="K208" i="18" s="1"/>
  <c r="M202" i="16"/>
  <c r="K150" i="19"/>
  <c r="L209" i="19"/>
  <c r="K209" i="19" s="1"/>
  <c r="C15" i="12"/>
  <c r="B15" i="12" s="1"/>
  <c r="O202" i="16"/>
  <c r="P214" i="16"/>
  <c r="N210" i="11"/>
  <c r="M210" i="11" s="1"/>
  <c r="M175" i="11"/>
  <c r="L207" i="17"/>
  <c r="K207" i="17" s="1"/>
  <c r="G204" i="5"/>
  <c r="N214" i="18"/>
  <c r="M202" i="18"/>
  <c r="L221" i="17"/>
  <c r="I214" i="17"/>
  <c r="O175" i="17"/>
  <c r="P210" i="17"/>
  <c r="O210" i="17" s="1"/>
  <c r="O202" i="18"/>
  <c r="O175" i="18"/>
  <c r="P210" i="18"/>
  <c r="O210" i="18" s="1"/>
  <c r="L209" i="16"/>
  <c r="K209" i="16" s="1"/>
  <c r="K150" i="16"/>
  <c r="L207" i="19"/>
  <c r="K207" i="19" s="1"/>
  <c r="H202" i="5"/>
  <c r="L208" i="16"/>
  <c r="L221" i="19"/>
  <c r="K221" i="19" s="1"/>
  <c r="I214" i="19"/>
  <c r="L221" i="18"/>
  <c r="I214" i="18"/>
  <c r="L204" i="19"/>
  <c r="M202" i="11"/>
  <c r="L209" i="18"/>
  <c r="K209" i="18" s="1"/>
  <c r="K150" i="18"/>
  <c r="L204" i="18"/>
  <c r="O175" i="11"/>
  <c r="P210" i="11"/>
  <c r="G209" i="5"/>
  <c r="F209" i="5" s="1"/>
  <c r="F150" i="5"/>
  <c r="L208" i="11"/>
  <c r="K208" i="11" s="1"/>
  <c r="P214" i="17"/>
  <c r="N210" i="19"/>
  <c r="M210" i="19" s="1"/>
  <c r="L221" i="16"/>
  <c r="I214" i="16"/>
  <c r="O175" i="19"/>
  <c r="P210" i="19"/>
  <c r="O210" i="19" s="1"/>
  <c r="L209" i="17"/>
  <c r="K209" i="17" s="1"/>
  <c r="K150" i="17"/>
  <c r="P214" i="18" l="1"/>
  <c r="N222" i="18"/>
  <c r="M214" i="18"/>
  <c r="N223" i="17"/>
  <c r="M223" i="17" s="1"/>
  <c r="O214" i="17"/>
  <c r="K208" i="16"/>
  <c r="L214" i="16"/>
  <c r="F204" i="5"/>
  <c r="G214" i="5"/>
  <c r="N214" i="19"/>
  <c r="N222" i="17"/>
  <c r="M214" i="17"/>
  <c r="N214" i="11"/>
  <c r="N223" i="18"/>
  <c r="M223" i="18" s="1"/>
  <c r="O214" i="18"/>
  <c r="K204" i="17"/>
  <c r="L214" i="17"/>
  <c r="I214" i="5"/>
  <c r="N214" i="16"/>
  <c r="I209" i="11"/>
  <c r="J214" i="11"/>
  <c r="K204" i="19"/>
  <c r="L214" i="19"/>
  <c r="O210" i="11"/>
  <c r="P214" i="11"/>
  <c r="N223" i="16"/>
  <c r="M223" i="16" s="1"/>
  <c r="O214" i="16"/>
  <c r="K204" i="11"/>
  <c r="L214" i="11"/>
  <c r="K221" i="18"/>
  <c r="I28" i="12"/>
  <c r="H28" i="12" s="1"/>
  <c r="G28" i="12"/>
  <c r="F28" i="12" s="1"/>
  <c r="K221" i="17"/>
  <c r="P214" i="19"/>
  <c r="E28" i="12"/>
  <c r="D28" i="12" s="1"/>
  <c r="K221" i="16"/>
  <c r="K204" i="18"/>
  <c r="L214" i="18"/>
  <c r="N220" i="11" l="1"/>
  <c r="M220" i="11" s="1"/>
  <c r="H214" i="5"/>
  <c r="M214" i="19"/>
  <c r="N222" i="19"/>
  <c r="M222" i="19" s="1"/>
  <c r="N220" i="19"/>
  <c r="M220" i="19" s="1"/>
  <c r="M222" i="18"/>
  <c r="N223" i="11"/>
  <c r="M223" i="11" s="1"/>
  <c r="O214" i="11"/>
  <c r="G36" i="12"/>
  <c r="L222" i="17"/>
  <c r="K214" i="17"/>
  <c r="C9" i="12"/>
  <c r="C35" i="12"/>
  <c r="L220" i="11"/>
  <c r="F214" i="5"/>
  <c r="K214" i="19"/>
  <c r="L222" i="19"/>
  <c r="K222" i="19" s="1"/>
  <c r="E36" i="12"/>
  <c r="L222" i="16"/>
  <c r="K214" i="16"/>
  <c r="O214" i="19"/>
  <c r="N223" i="19"/>
  <c r="M223" i="19" s="1"/>
  <c r="I36" i="12"/>
  <c r="H36" i="12" s="1"/>
  <c r="L222" i="18"/>
  <c r="C10" i="12"/>
  <c r="B10" i="12" s="1"/>
  <c r="K214" i="18"/>
  <c r="C36" i="12"/>
  <c r="L222" i="11"/>
  <c r="K214" i="11"/>
  <c r="L221" i="11"/>
  <c r="I214" i="11"/>
  <c r="M214" i="11"/>
  <c r="N222" i="11"/>
  <c r="M214" i="16"/>
  <c r="N222" i="16"/>
  <c r="N220" i="18"/>
  <c r="M220" i="18" s="1"/>
  <c r="M222" i="17"/>
  <c r="N220" i="16" l="1"/>
  <c r="M220" i="16" s="1"/>
  <c r="M222" i="11"/>
  <c r="F36" i="12"/>
  <c r="I35" i="12"/>
  <c r="L220" i="19"/>
  <c r="K220" i="19" s="1"/>
  <c r="K222" i="18"/>
  <c r="C28" i="12"/>
  <c r="K221" i="11"/>
  <c r="M227" i="11"/>
  <c r="K220" i="11"/>
  <c r="B35" i="12"/>
  <c r="L220" i="16"/>
  <c r="K222" i="11"/>
  <c r="B9" i="12"/>
  <c r="C12" i="12"/>
  <c r="C30" i="12"/>
  <c r="G30" i="12"/>
  <c r="I30" i="12"/>
  <c r="E30" i="12"/>
  <c r="M222" i="16"/>
  <c r="N220" i="17"/>
  <c r="M220" i="17" s="1"/>
  <c r="E35" i="12"/>
  <c r="B36" i="12"/>
  <c r="L220" i="17"/>
  <c r="K222" i="16"/>
  <c r="G35" i="12"/>
  <c r="D36" i="12"/>
  <c r="L220" i="18"/>
  <c r="K222" i="17"/>
  <c r="C31" i="12" l="1"/>
  <c r="B30" i="12"/>
  <c r="I29" i="12"/>
  <c r="H29" i="12" s="1"/>
  <c r="B12" i="12"/>
  <c r="C29" i="12"/>
  <c r="E29" i="12"/>
  <c r="D29" i="12" s="1"/>
  <c r="G29" i="12"/>
  <c r="F29" i="12" s="1"/>
  <c r="M28" i="12"/>
  <c r="B28" i="12"/>
  <c r="K220" i="18"/>
  <c r="M227" i="18"/>
  <c r="D41" i="12"/>
  <c r="D42" i="12" s="1"/>
  <c r="D35" i="12"/>
  <c r="D30" i="12"/>
  <c r="M30" i="12" s="1"/>
  <c r="L30" i="12" s="1"/>
  <c r="E31" i="12"/>
  <c r="D31" i="12" s="1"/>
  <c r="K220" i="16"/>
  <c r="M227" i="16"/>
  <c r="F41" i="12"/>
  <c r="F42" i="12" s="1"/>
  <c r="F35" i="12"/>
  <c r="H30" i="12"/>
  <c r="I31" i="12"/>
  <c r="H31" i="12" s="1"/>
  <c r="B41" i="12"/>
  <c r="B42" i="12" s="1"/>
  <c r="H35" i="12"/>
  <c r="H41" i="12"/>
  <c r="H42" i="12" s="1"/>
  <c r="K220" i="17"/>
  <c r="M227" i="17"/>
  <c r="F30" i="12"/>
  <c r="G31" i="12"/>
  <c r="F31" i="12" s="1"/>
  <c r="C13" i="12" l="1"/>
  <c r="B13" i="12" s="1"/>
  <c r="L28" i="12"/>
  <c r="L41" i="12"/>
  <c r="M31" i="12"/>
  <c r="B31" i="12"/>
  <c r="M29" i="12"/>
  <c r="L29" i="12" s="1"/>
  <c r="B29" i="12"/>
  <c r="C14" i="12" l="1"/>
  <c r="L31" i="12"/>
  <c r="B11" i="12"/>
  <c r="L42" i="12"/>
  <c r="A14" i="12" l="1"/>
  <c r="B14" i="12"/>
</calcChain>
</file>

<file path=xl/sharedStrings.xml><?xml version="1.0" encoding="utf-8"?>
<sst xmlns="http://schemas.openxmlformats.org/spreadsheetml/2006/main" count="1191" uniqueCount="299">
  <si>
    <t>Cost</t>
  </si>
  <si>
    <t>Retail</t>
  </si>
  <si>
    <t>Bottle</t>
  </si>
  <si>
    <t>Bottles</t>
  </si>
  <si>
    <t>Teachers</t>
  </si>
  <si>
    <t>70cl</t>
  </si>
  <si>
    <t>Bells</t>
  </si>
  <si>
    <t>1.5Ltr</t>
  </si>
  <si>
    <t>Glenfiddich</t>
  </si>
  <si>
    <t>Glenmorangie</t>
  </si>
  <si>
    <t>Jack Daniels</t>
  </si>
  <si>
    <t>Jim Beam</t>
  </si>
  <si>
    <t>Jameson's Irish</t>
  </si>
  <si>
    <t>Southern Comfort</t>
  </si>
  <si>
    <t>Gordons' Gin</t>
  </si>
  <si>
    <t>Bombay Sapphire</t>
  </si>
  <si>
    <t>Smirnoff Red</t>
  </si>
  <si>
    <t>Absolut</t>
  </si>
  <si>
    <t>Captain Morgan</t>
  </si>
  <si>
    <t>Bacardi</t>
  </si>
  <si>
    <t>Martell ***</t>
  </si>
  <si>
    <t>Remy Martin</t>
  </si>
  <si>
    <t>Baileys</t>
  </si>
  <si>
    <t>Cointreau</t>
  </si>
  <si>
    <t>Drambuie</t>
  </si>
  <si>
    <t>Malibu</t>
  </si>
  <si>
    <t>Archers</t>
  </si>
  <si>
    <t>Tequila</t>
  </si>
  <si>
    <t>Luxardo Sambuca</t>
  </si>
  <si>
    <t>Tia Maria</t>
  </si>
  <si>
    <t>Cost Value</t>
  </si>
  <si>
    <t>Retail Value</t>
  </si>
  <si>
    <t>Cinzano Bianco</t>
  </si>
  <si>
    <t>75cl</t>
  </si>
  <si>
    <t>Martini Dry</t>
  </si>
  <si>
    <t>Martini Rosso</t>
  </si>
  <si>
    <t>Campari</t>
  </si>
  <si>
    <t>Cockburns Ruby</t>
  </si>
  <si>
    <t>Bristol Cream</t>
  </si>
  <si>
    <t>Club Classic</t>
  </si>
  <si>
    <t>Harveys Dune</t>
  </si>
  <si>
    <t>35º South Red</t>
  </si>
  <si>
    <t>Lindemans' Chardonnay</t>
  </si>
  <si>
    <t>Arniston Bay</t>
  </si>
  <si>
    <t>Côtes du Rhône</t>
  </si>
  <si>
    <t>Jacobs Creek</t>
  </si>
  <si>
    <t>Louis Raymond</t>
  </si>
  <si>
    <t>Castletorre</t>
  </si>
  <si>
    <t>Muscadet</t>
  </si>
  <si>
    <t>Piesporter</t>
  </si>
  <si>
    <t>Pinot Grigio</t>
  </si>
  <si>
    <t>Faustino Crianza</t>
  </si>
  <si>
    <t>35º South White</t>
  </si>
  <si>
    <t>Labatt Ice</t>
  </si>
  <si>
    <t>330ml</t>
  </si>
  <si>
    <t>Stella Artois</t>
  </si>
  <si>
    <t>Budweiser</t>
  </si>
  <si>
    <t>Becks</t>
  </si>
  <si>
    <t>275ml</t>
  </si>
  <si>
    <t>Old Speckled Hen</t>
  </si>
  <si>
    <t>500ml</t>
  </si>
  <si>
    <t>Bacardi Breezer</t>
  </si>
  <si>
    <t>WKD Blue/Iron Brew</t>
  </si>
  <si>
    <t>Smirnoff Ice/Black Ice</t>
  </si>
  <si>
    <t>Strongbow</t>
  </si>
  <si>
    <t>Woodpecker</t>
  </si>
  <si>
    <t>Minerals</t>
  </si>
  <si>
    <t>Each</t>
  </si>
  <si>
    <t>Britvic J20</t>
  </si>
  <si>
    <t>Coke/Diet Coke</t>
  </si>
  <si>
    <t>Fruit Juices</t>
  </si>
  <si>
    <t>180ml</t>
  </si>
  <si>
    <t>113ml</t>
  </si>
  <si>
    <t>Tango Diet</t>
  </si>
  <si>
    <t>Strathmore</t>
  </si>
  <si>
    <t>Red Bull</t>
  </si>
  <si>
    <t>250ml</t>
  </si>
  <si>
    <t>Post-Mix Pepsi/Diet</t>
  </si>
  <si>
    <t>Post-Mix Lemonade</t>
  </si>
  <si>
    <t>Post-Mix Tango</t>
  </si>
  <si>
    <t>Squash/Cordial</t>
  </si>
  <si>
    <t>Lime Cordial</t>
  </si>
  <si>
    <t>Cases</t>
  </si>
  <si>
    <t>Bottles - Small</t>
  </si>
  <si>
    <t>Suregas B</t>
  </si>
  <si>
    <t>Suremix 30/50</t>
  </si>
  <si>
    <t>Per Bottle</t>
  </si>
  <si>
    <t>Per Shot</t>
  </si>
  <si>
    <t>1.5ltr</t>
  </si>
  <si>
    <t>Units Of Measure</t>
  </si>
  <si>
    <t>Bottle Size</t>
  </si>
  <si>
    <t>22 Gallon Keg</t>
  </si>
  <si>
    <t>10 Gallon Keg</t>
  </si>
  <si>
    <t>4 Gallon Keg</t>
  </si>
  <si>
    <t>22 Gallon</t>
  </si>
  <si>
    <t>10 Gallon</t>
  </si>
  <si>
    <t>Keg</t>
  </si>
  <si>
    <t>7.1 Gallon</t>
  </si>
  <si>
    <t>Per Keg</t>
  </si>
  <si>
    <t>Bottle/Can</t>
  </si>
  <si>
    <t>1Ltr</t>
  </si>
  <si>
    <t>Cellar</t>
  </si>
  <si>
    <t>Front</t>
  </si>
  <si>
    <t>Full</t>
  </si>
  <si>
    <t>Boddingtons</t>
  </si>
  <si>
    <t>Murphy's</t>
  </si>
  <si>
    <t>Hoegaarden</t>
  </si>
  <si>
    <t>Cartons</t>
  </si>
  <si>
    <t>Opened</t>
  </si>
  <si>
    <t>Per Case</t>
  </si>
  <si>
    <t>Per Carton</t>
  </si>
  <si>
    <t>Per Portion</t>
  </si>
  <si>
    <t>Sprite</t>
  </si>
  <si>
    <t>Per Pint</t>
  </si>
  <si>
    <t>Coke/Diet Coke (Cans)</t>
  </si>
  <si>
    <t>750ml</t>
  </si>
  <si>
    <t>375ml</t>
  </si>
  <si>
    <t>Piesporter (Small)</t>
  </si>
  <si>
    <t>Weekly Stock Count</t>
  </si>
  <si>
    <t>Variance</t>
  </si>
  <si>
    <t>Budgeted GP %</t>
  </si>
  <si>
    <t>Actual GP %</t>
  </si>
  <si>
    <t>Weeks in month</t>
  </si>
  <si>
    <t>Growth Profit %</t>
  </si>
  <si>
    <t>25ml Shots</t>
  </si>
  <si>
    <t>50ml Shots</t>
  </si>
  <si>
    <t>Inventory Settings</t>
  </si>
  <si>
    <t>Stock Opening</t>
  </si>
  <si>
    <t>Key Lines Checklist</t>
  </si>
  <si>
    <t>Portions</t>
  </si>
  <si>
    <t>Settings</t>
  </si>
  <si>
    <t>Company Details</t>
  </si>
  <si>
    <t>Company Name</t>
  </si>
  <si>
    <t>My Company name</t>
  </si>
  <si>
    <t>Enable</t>
  </si>
  <si>
    <t>Company Slogan (Optional)</t>
  </si>
  <si>
    <t>My company slogan</t>
  </si>
  <si>
    <t>Country Specific Settings</t>
  </si>
  <si>
    <t>Select Relevant</t>
  </si>
  <si>
    <t>Sales Tax</t>
  </si>
  <si>
    <t>Currency Symbol</t>
  </si>
  <si>
    <t>$</t>
  </si>
  <si>
    <t>Retail Price</t>
  </si>
  <si>
    <t>10 Ltr Cartons</t>
  </si>
  <si>
    <t>Draught Lager/Beer</t>
  </si>
  <si>
    <t>25ml</t>
  </si>
  <si>
    <t>50ml</t>
  </si>
  <si>
    <t>Bottle Size Mini</t>
  </si>
  <si>
    <t>Spirits and Wine Bottles Volume</t>
  </si>
  <si>
    <t>Bottled and Canned Beer/Cider Volumes</t>
  </si>
  <si>
    <t>Bottled and Canned Minerals/Juices/Mixers Volumes</t>
  </si>
  <si>
    <t>2Lt</t>
  </si>
  <si>
    <t>1.5Lt</t>
  </si>
  <si>
    <t>1Lt</t>
  </si>
  <si>
    <t>Bottle/Can Size</t>
  </si>
  <si>
    <t>Case 24</t>
  </si>
  <si>
    <t>Case 12</t>
  </si>
  <si>
    <t>Case 36</t>
  </si>
  <si>
    <t>Case 48</t>
  </si>
  <si>
    <t>Case 6</t>
  </si>
  <si>
    <t>SPIRITS</t>
  </si>
  <si>
    <t>VOLUME</t>
  </si>
  <si>
    <t>Name</t>
  </si>
  <si>
    <t>Package</t>
  </si>
  <si>
    <t>Single Unit Volume</t>
  </si>
  <si>
    <t>UoM</t>
  </si>
  <si>
    <t>FORTIFIED WINES</t>
  </si>
  <si>
    <t>TABLE WINES</t>
  </si>
  <si>
    <t>DRAUGHT BEER</t>
  </si>
  <si>
    <t>DRAUGHT LAGER</t>
  </si>
  <si>
    <t>Pints</t>
  </si>
  <si>
    <t>BOTTLED BEER</t>
  </si>
  <si>
    <t>CIDER</t>
  </si>
  <si>
    <t>MINERALS/JUICES</t>
  </si>
  <si>
    <t>POST-MIX DRINKS</t>
  </si>
  <si>
    <t>Case 1</t>
  </si>
  <si>
    <t>Keg 1</t>
  </si>
  <si>
    <t xml:space="preserve">REUSABLE containers and bottles </t>
  </si>
  <si>
    <t>20ml</t>
  </si>
  <si>
    <t>5 Ltr Cartons</t>
  </si>
  <si>
    <t>Post-Mix Size</t>
  </si>
  <si>
    <t>Case/Box Sizes</t>
  </si>
  <si>
    <t>NAME</t>
  </si>
  <si>
    <t>STOCK</t>
  </si>
  <si>
    <t>STOCK Qty.</t>
  </si>
  <si>
    <t>COMPRESSED GAS</t>
  </si>
  <si>
    <t>TOTAL VALUE of STOCK</t>
  </si>
  <si>
    <t>Purchases</t>
  </si>
  <si>
    <t>Stock Count - Week 1</t>
  </si>
  <si>
    <t>REVENUE</t>
  </si>
  <si>
    <t>Cost of Purchases</t>
  </si>
  <si>
    <t>Returned</t>
  </si>
  <si>
    <t>STOCK VALUE at OPENING</t>
  </si>
  <si>
    <t>STOCK VALUE at Closing</t>
  </si>
  <si>
    <t>GENERATED REVENUE</t>
  </si>
  <si>
    <t>NET WEEKLY SALES</t>
  </si>
  <si>
    <t>PROFIT MARGIN</t>
  </si>
  <si>
    <t>PURCHASES</t>
  </si>
  <si>
    <t>Cost of Returned</t>
  </si>
  <si>
    <t>Cost of Current</t>
  </si>
  <si>
    <t>Stock Count - Week 2</t>
  </si>
  <si>
    <t>Stock Count - Week 4</t>
  </si>
  <si>
    <t>Stock Count - Week 5</t>
  </si>
  <si>
    <t>Stock Count - Week 3</t>
  </si>
  <si>
    <t>WEEK 1</t>
  </si>
  <si>
    <t>WEEK 2</t>
  </si>
  <si>
    <t>WEEK 3</t>
  </si>
  <si>
    <t>WEEK 4</t>
  </si>
  <si>
    <t>WEEK 5</t>
  </si>
  <si>
    <t>Glass</t>
  </si>
  <si>
    <t>TOTAL</t>
  </si>
  <si>
    <t>BUDGET</t>
  </si>
  <si>
    <t>GROSS PROFIT %</t>
  </si>
  <si>
    <t>Difference</t>
  </si>
  <si>
    <t>Spending Allowance</t>
  </si>
  <si>
    <t>Monthly Net Revenue</t>
  </si>
  <si>
    <t>Actual Net Revenue</t>
  </si>
  <si>
    <t>Spending Allowance (based on monthly net revenue)</t>
  </si>
  <si>
    <r>
      <t xml:space="preserve">Actual Purchases Cost </t>
    </r>
    <r>
      <rPr>
        <b/>
        <sz val="10"/>
        <rFont val="Arial"/>
        <family val="2"/>
      </rPr>
      <t>(AP)</t>
    </r>
  </si>
  <si>
    <r>
      <t xml:space="preserve">Actual Spending Allowance (based on generated net revenue) </t>
    </r>
    <r>
      <rPr>
        <b/>
        <sz val="10"/>
        <rFont val="Arial"/>
        <family val="2"/>
      </rPr>
      <t>(AC)</t>
    </r>
  </si>
  <si>
    <r>
      <t xml:space="preserve">Difference (between </t>
    </r>
    <r>
      <rPr>
        <b/>
        <sz val="10"/>
        <rFont val="Arial"/>
        <family val="2"/>
      </rPr>
      <t xml:space="preserve">AP </t>
    </r>
    <r>
      <rPr>
        <sz val="10"/>
        <rFont val="Arial"/>
        <family val="2"/>
      </rPr>
      <t xml:space="preserve">and </t>
    </r>
    <r>
      <rPr>
        <b/>
        <sz val="10"/>
        <rFont val="Arial"/>
        <family val="2"/>
      </rPr>
      <t>AC</t>
    </r>
    <r>
      <rPr>
        <sz val="10"/>
        <rFont val="Arial"/>
        <family val="2"/>
      </rPr>
      <t>)</t>
    </r>
  </si>
  <si>
    <t>STOCK COUNT</t>
  </si>
  <si>
    <t>Closing</t>
  </si>
  <si>
    <t>Opening</t>
  </si>
  <si>
    <t>Total Value of Stock at Opening</t>
  </si>
  <si>
    <t>Total Value of Stock on Closing</t>
  </si>
  <si>
    <t>Value of Stock Loss @ Retail Price</t>
  </si>
  <si>
    <t>Achieved GP%</t>
  </si>
  <si>
    <t>Actual Purchases</t>
  </si>
  <si>
    <t>© 2013 Spreadsheet123 LTD All rights reserved</t>
  </si>
  <si>
    <t>BEVERAGE STOCKTAKE</t>
  </si>
  <si>
    <t>Terms of Use - EULA</t>
  </si>
  <si>
    <t>© 2013 Spreadsheet123 LTD. All rights reserved</t>
  </si>
  <si>
    <t>IMPORTANT—READ CAREFULLY:</t>
  </si>
  <si>
    <t>This End-User License Agreement (”EULA”) is a legal agreement between you and Spreadsheet123.com that</t>
  </si>
  <si>
    <t>covers all Microsoft Excel and OpenOffice.org templates or spreadsheets (”TEMPLATES”) and software ("SOFTWARE") made</t>
  </si>
  <si>
    <t>by Spreadsheet123.com.</t>
  </si>
  <si>
    <t>By downloading, copying, accessing or otherwise using any TEMPLATES or/and SOFTWARE, you agree to be bound by the</t>
  </si>
  <si>
    <t>terms of this EULA.</t>
  </si>
  <si>
    <t>TEMPLATES LICENSE</t>
  </si>
  <si>
    <t>This TEMPLATE is protected by copyright laws and international copyright treaties, as well as other intellectual</t>
  </si>
  <si>
    <t>property laws and treaties. Each TEMPLATE is licensed, not sold.</t>
  </si>
  <si>
    <t>1. GRANT OF LICENSE.</t>
  </si>
  <si>
    <r>
      <t xml:space="preserve">This EULA grants you the right to download this TEMPLATE free of charge for </t>
    </r>
    <r>
      <rPr>
        <b/>
        <sz val="10"/>
        <color indexed="16"/>
        <rFont val="Arial"/>
        <family val="2"/>
      </rPr>
      <t>personal use or use within your company</t>
    </r>
  </si>
  <si>
    <t>or organization.</t>
  </si>
  <si>
    <r>
      <t xml:space="preserve">You may customize this </t>
    </r>
    <r>
      <rPr>
        <b/>
        <sz val="10"/>
        <rFont val="Arial"/>
        <family val="2"/>
      </rPr>
      <t>TEMPLATE</t>
    </r>
    <r>
      <rPr>
        <sz val="10"/>
        <rFont val="Arial"/>
        <family val="2"/>
      </rPr>
      <t xml:space="preserve"> with you personal information and use for its intended purpose in personal calculations</t>
    </r>
  </si>
  <si>
    <t xml:space="preserve">documentation or/and communications, but you may not remove or alter any logo, trademark, copyright, hyperlinks, </t>
  </si>
  <si>
    <t>disclaimers, terms of use or other proprietary notices within this TEMPLATE.</t>
  </si>
  <si>
    <t>You may not sell, resell, license, rent, lease, lend or otherwise transfer for value without written</t>
  </si>
  <si>
    <r>
      <t xml:space="preserve">permission of </t>
    </r>
    <r>
      <rPr>
        <b/>
        <sz val="11"/>
        <color indexed="16"/>
        <rFont val="Calibri"/>
        <family val="2"/>
      </rPr>
      <t>SPREADSHEET123.COM</t>
    </r>
  </si>
  <si>
    <r>
      <t xml:space="preserve">You may not distribute this </t>
    </r>
    <r>
      <rPr>
        <b/>
        <sz val="11"/>
        <color indexed="16"/>
        <rFont val="Calibri"/>
        <family val="2"/>
      </rPr>
      <t>TEMPLATE</t>
    </r>
    <r>
      <rPr>
        <sz val="11"/>
        <color indexed="16"/>
        <rFont val="Calibri"/>
        <family val="2"/>
      </rPr>
      <t xml:space="preserve"> in any stand-alone products that contain only the TEMPLATE, or as part of any other </t>
    </r>
  </si>
  <si>
    <t>product. You may not copy or post any TEMPLATE on any network computer or broadcast it in any media without</t>
  </si>
  <si>
    <t>written permission of SPREADSHEET123.COM.</t>
  </si>
  <si>
    <t>2. RESERVATION OF RIGHTS.</t>
  </si>
  <si>
    <t xml:space="preserve">All title and copyrights in and to the Template, and any copies of the Template, are owned by Spreadsheet123.com. </t>
  </si>
  <si>
    <t xml:space="preserve">All rights not expressly granted are reserved by Spreadsheet123.com. In particular, this EULA does not grant you any </t>
  </si>
  <si>
    <t>rights in connection with any trademarks or service marks of Spreadsheet123.com. Use of any Template for any purpose</t>
  </si>
  <si>
    <t>other than expressly permitted in this EULA is prohibited, and may result in severe civil and criminal penalties.</t>
  </si>
  <si>
    <t>3. TERMINATION.</t>
  </si>
  <si>
    <r>
      <t xml:space="preserve">Without prejudice to any other rights, </t>
    </r>
    <r>
      <rPr>
        <b/>
        <sz val="11"/>
        <color indexed="8"/>
        <rFont val="Calibri"/>
        <family val="2"/>
      </rPr>
      <t>Spreadsheet123.com</t>
    </r>
    <r>
      <rPr>
        <sz val="10"/>
        <rFont val="Arial"/>
      </rPr>
      <t xml:space="preserve"> may terminate this EULA if you fail to comply with the</t>
    </r>
  </si>
  <si>
    <t>terms and conditions of this EULA. In such event, you must destroy all copies of any TEMPLATE.</t>
  </si>
  <si>
    <t>4. NOTICE SPECIFIC TO TEMPLATES.</t>
  </si>
  <si>
    <t xml:space="preserve">SPREADSHEET123.COM MAKE NO REPRESENTATIONS </t>
  </si>
  <si>
    <t>ABOUT THE SUITABILITY OF THE TEMPLATES FOR ANY PURPOSE. ALL TEMPLATES ARE PROVIDED</t>
  </si>
  <si>
    <t xml:space="preserve"> “AS IS” WITHOUT WARRANTY OF ANY KIND. SPREADSHEET123.COM HEREBY DISCLAIM ALL </t>
  </si>
  <si>
    <t>WARRANTIES AND CONDITIONS WITH REGARD TO THE TEMPLATES, INCLUDING ALL IMPLIED</t>
  </si>
  <si>
    <t>WARRANTIES AND CONDITIONS OF MERCHANTABILITY, FITNESS FOR A PARTICULAR PURPOSE, TITLE</t>
  </si>
  <si>
    <t>AND NON-INFRINGEMENT. IN NO EVENT SHALL SPREADSHEET123.COM BE LIABLE FOR ANY SPECIAL,</t>
  </si>
  <si>
    <t xml:space="preserve">INDIRECT OR CONSEQUENTIAL DAMAGES OR ANY DAMAGES WHATSOEVER RESULTING FROM LOSS </t>
  </si>
  <si>
    <t xml:space="preserve">OF USE, DATA OR PROFITS, WHETHER IN AN ACTION OF CONTRACT, NEGLIGENCE OR OTHER TORTIOUS </t>
  </si>
  <si>
    <t>ANY REFERENCES TO EVENTS, PEOPLE, PLACES, OR ENTITIES IN THE TEMPLATES IS PURELY FICTITIOUS AND NOT INTENDED TO REPRESENT ANY ACTUAL EVENT,</t>
  </si>
  <si>
    <t>PERSON, PLACE, OR ENTITY. SPREADSHEET123.COM  DISCLAIMS ANY LIKENESS OR SIMILARITIES TO ACTUAL EVENTS, PEOPLE, PLACES, OR ENTITIES, AND</t>
  </si>
  <si>
    <t>ANY SUCH LIKENESS OR SIMILARITIES ARE UNINTENTIONAL AND PURELY COINCIDENTAL.</t>
  </si>
  <si>
    <t>5. MISCELLANEOUS.</t>
  </si>
  <si>
    <t>Some states do not allow the limitation or exclusion of liability for incidental or consequential</t>
  </si>
  <si>
    <t>damages, so the above limitation may not apply to you.</t>
  </si>
  <si>
    <t>Spreadsheet123 Beverage Stocktake - Ver 1.0.3</t>
  </si>
  <si>
    <t>1. Getting started with Beverage Stocktake</t>
  </si>
  <si>
    <r>
      <t xml:space="preserve">Before you begin preparing your template for the first time, please consider making another copy of the original file somewhere on your computer, so that you can have something to get back to  in case if something goes wrong during customization. 
In addition, we recommend making another copy of the file after you have completed customizations, so that you won't have to customize everything again in case of a failure or to simply use it as a master copy each time you starting a new accounting period.
</t>
    </r>
    <r>
      <rPr>
        <b/>
        <sz val="13"/>
        <rFont val="Calibri"/>
        <family val="2"/>
      </rPr>
      <t>General rule of thumb</t>
    </r>
    <r>
      <rPr>
        <sz val="13"/>
        <rFont val="Calibri"/>
        <family val="2"/>
      </rPr>
      <t>: If your file was delivered in a .zip archive, the file must be extracted from that archive, prior to making any changes and customizations, otherwise changes may not be saved.</t>
    </r>
  </si>
  <si>
    <t>Settings Tab</t>
  </si>
  <si>
    <t>3. Setting up quantities and volumes</t>
  </si>
  <si>
    <t xml:space="preserve">Please read the following article on Wikipedia </t>
  </si>
  <si>
    <t>Alcoholic spirits measure</t>
  </si>
  <si>
    <t>Adding additional rows</t>
  </si>
  <si>
    <t>2. Beverage Stocktake General Settings</t>
  </si>
  <si>
    <r>
      <t xml:space="preserve">Country specific settings are important especially the Tax/VAT settings, because the information entered here is also used to perform calculations on other worksheets of the Beverage Stocktake. Here you are also able to select the relevant currency symbol out of four available and also specify the relevant name for your tax. (e.g. </t>
    </r>
    <r>
      <rPr>
        <b/>
        <sz val="13"/>
        <rFont val="Calibri"/>
        <family val="2"/>
      </rPr>
      <t>USA</t>
    </r>
    <r>
      <rPr>
        <sz val="13"/>
        <rFont val="Calibri"/>
        <family val="2"/>
      </rPr>
      <t xml:space="preserve"> uses </t>
    </r>
    <r>
      <rPr>
        <b/>
        <sz val="13"/>
        <rFont val="Calibri"/>
        <family val="2"/>
      </rPr>
      <t>Sales Tax</t>
    </r>
    <r>
      <rPr>
        <sz val="13"/>
        <rFont val="Calibri"/>
        <family val="2"/>
      </rPr>
      <t xml:space="preserve"> while </t>
    </r>
    <r>
      <rPr>
        <b/>
        <sz val="13"/>
        <rFont val="Calibri"/>
        <family val="2"/>
      </rPr>
      <t>UK</t>
    </r>
    <r>
      <rPr>
        <sz val="13"/>
        <rFont val="Calibri"/>
        <family val="2"/>
      </rPr>
      <t xml:space="preserve"> and majority of other European countries using </t>
    </r>
    <r>
      <rPr>
        <b/>
        <sz val="13"/>
        <rFont val="Calibri"/>
        <family val="2"/>
      </rPr>
      <t>VAT</t>
    </r>
    <r>
      <rPr>
        <sz val="13"/>
        <rFont val="Calibri"/>
        <family val="2"/>
      </rPr>
      <t xml:space="preserve">) </t>
    </r>
  </si>
  <si>
    <t>The rest of the settings are mostly related to the goods that you are purchasing and are fairly simple to set up considering that you have followed the example provided above.</t>
  </si>
  <si>
    <t xml:space="preserve">Starting from "Units of Measure" you will begin setting up your standards for all beverage products that you are purchasing or selling. 
Prior to setting up your standard measures otherwise known as "Optic", you might want to consult with appropriate authorities and possibly familiarise yourself with rules and regulations for sale alcoholic beverages specific to country or region.
</t>
  </si>
  <si>
    <t>You can add as many rows as you need to any section on the Settings tab, but to do this correctly, just make sure to add a new row above the last empty cell within that section, otherwise the row will not be included in array.</t>
  </si>
  <si>
    <t>Alcoholic Spirits Measures</t>
  </si>
  <si>
    <t>Fortified Wines Measures</t>
  </si>
  <si>
    <t>By default, the size of 1 portion of alcoholic spirit is 25 ml, which means that any bottle of alcoholic drink is divided on to 25 ml portions to identify the number of shots as well as cost of each portion of drink. If you feel more comfortable using Imperial units of  measure, such as ounces, you can change values of those cells accordingly. The first column contains names (a.e. "25 ml") that does populate all drop-down menus on the Inventory worksheet, with values you enter into them, when the column on the right contains mathematical values (a.e. "25") which is used to determine values in calculations across entire spreadsheet.</t>
  </si>
  <si>
    <t>This version of Beverage Stocktake is fully capable to work with both metric as well as Imperial units of measure of beverage provided that your settings are correct. For instance, you can use "Fifth" as a name instead of "75cl" or "750ml" bottle and change mathematical value in the next column from "750" millilitres to "25.36" fluid oz.</t>
  </si>
  <si>
    <t>Using Imperial or US liquid measures</t>
  </si>
  <si>
    <t>4. Setting up the inventory</t>
  </si>
  <si>
    <t>The inventory tab is where you would be creating a list of all items you are already selling or planning to sell in your bar or restaurant. This is also where, you would be assigning all quantities to the items that you are selling as they are purchased. For instance if the wine you are purchasing comes in 6 bottle cartons, cost of which is $22.15, you then have to select Case 6 in the "Bottle" column, to determine the cost per each bottle.</t>
  </si>
  <si>
    <t>In the next column "Volume" you need to select the correct volume for of the bottle.</t>
  </si>
  <si>
    <t>For more thorough explanation, please watch the demo video.</t>
  </si>
  <si>
    <r>
      <t xml:space="preserve">This is where you should begin setting up your spreadsheet.
You can begin with entering your company name and slogan, if you want it to appear at a top left corner on every worksheet, alternatively you can simply disable it by selecting "Disable" from the dropdown menu. Same applies to your company address details except that if you don't want your address to appear on the </t>
    </r>
    <r>
      <rPr>
        <b/>
        <sz val="13"/>
        <rFont val="Calibri"/>
        <family val="2"/>
      </rPr>
      <t>Budget</t>
    </r>
    <r>
      <rPr>
        <sz val="13"/>
        <rFont val="Calibri"/>
        <family val="2"/>
      </rPr>
      <t xml:space="preserve"> tab, you would have to leave unwanted cells blank in the </t>
    </r>
    <r>
      <rPr>
        <b/>
        <sz val="13"/>
        <rFont val="Calibri"/>
        <family val="2"/>
      </rPr>
      <t>Company Address</t>
    </r>
    <r>
      <rPr>
        <sz val="13"/>
        <rFont val="Calibri"/>
        <family val="2"/>
      </rPr>
      <t xml:space="preserve"> section. (Available in Monthly Beverage Stocktake Pro version only)</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</si>
</sst>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0.0"/>
    <numFmt numFmtId="165" formatCode="&quot;£&quot;#,##0.00"/>
    <numFmt numFmtId="166" formatCode="&quot;£&quot;#,##0.00;[Red]&quot;£&quot;#,##0.00"/>
    <numFmt numFmtId="167" formatCode="_-* #,##0.0_-;\-* #,##0.0_-;_-* &quot;-&quot;?_-;_-@_-"/>
    <numFmt numFmtId="168" formatCode="%* #,##0.00_;"/>
    <numFmt numFmtId="169" formatCode="_-* #,##0.00_-;[Red]\-* #,##0.00_-;_-* &quot;-&quot;??_-;_-@_-"/>
  </numFmts>
  <fonts count="53">
    <font>
      <sz val="10"/>
      <name val="Arial"/>
    </font>
    <font>
      <sz val="10"/>
      <name val="Arial"/>
    </font>
    <font>
      <sz val="26"/>
      <name val="Arial"/>
      <family val="2"/>
    </font>
    <font>
      <sz val="12"/>
      <name val="Arial"/>
      <family val="2"/>
    </font>
    <font>
      <sz val="8"/>
      <name val="Arial"/>
      <family val="2"/>
    </font>
    <font>
      <sz val="8"/>
      <name val="Arial"/>
    </font>
    <font>
      <u/>
      <sz val="10"/>
      <color indexed="12"/>
      <name val="Arial"/>
    </font>
    <font>
      <b/>
      <sz val="11"/>
      <name val="Arial"/>
      <family val="2"/>
    </font>
    <font>
      <sz val="10"/>
      <name val="Arial"/>
      <family val="2"/>
    </font>
    <font>
      <sz val="10"/>
      <color indexed="9"/>
      <name val="Arial"/>
      <family val="2"/>
    </font>
    <font>
      <b/>
      <sz val="10"/>
      <name val="Arial"/>
      <family val="2"/>
    </font>
    <font>
      <b/>
      <sz val="11"/>
      <color indexed="63"/>
      <name val="Calibri"/>
      <family val="2"/>
    </font>
    <font>
      <b/>
      <sz val="11"/>
      <color indexed="8"/>
      <name val="Calibri"/>
      <family val="2"/>
    </font>
    <font>
      <b/>
      <sz val="26"/>
      <name val="Arial"/>
      <family val="2"/>
    </font>
    <font>
      <sz val="24"/>
      <name val="Arial"/>
      <family val="2"/>
    </font>
    <font>
      <u/>
      <sz val="10"/>
      <color indexed="12"/>
      <name val="Arial"/>
      <family val="2"/>
    </font>
    <font>
      <b/>
      <sz val="10"/>
      <color indexed="9"/>
      <name val="Arial"/>
      <family val="2"/>
    </font>
    <font>
      <sz val="20"/>
      <color indexed="53"/>
      <name val="Arial"/>
      <family val="2"/>
    </font>
    <font>
      <b/>
      <sz val="11"/>
      <name val="Arial"/>
    </font>
    <font>
      <sz val="10"/>
      <name val="Arial"/>
    </font>
    <font>
      <sz val="28"/>
      <color indexed="18"/>
      <name val="Arial"/>
    </font>
    <font>
      <b/>
      <sz val="14"/>
      <color indexed="9"/>
      <name val="Arial"/>
      <family val="2"/>
    </font>
    <font>
      <sz val="11"/>
      <name val="Arial"/>
      <family val="2"/>
    </font>
    <font>
      <sz val="11"/>
      <color indexed="9"/>
      <name val="Arial"/>
      <family val="2"/>
    </font>
    <font>
      <sz val="26"/>
      <color indexed="9"/>
      <name val="Arial"/>
      <family val="2"/>
    </font>
    <font>
      <sz val="26"/>
      <color indexed="63"/>
      <name val="Arial"/>
      <family val="2"/>
    </font>
    <font>
      <sz val="9"/>
      <name val="Arial"/>
      <family val="2"/>
    </font>
    <font>
      <b/>
      <sz val="9"/>
      <color indexed="9"/>
      <name val="Arial"/>
      <family val="2"/>
    </font>
    <font>
      <b/>
      <sz val="9"/>
      <name val="Arial"/>
      <family val="2"/>
    </font>
    <font>
      <sz val="20"/>
      <color indexed="9"/>
      <name val="Arial"/>
      <family val="2"/>
    </font>
    <font>
      <b/>
      <sz val="8"/>
      <name val="Arial"/>
      <family val="2"/>
    </font>
    <font>
      <u/>
      <sz val="10"/>
      <name val="Arial"/>
      <family val="2"/>
    </font>
    <font>
      <b/>
      <sz val="20"/>
      <name val="Arial"/>
      <family val="2"/>
    </font>
    <font>
      <b/>
      <sz val="26"/>
      <color indexed="9"/>
      <name val="Arial"/>
      <family val="2"/>
    </font>
    <font>
      <b/>
      <sz val="22"/>
      <color indexed="18"/>
      <name val="Arial"/>
      <family val="2"/>
    </font>
    <font>
      <sz val="18"/>
      <color indexed="18"/>
      <name val="Arial"/>
    </font>
    <font>
      <b/>
      <sz val="24"/>
      <color indexed="9"/>
      <name val="Calibri"/>
      <family val="2"/>
    </font>
    <font>
      <sz val="10"/>
      <color indexed="8"/>
      <name val="Arial"/>
      <family val="2"/>
    </font>
    <font>
      <b/>
      <sz val="10"/>
      <color indexed="16"/>
      <name val="Arial"/>
      <family val="2"/>
    </font>
    <font>
      <sz val="11"/>
      <color indexed="16"/>
      <name val="Calibri"/>
      <family val="2"/>
    </font>
    <font>
      <b/>
      <sz val="11"/>
      <color indexed="16"/>
      <name val="Calibri"/>
      <family val="2"/>
    </font>
    <font>
      <sz val="7"/>
      <color indexed="8"/>
      <name val="Verdana"/>
      <family val="2"/>
    </font>
    <font>
      <sz val="7"/>
      <color indexed="8"/>
      <name val="Calibri"/>
      <family val="2"/>
    </font>
    <font>
      <sz val="24"/>
      <color indexed="63"/>
      <name val="Arial"/>
    </font>
    <font>
      <b/>
      <sz val="12"/>
      <color indexed="63"/>
      <name val="Arial"/>
      <family val="2"/>
    </font>
    <font>
      <sz val="13"/>
      <name val="Calibri"/>
      <family val="2"/>
    </font>
    <font>
      <b/>
      <sz val="13"/>
      <name val="Calibri"/>
      <family val="2"/>
    </font>
    <font>
      <sz val="10"/>
      <name val="Calibri"/>
      <family val="2"/>
    </font>
    <font>
      <b/>
      <sz val="14"/>
      <color indexed="63"/>
      <name val="Calibri"/>
      <family val="2"/>
    </font>
    <font>
      <b/>
      <sz val="11"/>
      <name val="Calibri"/>
      <family val="2"/>
    </font>
    <font>
      <u/>
      <sz val="13"/>
      <color indexed="12"/>
      <name val="Arial"/>
    </font>
    <font>
      <sz val="22"/>
      <color indexed="53"/>
      <name val="Arial"/>
      <family val="2"/>
    </font>
    <font>
      <b/>
      <sz val="10"/>
      <name val="Arial"/>
    </font>
  </fonts>
  <fills count="7">
    <fill>
      <patternFill patternType="none"/>
    </fill>
    <fill>
      <patternFill patternType="gray125"/>
    </fill>
    <fill>
      <patternFill patternType="solid">
        <fgColor indexed="56"/>
        <bgColor indexed="64"/>
      </patternFill>
    </fill>
    <fill>
      <patternFill patternType="solid">
        <fgColor indexed="22"/>
        <bgColor indexed="64"/>
      </patternFill>
    </fill>
    <fill>
      <patternFill patternType="lightGray"/>
    </fill>
    <fill>
      <patternFill patternType="solid">
        <fgColor indexed="63"/>
        <bgColor indexed="64"/>
      </patternFill>
    </fill>
    <fill>
      <patternFill patternType="solid">
        <fgColor indexed="9"/>
        <bgColor indexed="64"/>
      </patternFill>
    </fill>
  </fills>
  <borders count="11">
    <border>
      <left/>
      <right/>
      <top/>
      <bottom/>
      <diagonal/>
    </border>
    <border>
      <left style="thin">
        <color indexed="55"/>
      </left>
      <right style="thin">
        <color indexed="55"/>
      </right>
      <top style="thin">
        <color indexed="55"/>
      </top>
      <bottom style="thin">
        <color indexed="55"/>
      </bottom>
      <diagonal/>
    </border>
    <border>
      <left/>
      <right/>
      <top style="thin">
        <color indexed="55"/>
      </top>
      <bottom style="thin">
        <color indexed="55"/>
      </bottom>
      <diagonal/>
    </border>
    <border>
      <left/>
      <right/>
      <top/>
      <bottom style="thick">
        <color indexed="53"/>
      </bottom>
      <diagonal/>
    </border>
    <border>
      <left style="thin">
        <color indexed="55"/>
      </left>
      <right/>
      <top style="thin">
        <color indexed="55"/>
      </top>
      <bottom style="thin">
        <color indexed="55"/>
      </bottom>
      <diagonal/>
    </border>
    <border>
      <left/>
      <right/>
      <top style="thick">
        <color indexed="53"/>
      </top>
      <bottom/>
      <diagonal/>
    </border>
    <border>
      <left style="thin">
        <color indexed="55"/>
      </left>
      <right style="thin">
        <color indexed="55"/>
      </right>
      <top/>
      <bottom/>
      <diagonal/>
    </border>
    <border>
      <left style="thin">
        <color indexed="55"/>
      </left>
      <right/>
      <top/>
      <bottom/>
      <diagonal/>
    </border>
    <border>
      <left/>
      <right style="thin">
        <color indexed="55"/>
      </right>
      <top/>
      <bottom/>
      <diagonal/>
    </border>
    <border>
      <left/>
      <right style="thin">
        <color indexed="55"/>
      </right>
      <top style="thin">
        <color indexed="55"/>
      </top>
      <bottom style="thin">
        <color indexed="55"/>
      </bottom>
      <diagonal/>
    </border>
    <border>
      <left style="thin">
        <color indexed="9"/>
      </left>
      <right style="thin">
        <color indexed="9"/>
      </right>
      <top/>
      <bottom style="thin">
        <color indexed="9"/>
      </bottom>
      <diagonal/>
    </border>
  </borders>
  <cellStyleXfs count="2">
    <xf numFmtId="0" fontId="0" fillId="0" borderId="0"/>
    <xf numFmtId="0" fontId="6" fillId="0" borderId="0" applyNumberFormat="0" applyFill="0" applyBorder="0" applyAlignment="0" applyProtection="0">
      <alignment vertical="top"/>
      <protection locked="0"/>
    </xf>
  </cellStyleXfs>
  <cellXfs count="266">
    <xf numFmtId="0" fontId="0" fillId="0" borderId="0" xfId="0"/>
    <xf numFmtId="164" fontId="4" fillId="0" borderId="0" xfId="0" applyNumberFormat="1" applyFont="1" applyFill="1" applyBorder="1" applyAlignment="1" applyProtection="1">
      <alignment horizontal="center"/>
      <protection hidden="1"/>
    </xf>
    <xf numFmtId="0" fontId="19" fillId="0" borderId="0" xfId="0" applyFont="1" applyFill="1" applyBorder="1" applyProtection="1">
      <protection hidden="1"/>
    </xf>
    <xf numFmtId="0" fontId="20" fillId="0" borderId="0" xfId="0" applyFont="1"/>
    <xf numFmtId="0" fontId="21" fillId="2" borderId="0" xfId="0" applyFont="1" applyFill="1" applyAlignment="1">
      <alignment horizontal="left" vertical="center" indent="1"/>
    </xf>
    <xf numFmtId="0" fontId="0" fillId="0" borderId="0" xfId="0" applyAlignment="1">
      <alignment horizontal="left" vertical="center" indent="1"/>
    </xf>
    <xf numFmtId="0" fontId="0" fillId="0" borderId="0" xfId="0" applyBorder="1" applyAlignment="1">
      <alignment horizontal="left" vertical="center"/>
    </xf>
    <xf numFmtId="0" fontId="0" fillId="0" borderId="1" xfId="0" applyBorder="1" applyAlignment="1">
      <alignment horizontal="center" vertical="center"/>
    </xf>
    <xf numFmtId="0" fontId="0" fillId="0" borderId="0" xfId="0" applyAlignment="1">
      <alignment vertical="center"/>
    </xf>
    <xf numFmtId="0" fontId="0" fillId="0" borderId="0" xfId="0" applyAlignment="1">
      <alignment horizontal="left" vertical="center"/>
    </xf>
    <xf numFmtId="0" fontId="21" fillId="2" borderId="0" xfId="0" applyFont="1" applyFill="1" applyAlignment="1">
      <alignment vertical="center"/>
    </xf>
    <xf numFmtId="0" fontId="0" fillId="0" borderId="2" xfId="0" applyBorder="1" applyAlignment="1">
      <alignment horizontal="center" vertical="center"/>
    </xf>
    <xf numFmtId="0" fontId="18" fillId="0" borderId="0" xfId="0" applyFont="1" applyFill="1" applyBorder="1" applyAlignment="1" applyProtection="1">
      <protection hidden="1"/>
    </xf>
    <xf numFmtId="0" fontId="22" fillId="0" borderId="0" xfId="0" applyFont="1" applyFill="1" applyBorder="1" applyAlignment="1" applyProtection="1">
      <protection hidden="1"/>
    </xf>
    <xf numFmtId="0" fontId="8" fillId="0" borderId="0" xfId="0" applyFont="1" applyFill="1" applyBorder="1" applyAlignment="1" applyProtection="1">
      <protection hidden="1"/>
    </xf>
    <xf numFmtId="0" fontId="8" fillId="0" borderId="0" xfId="0" applyFont="1"/>
    <xf numFmtId="0" fontId="19" fillId="0" borderId="0" xfId="0" applyFont="1" applyFill="1" applyBorder="1" applyAlignment="1" applyProtection="1">
      <alignment horizontal="left" vertical="center" indent="1"/>
      <protection hidden="1"/>
    </xf>
    <xf numFmtId="10" fontId="19" fillId="0" borderId="1" xfId="0" applyNumberFormat="1" applyFont="1" applyFill="1" applyBorder="1" applyAlignment="1" applyProtection="1">
      <alignment horizontal="center" vertical="center"/>
      <protection hidden="1"/>
    </xf>
    <xf numFmtId="0" fontId="0" fillId="0" borderId="1" xfId="0" applyBorder="1" applyAlignment="1">
      <alignment horizontal="left" vertical="center" indent="1"/>
    </xf>
    <xf numFmtId="0" fontId="19" fillId="0" borderId="1" xfId="0" applyFont="1" applyFill="1" applyBorder="1" applyAlignment="1" applyProtection="1">
      <alignment horizontal="left" vertical="center" indent="1"/>
      <protection hidden="1"/>
    </xf>
    <xf numFmtId="0" fontId="8" fillId="0" borderId="0" xfId="0" applyFont="1" applyFill="1" applyBorder="1" applyAlignment="1" applyProtection="1">
      <alignment horizontal="center" vertical="center"/>
      <protection hidden="1"/>
    </xf>
    <xf numFmtId="164" fontId="8" fillId="3" borderId="0" xfId="0" applyNumberFormat="1" applyFont="1" applyFill="1" applyBorder="1" applyAlignment="1" applyProtection="1">
      <alignment horizontal="center" vertical="center"/>
      <protection hidden="1"/>
    </xf>
    <xf numFmtId="0" fontId="8" fillId="3" borderId="3" xfId="0" applyFont="1" applyFill="1" applyBorder="1" applyAlignment="1" applyProtection="1">
      <alignment horizontal="center" vertical="center"/>
      <protection hidden="1"/>
    </xf>
    <xf numFmtId="164" fontId="8" fillId="3" borderId="3" xfId="0" applyNumberFormat="1" applyFont="1" applyFill="1" applyBorder="1" applyAlignment="1" applyProtection="1">
      <alignment horizontal="center" vertical="center"/>
      <protection hidden="1"/>
    </xf>
    <xf numFmtId="0" fontId="4" fillId="0" borderId="0" xfId="0" applyFont="1" applyFill="1" applyBorder="1" applyProtection="1">
      <protection hidden="1"/>
    </xf>
    <xf numFmtId="165" fontId="4" fillId="0" borderId="0" xfId="0" applyNumberFormat="1" applyFont="1" applyFill="1" applyBorder="1" applyAlignment="1" applyProtection="1">
      <alignment horizontal="center"/>
      <protection hidden="1"/>
    </xf>
    <xf numFmtId="165" fontId="8" fillId="0" borderId="0" xfId="0" applyNumberFormat="1" applyFont="1" applyFill="1" applyBorder="1" applyAlignment="1" applyProtection="1">
      <alignment horizontal="center"/>
      <protection hidden="1"/>
    </xf>
    <xf numFmtId="164" fontId="26" fillId="0" borderId="4" xfId="0" applyNumberFormat="1" applyFont="1" applyFill="1" applyBorder="1" applyAlignment="1" applyProtection="1">
      <alignment horizontal="center" vertical="center"/>
      <protection hidden="1"/>
    </xf>
    <xf numFmtId="165" fontId="8" fillId="0" borderId="0" xfId="0" applyNumberFormat="1" applyFont="1" applyFill="1" applyBorder="1" applyAlignment="1" applyProtection="1">
      <alignment horizontal="center" vertical="center"/>
      <protection hidden="1"/>
    </xf>
    <xf numFmtId="0" fontId="26" fillId="0" borderId="0" xfId="0" applyFont="1" applyFill="1" applyBorder="1" applyAlignment="1" applyProtection="1">
      <alignment vertical="center"/>
      <protection hidden="1"/>
    </xf>
    <xf numFmtId="43" fontId="26" fillId="0" borderId="0" xfId="0" applyNumberFormat="1" applyFont="1" applyFill="1" applyBorder="1" applyAlignment="1" applyProtection="1">
      <alignment horizontal="center" vertical="center"/>
      <protection hidden="1"/>
    </xf>
    <xf numFmtId="0" fontId="26" fillId="0" borderId="0" xfId="0" applyFont="1" applyFill="1" applyBorder="1" applyAlignment="1" applyProtection="1">
      <alignment horizontal="left" vertical="center" indent="1"/>
      <protection hidden="1"/>
    </xf>
    <xf numFmtId="43" fontId="8" fillId="0" borderId="0" xfId="0" applyNumberFormat="1" applyFont="1" applyFill="1" applyBorder="1" applyAlignment="1" applyProtection="1">
      <alignment horizontal="center" vertical="center"/>
      <protection hidden="1"/>
    </xf>
    <xf numFmtId="43" fontId="26" fillId="4" borderId="0" xfId="0" applyNumberFormat="1" applyFont="1" applyFill="1" applyBorder="1" applyAlignment="1" applyProtection="1">
      <alignment horizontal="center" vertical="center"/>
      <protection hidden="1"/>
    </xf>
    <xf numFmtId="43" fontId="10" fillId="3" borderId="0" xfId="0" applyNumberFormat="1" applyFont="1" applyFill="1" applyBorder="1" applyAlignment="1" applyProtection="1">
      <alignment horizontal="center" vertical="center"/>
      <protection hidden="1"/>
    </xf>
    <xf numFmtId="164" fontId="26" fillId="0" borderId="0" xfId="0" applyNumberFormat="1" applyFont="1" applyFill="1" applyBorder="1" applyAlignment="1" applyProtection="1">
      <alignment horizontal="center" vertical="center"/>
      <protection hidden="1"/>
    </xf>
    <xf numFmtId="167" fontId="26" fillId="0" borderId="0" xfId="0" applyNumberFormat="1" applyFont="1" applyFill="1" applyBorder="1" applyAlignment="1" applyProtection="1">
      <alignment horizontal="center" vertical="center"/>
      <protection hidden="1"/>
    </xf>
    <xf numFmtId="167" fontId="26" fillId="0" borderId="0" xfId="0" applyNumberFormat="1" applyFont="1" applyFill="1" applyBorder="1" applyAlignment="1" applyProtection="1">
      <alignment horizontal="left" vertical="center" indent="1"/>
      <protection hidden="1"/>
    </xf>
    <xf numFmtId="0" fontId="4" fillId="3" borderId="3" xfId="0" applyFont="1" applyFill="1" applyBorder="1" applyAlignment="1" applyProtection="1">
      <alignment horizontal="left" vertical="center" indent="1"/>
      <protection hidden="1"/>
    </xf>
    <xf numFmtId="164" fontId="4" fillId="3" borderId="3" xfId="0" applyNumberFormat="1" applyFont="1" applyFill="1" applyBorder="1" applyAlignment="1" applyProtection="1">
      <alignment horizontal="left" vertical="center" indent="1"/>
      <protection hidden="1"/>
    </xf>
    <xf numFmtId="0" fontId="4" fillId="3" borderId="5" xfId="0" applyFont="1" applyFill="1" applyBorder="1" applyProtection="1">
      <protection hidden="1"/>
    </xf>
    <xf numFmtId="164" fontId="4" fillId="3" borderId="5" xfId="0" applyNumberFormat="1" applyFont="1" applyFill="1" applyBorder="1" applyAlignment="1" applyProtection="1">
      <alignment horizontal="center"/>
      <protection hidden="1"/>
    </xf>
    <xf numFmtId="165" fontId="4" fillId="3" borderId="5" xfId="0" applyNumberFormat="1" applyFont="1" applyFill="1" applyBorder="1" applyAlignment="1" applyProtection="1">
      <alignment horizontal="center"/>
      <protection hidden="1"/>
    </xf>
    <xf numFmtId="164" fontId="4" fillId="3" borderId="3" xfId="0" applyNumberFormat="1" applyFont="1" applyFill="1" applyBorder="1" applyAlignment="1" applyProtection="1">
      <alignment horizontal="center" vertical="center"/>
      <protection hidden="1"/>
    </xf>
    <xf numFmtId="165" fontId="4" fillId="3" borderId="3" xfId="0" applyNumberFormat="1" applyFont="1" applyFill="1" applyBorder="1" applyAlignment="1" applyProtection="1">
      <alignment horizontal="center" vertical="center"/>
      <protection hidden="1"/>
    </xf>
    <xf numFmtId="0" fontId="8" fillId="0" borderId="0" xfId="0" applyFont="1" applyFill="1" applyBorder="1" applyAlignment="1" applyProtection="1">
      <alignment vertical="center"/>
      <protection hidden="1"/>
    </xf>
    <xf numFmtId="164" fontId="8" fillId="0" borderId="0" xfId="0" applyNumberFormat="1" applyFont="1" applyFill="1" applyBorder="1" applyAlignment="1" applyProtection="1">
      <alignment horizontal="center" vertical="center"/>
      <protection hidden="1"/>
    </xf>
    <xf numFmtId="164" fontId="26" fillId="0" borderId="6" xfId="0" applyNumberFormat="1" applyFont="1" applyFill="1" applyBorder="1" applyAlignment="1" applyProtection="1">
      <alignment horizontal="center" vertical="center"/>
      <protection hidden="1"/>
    </xf>
    <xf numFmtId="164" fontId="26" fillId="0" borderId="7" xfId="0" applyNumberFormat="1" applyFont="1" applyFill="1" applyBorder="1" applyAlignment="1" applyProtection="1">
      <alignment horizontal="center" vertical="center"/>
      <protection hidden="1"/>
    </xf>
    <xf numFmtId="43" fontId="26" fillId="0" borderId="8" xfId="0" applyNumberFormat="1" applyFont="1" applyFill="1" applyBorder="1" applyAlignment="1" applyProtection="1">
      <alignment horizontal="center" vertical="center"/>
      <protection hidden="1"/>
    </xf>
    <xf numFmtId="0" fontId="8" fillId="0" borderId="0" xfId="0" applyFont="1" applyFill="1" applyBorder="1" applyAlignment="1" applyProtection="1">
      <alignment horizontal="left" vertical="center" indent="1"/>
      <protection hidden="1"/>
    </xf>
    <xf numFmtId="43" fontId="8" fillId="4" borderId="0" xfId="0" applyNumberFormat="1" applyFont="1" applyFill="1" applyBorder="1" applyAlignment="1" applyProtection="1">
      <alignment horizontal="center" vertical="center"/>
      <protection hidden="1"/>
    </xf>
    <xf numFmtId="0" fontId="8" fillId="0" borderId="0" xfId="0" applyFont="1" applyFill="1" applyBorder="1" applyProtection="1">
      <protection hidden="1"/>
    </xf>
    <xf numFmtId="164" fontId="8" fillId="0" borderId="0" xfId="0" applyNumberFormat="1" applyFont="1" applyFill="1" applyBorder="1" applyAlignment="1" applyProtection="1">
      <alignment horizontal="center"/>
      <protection hidden="1"/>
    </xf>
    <xf numFmtId="0" fontId="8" fillId="3" borderId="0" xfId="0" applyFont="1" applyFill="1" applyBorder="1" applyAlignment="1" applyProtection="1">
      <alignment horizontal="left" vertical="center" indent="1"/>
      <protection hidden="1"/>
    </xf>
    <xf numFmtId="0" fontId="8" fillId="3" borderId="0" xfId="0" applyFont="1" applyFill="1" applyBorder="1" applyAlignment="1" applyProtection="1">
      <alignment vertical="center"/>
      <protection hidden="1"/>
    </xf>
    <xf numFmtId="43" fontId="8" fillId="3" borderId="0" xfId="0" applyNumberFormat="1" applyFont="1" applyFill="1" applyBorder="1" applyAlignment="1" applyProtection="1">
      <alignment horizontal="center" vertical="center"/>
      <protection hidden="1"/>
    </xf>
    <xf numFmtId="0" fontId="3" fillId="0" borderId="0" xfId="0" applyFont="1" applyFill="1" applyBorder="1" applyAlignment="1" applyProtection="1">
      <protection hidden="1"/>
    </xf>
    <xf numFmtId="0" fontId="10" fillId="0" borderId="0" xfId="0" applyFont="1" applyFill="1" applyBorder="1" applyAlignment="1" applyProtection="1">
      <alignment horizontal="right"/>
      <protection hidden="1"/>
    </xf>
    <xf numFmtId="0" fontId="3" fillId="0" borderId="0" xfId="0" applyFont="1" applyFill="1" applyBorder="1" applyAlignment="1" applyProtection="1">
      <alignment horizontal="center"/>
      <protection hidden="1"/>
    </xf>
    <xf numFmtId="0" fontId="2" fillId="0" borderId="0" xfId="0" applyFont="1" applyFill="1" applyBorder="1" applyAlignment="1" applyProtection="1">
      <protection hidden="1"/>
    </xf>
    <xf numFmtId="166" fontId="4" fillId="0" borderId="0" xfId="0" applyNumberFormat="1" applyFont="1" applyFill="1" applyBorder="1" applyAlignment="1" applyProtection="1">
      <alignment horizontal="center"/>
      <protection hidden="1"/>
    </xf>
    <xf numFmtId="0" fontId="8" fillId="0" borderId="0" xfId="0" applyFont="1" applyFill="1" applyBorder="1" applyAlignment="1" applyProtection="1">
      <alignment horizontal="center"/>
      <protection hidden="1"/>
    </xf>
    <xf numFmtId="0" fontId="31" fillId="0" borderId="0" xfId="1" applyFont="1" applyFill="1" applyBorder="1" applyAlignment="1" applyProtection="1">
      <alignment horizontal="right"/>
      <protection hidden="1"/>
    </xf>
    <xf numFmtId="0" fontId="17" fillId="5" borderId="0" xfId="0" applyFont="1" applyFill="1" applyBorder="1" applyAlignment="1" applyProtection="1">
      <alignment horizontal="left" vertical="center" indent="1"/>
      <protection hidden="1"/>
    </xf>
    <xf numFmtId="0" fontId="32" fillId="0" borderId="0" xfId="0" applyFont="1" applyFill="1" applyBorder="1" applyAlignment="1" applyProtection="1">
      <alignment vertical="justify"/>
      <protection hidden="1"/>
    </xf>
    <xf numFmtId="166" fontId="8" fillId="0" borderId="0" xfId="0" applyNumberFormat="1" applyFont="1" applyFill="1" applyBorder="1" applyAlignment="1" applyProtection="1">
      <alignment horizontal="center"/>
      <protection hidden="1"/>
    </xf>
    <xf numFmtId="0" fontId="30" fillId="0" borderId="0" xfId="0" applyFont="1" applyFill="1" applyBorder="1" applyAlignment="1" applyProtection="1">
      <alignment horizontal="center"/>
      <protection hidden="1"/>
    </xf>
    <xf numFmtId="166" fontId="30" fillId="0" borderId="0" xfId="0" applyNumberFormat="1" applyFont="1" applyFill="1" applyBorder="1" applyAlignment="1" applyProtection="1">
      <alignment horizontal="center"/>
      <protection hidden="1"/>
    </xf>
    <xf numFmtId="164" fontId="10" fillId="0" borderId="0" xfId="0" applyNumberFormat="1" applyFont="1" applyFill="1" applyBorder="1" applyAlignment="1" applyProtection="1">
      <protection hidden="1"/>
    </xf>
    <xf numFmtId="166" fontId="10" fillId="0" borderId="0" xfId="0" applyNumberFormat="1" applyFont="1" applyFill="1" applyBorder="1" applyAlignment="1" applyProtection="1">
      <protection hidden="1"/>
    </xf>
    <xf numFmtId="164" fontId="30" fillId="0" borderId="0"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hidden="1"/>
    </xf>
    <xf numFmtId="166" fontId="8" fillId="0" borderId="0" xfId="0" applyNumberFormat="1" applyFont="1" applyFill="1" applyBorder="1" applyProtection="1">
      <protection hidden="1"/>
    </xf>
    <xf numFmtId="0" fontId="23" fillId="5" borderId="0" xfId="0" applyFont="1" applyFill="1" applyBorder="1" applyAlignment="1" applyProtection="1">
      <alignment horizontal="left" vertical="center" indent="1"/>
      <protection hidden="1"/>
    </xf>
    <xf numFmtId="0" fontId="23" fillId="5" borderId="0" xfId="0" applyFont="1" applyFill="1" applyBorder="1" applyAlignment="1" applyProtection="1">
      <alignment horizontal="center" vertical="center"/>
      <protection hidden="1"/>
    </xf>
    <xf numFmtId="0" fontId="10" fillId="0" borderId="0" xfId="0" applyFont="1" applyFill="1" applyBorder="1" applyAlignment="1" applyProtection="1">
      <alignment horizontal="left" vertical="center" indent="1"/>
      <protection hidden="1"/>
    </xf>
    <xf numFmtId="0" fontId="4" fillId="0" borderId="0" xfId="0" applyFont="1" applyFill="1" applyBorder="1" applyAlignment="1" applyProtection="1">
      <alignment horizontal="left" vertical="center" indent="1"/>
      <protection hidden="1"/>
    </xf>
    <xf numFmtId="0" fontId="8" fillId="3" borderId="3" xfId="0" applyFont="1" applyFill="1" applyBorder="1" applyAlignment="1" applyProtection="1">
      <alignment horizontal="left" vertical="center" indent="1"/>
      <protection hidden="1"/>
    </xf>
    <xf numFmtId="164" fontId="8" fillId="3" borderId="3" xfId="0" applyNumberFormat="1" applyFont="1" applyFill="1" applyBorder="1" applyAlignment="1" applyProtection="1">
      <alignment horizontal="left" vertical="center" indent="1"/>
      <protection hidden="1"/>
    </xf>
    <xf numFmtId="166" fontId="8" fillId="3" borderId="3" xfId="0" applyNumberFormat="1" applyFont="1" applyFill="1" applyBorder="1" applyAlignment="1" applyProtection="1">
      <alignment horizontal="left" vertical="center" indent="1"/>
      <protection hidden="1"/>
    </xf>
    <xf numFmtId="164" fontId="8" fillId="3" borderId="3" xfId="0" applyNumberFormat="1" applyFont="1" applyFill="1" applyBorder="1" applyAlignment="1" applyProtection="1">
      <alignment vertical="center"/>
      <protection hidden="1"/>
    </xf>
    <xf numFmtId="166" fontId="8" fillId="3" borderId="3" xfId="0" applyNumberFormat="1" applyFont="1" applyFill="1" applyBorder="1" applyAlignment="1" applyProtection="1">
      <alignment vertical="center"/>
      <protection hidden="1"/>
    </xf>
    <xf numFmtId="0" fontId="26" fillId="0" borderId="0" xfId="0" applyFont="1" applyFill="1" applyBorder="1" applyAlignment="1" applyProtection="1">
      <alignment horizontal="center" vertical="center"/>
      <protection hidden="1"/>
    </xf>
    <xf numFmtId="0" fontId="8" fillId="3" borderId="5" xfId="0" applyFont="1" applyFill="1" applyBorder="1" applyProtection="1">
      <protection hidden="1"/>
    </xf>
    <xf numFmtId="0" fontId="4" fillId="3" borderId="5" xfId="0" applyFont="1" applyFill="1" applyBorder="1" applyAlignment="1" applyProtection="1">
      <alignment horizontal="center"/>
      <protection hidden="1"/>
    </xf>
    <xf numFmtId="166" fontId="4" fillId="3" borderId="5" xfId="0" applyNumberFormat="1" applyFont="1" applyFill="1" applyBorder="1" applyAlignment="1" applyProtection="1">
      <alignment horizontal="center"/>
      <protection hidden="1"/>
    </xf>
    <xf numFmtId="43" fontId="8" fillId="0" borderId="0" xfId="0" applyNumberFormat="1" applyFont="1" applyFill="1" applyBorder="1" applyAlignment="1" applyProtection="1">
      <alignment vertical="center"/>
      <protection hidden="1"/>
    </xf>
    <xf numFmtId="169" fontId="8" fillId="0" borderId="0" xfId="0" applyNumberFormat="1" applyFont="1" applyFill="1" applyBorder="1" applyAlignment="1" applyProtection="1">
      <alignment vertical="center"/>
      <protection hidden="1"/>
    </xf>
    <xf numFmtId="43" fontId="8" fillId="4" borderId="0" xfId="0" applyNumberFormat="1" applyFont="1" applyFill="1" applyBorder="1" applyAlignment="1" applyProtection="1">
      <alignment vertical="center"/>
      <protection hidden="1"/>
    </xf>
    <xf numFmtId="0" fontId="25" fillId="0" borderId="0" xfId="0" applyFont="1" applyFill="1" applyBorder="1" applyAlignment="1" applyProtection="1">
      <alignment horizontal="right" vertical="center"/>
      <protection hidden="1"/>
    </xf>
    <xf numFmtId="0" fontId="8" fillId="0" borderId="0" xfId="0" applyFont="1" applyFill="1" applyBorder="1" applyAlignment="1" applyProtection="1">
      <alignment horizontal="left" vertical="center" indent="1"/>
      <protection locked="0"/>
    </xf>
    <xf numFmtId="0" fontId="8" fillId="0" borderId="0" xfId="0" applyFont="1" applyFill="1" applyBorder="1" applyProtection="1">
      <protection locked="0"/>
    </xf>
    <xf numFmtId="0" fontId="8" fillId="0" borderId="0" xfId="0" applyFont="1" applyFill="1" applyBorder="1" applyAlignment="1" applyProtection="1">
      <alignment horizontal="center"/>
      <protection locked="0"/>
    </xf>
    <xf numFmtId="0" fontId="8" fillId="0" borderId="0" xfId="0" applyFont="1" applyFill="1" applyBorder="1" applyAlignment="1" applyProtection="1">
      <alignment horizontal="center" vertical="center"/>
      <protection locked="0"/>
    </xf>
    <xf numFmtId="0" fontId="26" fillId="0" borderId="1" xfId="0" applyFont="1" applyFill="1" applyBorder="1" applyAlignment="1" applyProtection="1">
      <alignment horizontal="left" vertical="center" indent="1"/>
      <protection locked="0"/>
    </xf>
    <xf numFmtId="43" fontId="26" fillId="0" borderId="9" xfId="0" applyNumberFormat="1" applyFont="1" applyFill="1" applyBorder="1" applyAlignment="1" applyProtection="1">
      <alignment horizontal="center" vertical="center"/>
      <protection locked="0"/>
    </xf>
    <xf numFmtId="0" fontId="26" fillId="4" borderId="0" xfId="0" applyFont="1" applyFill="1" applyBorder="1" applyAlignment="1" applyProtection="1">
      <alignment horizontal="center" vertical="center"/>
      <protection locked="0"/>
    </xf>
    <xf numFmtId="164" fontId="26" fillId="0" borderId="1" xfId="0" applyNumberFormat="1" applyFont="1" applyFill="1" applyBorder="1" applyAlignment="1" applyProtection="1">
      <alignment horizontal="center" vertical="center"/>
      <protection locked="0"/>
    </xf>
    <xf numFmtId="43" fontId="26" fillId="4" borderId="0" xfId="0" applyNumberFormat="1" applyFont="1" applyFill="1" applyBorder="1" applyAlignment="1" applyProtection="1">
      <alignment horizontal="center" vertical="center"/>
      <protection locked="0"/>
    </xf>
    <xf numFmtId="165" fontId="26" fillId="4" borderId="0" xfId="0" applyNumberFormat="1" applyFont="1" applyFill="1" applyBorder="1" applyAlignment="1" applyProtection="1">
      <alignment horizontal="center" vertical="center"/>
      <protection locked="0"/>
    </xf>
    <xf numFmtId="0" fontId="4" fillId="0" borderId="0" xfId="0" applyFont="1" applyFill="1" applyBorder="1" applyAlignment="1" applyProtection="1">
      <alignment horizontal="center"/>
      <protection locked="0"/>
    </xf>
    <xf numFmtId="0" fontId="26" fillId="0" borderId="6" xfId="0" applyFont="1" applyFill="1" applyBorder="1" applyAlignment="1" applyProtection="1">
      <alignment horizontal="center" vertical="center"/>
      <protection hidden="1"/>
    </xf>
    <xf numFmtId="43" fontId="26" fillId="0" borderId="9" xfId="0" applyNumberFormat="1" applyFont="1" applyFill="1" applyBorder="1" applyAlignment="1" applyProtection="1">
      <alignment horizontal="center" vertical="center"/>
      <protection hidden="1"/>
    </xf>
    <xf numFmtId="0" fontId="24" fillId="5" borderId="0" xfId="0" applyFont="1" applyFill="1" applyBorder="1" applyAlignment="1" applyProtection="1">
      <alignment horizontal="left" vertical="center"/>
      <protection hidden="1"/>
    </xf>
    <xf numFmtId="0" fontId="33" fillId="5" borderId="0" xfId="0" applyFont="1" applyFill="1" applyBorder="1" applyAlignment="1" applyProtection="1">
      <alignment horizontal="left" vertical="center" indent="1"/>
      <protection hidden="1"/>
    </xf>
    <xf numFmtId="0" fontId="33" fillId="5" borderId="0" xfId="0" applyFont="1" applyFill="1" applyBorder="1" applyAlignment="1" applyProtection="1">
      <alignment vertical="center"/>
      <protection hidden="1"/>
    </xf>
    <xf numFmtId="0" fontId="9" fillId="5" borderId="0" xfId="0" applyFont="1" applyFill="1" applyBorder="1" applyAlignment="1" applyProtection="1">
      <alignment vertical="center"/>
      <protection hidden="1"/>
    </xf>
    <xf numFmtId="0" fontId="14" fillId="0" borderId="0" xfId="0" applyFont="1" applyFill="1" applyBorder="1" applyAlignment="1" applyProtection="1">
      <alignment vertical="center"/>
      <protection hidden="1"/>
    </xf>
    <xf numFmtId="0" fontId="13" fillId="0" borderId="0" xfId="0" applyFont="1" applyFill="1" applyBorder="1" applyAlignment="1" applyProtection="1">
      <alignment horizontal="left" vertical="center" indent="1"/>
      <protection hidden="1"/>
    </xf>
    <xf numFmtId="0" fontId="13" fillId="0" borderId="0" xfId="0" applyFont="1" applyFill="1" applyBorder="1" applyAlignment="1" applyProtection="1">
      <alignment vertical="center"/>
      <protection hidden="1"/>
    </xf>
    <xf numFmtId="0" fontId="3" fillId="0" borderId="0" xfId="0" applyFont="1" applyFill="1" applyBorder="1" applyAlignment="1" applyProtection="1">
      <alignment horizontal="left" vertical="center" indent="1"/>
      <protection hidden="1"/>
    </xf>
    <xf numFmtId="0" fontId="15" fillId="0" borderId="0" xfId="1" applyFont="1" applyFill="1" applyBorder="1" applyAlignment="1" applyProtection="1">
      <alignment horizontal="left" vertical="center" indent="1"/>
      <protection hidden="1"/>
    </xf>
    <xf numFmtId="0" fontId="3" fillId="0" borderId="0" xfId="0" applyFont="1" applyFill="1" applyBorder="1" applyAlignment="1" applyProtection="1">
      <alignment horizontal="right"/>
      <protection hidden="1"/>
    </xf>
    <xf numFmtId="0" fontId="35" fillId="0" borderId="0" xfId="0" applyFont="1" applyFill="1" applyBorder="1" applyAlignment="1">
      <alignment vertical="center"/>
    </xf>
    <xf numFmtId="0" fontId="36" fillId="0" borderId="0" xfId="0" applyFont="1" applyFill="1" applyBorder="1" applyAlignment="1"/>
    <xf numFmtId="0" fontId="8" fillId="0" borderId="0" xfId="0" applyFont="1" applyFill="1" applyBorder="1" applyAlignment="1" applyProtection="1">
      <alignment horizontal="right"/>
      <protection hidden="1"/>
    </xf>
    <xf numFmtId="0" fontId="17" fillId="5" borderId="0" xfId="0" applyFont="1" applyFill="1" applyBorder="1" applyAlignment="1" applyProtection="1">
      <alignment vertical="center"/>
      <protection hidden="1"/>
    </xf>
    <xf numFmtId="0" fontId="9" fillId="0" borderId="0" xfId="0" applyFont="1" applyFill="1" applyBorder="1" applyProtection="1">
      <protection hidden="1"/>
    </xf>
    <xf numFmtId="0" fontId="9" fillId="0" borderId="0" xfId="0" applyFont="1" applyFill="1" applyBorder="1" applyAlignment="1" applyProtection="1">
      <alignment horizontal="left" vertical="center" indent="1"/>
      <protection hidden="1"/>
    </xf>
    <xf numFmtId="0" fontId="9" fillId="0" borderId="0" xfId="0" applyFont="1" applyFill="1" applyBorder="1" applyAlignment="1" applyProtection="1">
      <alignment horizontal="center"/>
      <protection hidden="1"/>
    </xf>
    <xf numFmtId="0" fontId="16" fillId="0" borderId="0" xfId="0" applyFont="1" applyFill="1" applyBorder="1" applyAlignment="1" applyProtection="1">
      <alignment horizontal="left" vertical="center"/>
      <protection hidden="1"/>
    </xf>
    <xf numFmtId="0" fontId="16" fillId="0" borderId="0" xfId="0" applyFont="1" applyFill="1" applyBorder="1" applyAlignment="1" applyProtection="1">
      <alignment horizontal="center" vertical="center"/>
      <protection hidden="1"/>
    </xf>
    <xf numFmtId="0" fontId="4" fillId="3" borderId="3" xfId="0" applyFont="1" applyFill="1" applyBorder="1" applyAlignment="1" applyProtection="1">
      <alignment horizontal="left" vertical="center"/>
      <protection hidden="1"/>
    </xf>
    <xf numFmtId="0" fontId="4" fillId="3" borderId="3" xfId="0" applyFont="1" applyFill="1" applyBorder="1" applyAlignment="1" applyProtection="1">
      <alignment horizontal="center" vertical="center"/>
      <protection hidden="1"/>
    </xf>
    <xf numFmtId="0" fontId="4" fillId="3" borderId="5" xfId="0" applyFont="1" applyFill="1" applyBorder="1" applyAlignment="1" applyProtection="1">
      <alignment horizontal="left" vertical="center" indent="1"/>
      <protection hidden="1"/>
    </xf>
    <xf numFmtId="0" fontId="2" fillId="0" borderId="0" xfId="0" applyFont="1" applyFill="1" applyBorder="1" applyAlignment="1" applyProtection="1">
      <alignment vertical="center"/>
      <protection hidden="1"/>
    </xf>
    <xf numFmtId="0" fontId="27" fillId="0" borderId="0" xfId="0" applyFont="1" applyFill="1" applyBorder="1" applyAlignment="1" applyProtection="1">
      <alignment vertical="center"/>
      <protection hidden="1"/>
    </xf>
    <xf numFmtId="0" fontId="10" fillId="0" borderId="0" xfId="0" applyFont="1" applyFill="1" applyBorder="1" applyAlignment="1" applyProtection="1">
      <alignment horizontal="left" vertical="center"/>
      <protection hidden="1"/>
    </xf>
    <xf numFmtId="0" fontId="10" fillId="0" borderId="0" xfId="0" applyFont="1" applyFill="1" applyBorder="1" applyAlignment="1" applyProtection="1">
      <alignment horizontal="center" vertical="center"/>
      <protection hidden="1"/>
    </xf>
    <xf numFmtId="0" fontId="9" fillId="0" borderId="0" xfId="0" applyFont="1" applyFill="1" applyBorder="1" applyAlignment="1" applyProtection="1">
      <alignment horizontal="left" vertical="center"/>
      <protection hidden="1"/>
    </xf>
    <xf numFmtId="0" fontId="9" fillId="0" borderId="0" xfId="0" applyFont="1" applyFill="1" applyBorder="1" applyAlignment="1" applyProtection="1">
      <alignment horizontal="center" vertical="center"/>
      <protection hidden="1"/>
    </xf>
    <xf numFmtId="0" fontId="16" fillId="0" borderId="0" xfId="0" applyFont="1" applyFill="1" applyBorder="1" applyAlignment="1" applyProtection="1">
      <alignment horizontal="left"/>
      <protection hidden="1"/>
    </xf>
    <xf numFmtId="0" fontId="16" fillId="0" borderId="0" xfId="0" applyFont="1" applyFill="1" applyBorder="1" applyAlignment="1" applyProtection="1">
      <alignment horizontal="center"/>
      <protection hidden="1"/>
    </xf>
    <xf numFmtId="0" fontId="2" fillId="5" borderId="0" xfId="0" applyFont="1" applyFill="1" applyBorder="1" applyAlignment="1" applyProtection="1">
      <alignment vertical="center"/>
      <protection hidden="1"/>
    </xf>
    <xf numFmtId="0" fontId="8" fillId="0" borderId="0" xfId="0" applyNumberFormat="1" applyFont="1" applyFill="1" applyBorder="1" applyProtection="1">
      <protection hidden="1"/>
    </xf>
    <xf numFmtId="0" fontId="22" fillId="0" borderId="0" xfId="0" applyFont="1" applyFill="1" applyBorder="1" applyAlignment="1" applyProtection="1">
      <alignment horizontal="left" vertical="center" indent="1"/>
      <protection hidden="1"/>
    </xf>
    <xf numFmtId="0" fontId="22" fillId="0" borderId="0" xfId="0" applyFont="1" applyFill="1" applyBorder="1" applyAlignment="1" applyProtection="1">
      <alignment vertical="center"/>
      <protection hidden="1"/>
    </xf>
    <xf numFmtId="0" fontId="8" fillId="0" borderId="0" xfId="0" applyNumberFormat="1" applyFont="1" applyFill="1" applyBorder="1" applyAlignment="1" applyProtection="1">
      <alignment vertical="center"/>
      <protection hidden="1"/>
    </xf>
    <xf numFmtId="0" fontId="8" fillId="0" borderId="4" xfId="0" applyFont="1" applyFill="1" applyBorder="1" applyAlignment="1" applyProtection="1">
      <alignment horizontal="center" vertical="center"/>
      <protection hidden="1"/>
    </xf>
    <xf numFmtId="165" fontId="22" fillId="0" borderId="0" xfId="0" applyNumberFormat="1" applyFont="1" applyFill="1" applyBorder="1" applyAlignment="1" applyProtection="1">
      <alignment vertical="center"/>
      <protection hidden="1"/>
    </xf>
    <xf numFmtId="43" fontId="22" fillId="0" borderId="0" xfId="0" applyNumberFormat="1" applyFont="1" applyFill="1" applyBorder="1" applyAlignment="1" applyProtection="1">
      <alignment vertical="center"/>
      <protection hidden="1"/>
    </xf>
    <xf numFmtId="0" fontId="3" fillId="3" borderId="3" xfId="0" applyFont="1" applyFill="1" applyBorder="1" applyAlignment="1" applyProtection="1">
      <alignment horizontal="left" vertical="center" indent="1"/>
      <protection hidden="1"/>
    </xf>
    <xf numFmtId="0" fontId="3" fillId="3" borderId="3" xfId="0" applyFont="1" applyFill="1" applyBorder="1" applyAlignment="1" applyProtection="1">
      <alignment vertical="center"/>
      <protection hidden="1"/>
    </xf>
    <xf numFmtId="0" fontId="3" fillId="0" borderId="0" xfId="0" applyFont="1" applyFill="1" applyBorder="1" applyAlignment="1" applyProtection="1">
      <alignment vertical="center"/>
      <protection hidden="1"/>
    </xf>
    <xf numFmtId="0" fontId="22" fillId="0" borderId="0" xfId="0" applyNumberFormat="1" applyFont="1" applyFill="1" applyBorder="1" applyAlignment="1" applyProtection="1">
      <alignment vertical="center"/>
      <protection hidden="1"/>
    </xf>
    <xf numFmtId="0" fontId="7" fillId="0" borderId="0" xfId="0" applyFont="1" applyFill="1" applyBorder="1" applyAlignment="1" applyProtection="1">
      <alignment vertical="center"/>
      <protection hidden="1"/>
    </xf>
    <xf numFmtId="166" fontId="8" fillId="0" borderId="0" xfId="0" applyNumberFormat="1" applyFont="1" applyFill="1" applyBorder="1" applyAlignment="1" applyProtection="1">
      <alignment vertical="center"/>
      <protection hidden="1"/>
    </xf>
    <xf numFmtId="166" fontId="7" fillId="0" borderId="0" xfId="0" applyNumberFormat="1" applyFont="1" applyFill="1" applyBorder="1" applyAlignment="1" applyProtection="1">
      <alignment vertical="center"/>
      <protection hidden="1"/>
    </xf>
    <xf numFmtId="0" fontId="8" fillId="4" borderId="0" xfId="0" applyFont="1" applyFill="1" applyBorder="1" applyAlignment="1" applyProtection="1">
      <alignment horizontal="center" vertical="center"/>
      <protection hidden="1"/>
    </xf>
    <xf numFmtId="43" fontId="8" fillId="0" borderId="9" xfId="0" applyNumberFormat="1" applyFont="1" applyFill="1" applyBorder="1" applyAlignment="1" applyProtection="1">
      <alignment vertical="center"/>
      <protection locked="0"/>
    </xf>
    <xf numFmtId="0" fontId="33" fillId="0" borderId="0" xfId="0" applyFont="1" applyFill="1" applyBorder="1" applyAlignment="1" applyProtection="1">
      <alignment vertical="center"/>
      <protection hidden="1"/>
    </xf>
    <xf numFmtId="0" fontId="9" fillId="0" borderId="0" xfId="0" applyFont="1" applyFill="1" applyBorder="1" applyAlignment="1" applyProtection="1">
      <alignment vertical="center"/>
      <protection hidden="1"/>
    </xf>
    <xf numFmtId="0" fontId="24" fillId="0" borderId="0" xfId="0" applyFont="1" applyFill="1" applyBorder="1" applyAlignment="1" applyProtection="1">
      <alignment horizontal="left" vertical="center" indent="1"/>
      <protection hidden="1"/>
    </xf>
    <xf numFmtId="0" fontId="24" fillId="0" borderId="0" xfId="0" applyFont="1" applyFill="1" applyBorder="1" applyAlignment="1" applyProtection="1">
      <protection hidden="1"/>
    </xf>
    <xf numFmtId="0" fontId="15" fillId="0" borderId="0" xfId="1" applyFont="1" applyFill="1" applyBorder="1" applyAlignment="1" applyProtection="1">
      <alignment horizontal="right"/>
      <protection hidden="1"/>
    </xf>
    <xf numFmtId="0" fontId="29" fillId="0" borderId="0" xfId="0" applyFont="1" applyFill="1" applyBorder="1" applyAlignment="1" applyProtection="1">
      <alignment vertical="justify"/>
      <protection hidden="1"/>
    </xf>
    <xf numFmtId="0" fontId="29" fillId="0" borderId="0" xfId="0" applyFont="1" applyFill="1" applyBorder="1" applyAlignment="1" applyProtection="1">
      <alignment horizontal="left" vertical="center" indent="1"/>
      <protection hidden="1"/>
    </xf>
    <xf numFmtId="0" fontId="16" fillId="0" borderId="0" xfId="0" applyFont="1" applyFill="1" applyBorder="1" applyProtection="1">
      <protection hidden="1"/>
    </xf>
    <xf numFmtId="0" fontId="16" fillId="0" borderId="0" xfId="0" applyFont="1" applyFill="1" applyBorder="1" applyAlignment="1" applyProtection="1">
      <alignment horizontal="left" vertical="center" indent="1"/>
      <protection hidden="1"/>
    </xf>
    <xf numFmtId="0" fontId="10" fillId="0" borderId="0" xfId="0" applyFont="1" applyFill="1" applyBorder="1" applyAlignment="1" applyProtection="1">
      <alignment horizontal="center"/>
      <protection hidden="1"/>
    </xf>
    <xf numFmtId="0" fontId="30" fillId="0" borderId="0" xfId="0" applyFont="1" applyFill="1" applyBorder="1" applyAlignment="1" applyProtection="1">
      <alignment horizontal="left" vertical="center" indent="1"/>
      <protection hidden="1"/>
    </xf>
    <xf numFmtId="164" fontId="30" fillId="0" borderId="0" xfId="0" applyNumberFormat="1" applyFont="1" applyFill="1" applyBorder="1" applyAlignment="1" applyProtection="1">
      <alignment horizontal="center" vertical="center"/>
      <protection hidden="1"/>
    </xf>
    <xf numFmtId="0" fontId="30" fillId="0" borderId="0" xfId="0" applyFont="1" applyFill="1" applyBorder="1" applyAlignment="1" applyProtection="1">
      <alignment horizontal="center" vertical="center"/>
      <protection hidden="1"/>
    </xf>
    <xf numFmtId="164" fontId="10" fillId="0" borderId="0" xfId="0" applyNumberFormat="1" applyFont="1" applyFill="1" applyBorder="1" applyAlignment="1" applyProtection="1">
      <alignment horizontal="center"/>
      <protection hidden="1"/>
    </xf>
    <xf numFmtId="164" fontId="26" fillId="4" borderId="6" xfId="0" applyNumberFormat="1" applyFont="1" applyFill="1" applyBorder="1" applyAlignment="1" applyProtection="1">
      <alignment horizontal="left" vertical="center" indent="1"/>
      <protection hidden="1"/>
    </xf>
    <xf numFmtId="164" fontId="10" fillId="0" borderId="0" xfId="0" applyNumberFormat="1" applyFont="1" applyFill="1" applyBorder="1" applyAlignment="1" applyProtection="1">
      <alignment horizontal="center" vertical="center"/>
      <protection hidden="1"/>
    </xf>
    <xf numFmtId="0" fontId="8" fillId="3" borderId="5" xfId="0" applyFont="1" applyFill="1" applyBorder="1" applyAlignment="1" applyProtection="1">
      <alignment horizontal="center" vertical="center"/>
      <protection hidden="1"/>
    </xf>
    <xf numFmtId="165" fontId="4" fillId="0" borderId="0" xfId="0" applyNumberFormat="1" applyFont="1" applyFill="1" applyBorder="1" applyAlignment="1" applyProtection="1">
      <alignment horizontal="center" vertical="center"/>
      <protection hidden="1"/>
    </xf>
    <xf numFmtId="164" fontId="26" fillId="4" borderId="7" xfId="0" applyNumberFormat="1" applyFont="1" applyFill="1" applyBorder="1" applyAlignment="1" applyProtection="1">
      <alignment horizontal="left" vertical="center" indent="1"/>
      <protection hidden="1"/>
    </xf>
    <xf numFmtId="0" fontId="4" fillId="0" borderId="0" xfId="0" applyFont="1" applyFill="1" applyBorder="1" applyAlignment="1" applyProtection="1">
      <alignment horizontal="center" vertical="center"/>
      <protection hidden="1"/>
    </xf>
    <xf numFmtId="164" fontId="4" fillId="0" borderId="0" xfId="0" applyNumberFormat="1" applyFont="1" applyFill="1" applyBorder="1" applyAlignment="1" applyProtection="1">
      <alignment horizontal="center" vertical="center"/>
      <protection hidden="1"/>
    </xf>
    <xf numFmtId="0" fontId="26" fillId="4" borderId="0" xfId="0" applyFont="1" applyFill="1" applyBorder="1" applyAlignment="1" applyProtection="1">
      <alignment horizontal="center" vertical="center"/>
      <protection hidden="1"/>
    </xf>
    <xf numFmtId="164" fontId="26" fillId="4" borderId="0" xfId="0" applyNumberFormat="1" applyFont="1" applyFill="1" applyBorder="1" applyAlignment="1" applyProtection="1">
      <alignment horizontal="left" vertical="center" indent="1"/>
      <protection hidden="1"/>
    </xf>
    <xf numFmtId="0" fontId="8" fillId="3" borderId="5" xfId="0" applyFont="1" applyFill="1" applyBorder="1" applyAlignment="1" applyProtection="1">
      <alignment horizontal="left" vertical="center" indent="1"/>
      <protection hidden="1"/>
    </xf>
    <xf numFmtId="0" fontId="4" fillId="3" borderId="5" xfId="0" applyFont="1" applyFill="1" applyBorder="1" applyAlignment="1" applyProtection="1">
      <alignment horizontal="center" vertical="center"/>
      <protection hidden="1"/>
    </xf>
    <xf numFmtId="0" fontId="4" fillId="3" borderId="3" xfId="0" applyFont="1" applyFill="1" applyBorder="1" applyAlignment="1" applyProtection="1">
      <alignment horizontal="center"/>
      <protection hidden="1"/>
    </xf>
    <xf numFmtId="164" fontId="8" fillId="3" borderId="3" xfId="0" applyNumberFormat="1" applyFont="1" applyFill="1" applyBorder="1" applyAlignment="1" applyProtection="1">
      <alignment horizontal="center"/>
      <protection hidden="1"/>
    </xf>
    <xf numFmtId="0" fontId="28" fillId="0" borderId="0" xfId="0" applyFont="1" applyFill="1" applyBorder="1" applyAlignment="1" applyProtection="1">
      <alignment horizontal="center" vertical="center"/>
      <protection hidden="1"/>
    </xf>
    <xf numFmtId="0" fontId="8" fillId="0" borderId="0" xfId="0" applyFont="1" applyFill="1" applyBorder="1" applyAlignment="1" applyProtection="1">
      <alignment horizontal="left" vertical="center"/>
      <protection hidden="1"/>
    </xf>
    <xf numFmtId="43" fontId="8" fillId="0" borderId="0" xfId="0" applyNumberFormat="1" applyFont="1" applyFill="1" applyBorder="1" applyProtection="1">
      <protection hidden="1"/>
    </xf>
    <xf numFmtId="0" fontId="10" fillId="3" borderId="0" xfId="0" applyFont="1" applyFill="1" applyBorder="1" applyAlignment="1" applyProtection="1">
      <alignment horizontal="left" vertical="center" indent="1"/>
      <protection hidden="1"/>
    </xf>
    <xf numFmtId="0" fontId="10" fillId="3" borderId="0" xfId="0" applyFont="1" applyFill="1" applyBorder="1" applyAlignment="1" applyProtection="1">
      <alignment horizontal="left" vertical="center"/>
      <protection hidden="1"/>
    </xf>
    <xf numFmtId="0" fontId="10" fillId="3" borderId="0" xfId="0" applyFont="1" applyFill="1" applyBorder="1" applyAlignment="1" applyProtection="1">
      <alignment vertical="center"/>
      <protection hidden="1"/>
    </xf>
    <xf numFmtId="164" fontId="28" fillId="3" borderId="0" xfId="0" applyNumberFormat="1" applyFont="1" applyFill="1" applyBorder="1" applyAlignment="1" applyProtection="1">
      <alignment horizontal="center" vertical="center"/>
      <protection hidden="1"/>
    </xf>
    <xf numFmtId="0" fontId="28" fillId="3" borderId="0" xfId="0" applyFont="1" applyFill="1" applyBorder="1" applyAlignment="1" applyProtection="1">
      <alignment horizontal="center" vertical="center"/>
      <protection hidden="1"/>
    </xf>
    <xf numFmtId="0" fontId="8" fillId="3" borderId="5" xfId="0" applyFont="1" applyFill="1" applyBorder="1" applyAlignment="1" applyProtection="1">
      <alignment horizontal="center"/>
      <protection hidden="1"/>
    </xf>
    <xf numFmtId="164" fontId="26" fillId="0" borderId="1" xfId="0" applyNumberFormat="1" applyFont="1" applyFill="1" applyBorder="1" applyAlignment="1" applyProtection="1">
      <alignment horizontal="left" vertical="center" indent="1"/>
      <protection locked="0"/>
    </xf>
    <xf numFmtId="0" fontId="8" fillId="5" borderId="0" xfId="0" applyFont="1" applyFill="1" applyBorder="1" applyAlignment="1" applyProtection="1">
      <alignment vertical="center"/>
      <protection hidden="1"/>
    </xf>
    <xf numFmtId="0" fontId="8" fillId="5" borderId="0" xfId="0" applyFont="1" applyFill="1" applyBorder="1" applyAlignment="1" applyProtection="1">
      <alignment horizontal="left" vertical="center" indent="1"/>
      <protection hidden="1"/>
    </xf>
    <xf numFmtId="0" fontId="23" fillId="0" borderId="0" xfId="0" applyFont="1" applyFill="1" applyBorder="1" applyAlignment="1" applyProtection="1">
      <alignment horizontal="left" vertical="center" indent="1"/>
      <protection hidden="1"/>
    </xf>
    <xf numFmtId="164" fontId="8" fillId="0" borderId="0" xfId="0" applyNumberFormat="1" applyFont="1" applyFill="1" applyBorder="1" applyAlignment="1" applyProtection="1">
      <alignment horizontal="left" vertical="center" indent="1"/>
      <protection hidden="1"/>
    </xf>
    <xf numFmtId="164" fontId="26" fillId="0" borderId="6" xfId="0" applyNumberFormat="1" applyFont="1" applyFill="1" applyBorder="1" applyAlignment="1" applyProtection="1">
      <alignment horizontal="left" vertical="center" indent="1"/>
      <protection hidden="1"/>
    </xf>
    <xf numFmtId="0" fontId="10" fillId="0" borderId="0" xfId="0" applyFont="1" applyFill="1" applyBorder="1" applyProtection="1">
      <protection hidden="1"/>
    </xf>
    <xf numFmtId="0" fontId="30" fillId="0" borderId="0" xfId="0" applyFont="1" applyFill="1" applyBorder="1" applyProtection="1">
      <protection hidden="1"/>
    </xf>
    <xf numFmtId="0" fontId="26" fillId="0" borderId="0" xfId="0" applyFont="1" applyFill="1" applyBorder="1" applyProtection="1">
      <protection hidden="1"/>
    </xf>
    <xf numFmtId="164" fontId="8" fillId="3" borderId="5" xfId="0" applyNumberFormat="1" applyFont="1" applyFill="1" applyBorder="1" applyAlignment="1" applyProtection="1">
      <alignment horizontal="center" vertical="center"/>
      <protection hidden="1"/>
    </xf>
    <xf numFmtId="164" fontId="8" fillId="3" borderId="5" xfId="0" applyNumberFormat="1" applyFont="1" applyFill="1" applyBorder="1" applyAlignment="1" applyProtection="1">
      <alignment horizontal="left" vertical="center" indent="1"/>
      <protection hidden="1"/>
    </xf>
    <xf numFmtId="164" fontId="8" fillId="4" borderId="0" xfId="0" applyNumberFormat="1" applyFont="1" applyFill="1" applyBorder="1" applyAlignment="1" applyProtection="1">
      <alignment horizontal="center" vertical="center"/>
      <protection hidden="1"/>
    </xf>
    <xf numFmtId="164" fontId="10" fillId="3" borderId="0" xfId="0" applyNumberFormat="1" applyFont="1" applyFill="1" applyBorder="1" applyAlignment="1" applyProtection="1">
      <alignment horizontal="center" vertical="center"/>
      <protection hidden="1"/>
    </xf>
    <xf numFmtId="165" fontId="10" fillId="3" borderId="0" xfId="0" applyNumberFormat="1" applyFont="1" applyFill="1" applyBorder="1" applyAlignment="1" applyProtection="1">
      <alignment horizontal="center" vertical="center"/>
      <protection hidden="1"/>
    </xf>
    <xf numFmtId="167" fontId="26" fillId="0" borderId="1" xfId="0" applyNumberFormat="1" applyFont="1" applyFill="1" applyBorder="1" applyAlignment="1" applyProtection="1">
      <alignment horizontal="center" vertical="center"/>
      <protection locked="0"/>
    </xf>
    <xf numFmtId="0" fontId="0" fillId="0" borderId="0" xfId="0" applyFill="1" applyBorder="1"/>
    <xf numFmtId="2" fontId="0" fillId="0" borderId="0" xfId="0" applyNumberFormat="1" applyFill="1" applyBorder="1"/>
    <xf numFmtId="0" fontId="0" fillId="0" borderId="0" xfId="0" applyFill="1" applyBorder="1" applyAlignment="1"/>
    <xf numFmtId="0" fontId="0" fillId="0" borderId="0" xfId="0" applyFill="1" applyBorder="1" applyAlignment="1">
      <alignment horizontal="right"/>
    </xf>
    <xf numFmtId="0" fontId="6" fillId="0" borderId="0" xfId="1" applyFill="1" applyBorder="1" applyAlignment="1" applyProtection="1"/>
    <xf numFmtId="0" fontId="37" fillId="0" borderId="0" xfId="0" applyFont="1" applyFill="1" applyBorder="1" applyAlignment="1">
      <alignment horizontal="right" readingOrder="1"/>
    </xf>
    <xf numFmtId="0" fontId="0" fillId="0" borderId="0" xfId="0" applyBorder="1"/>
    <xf numFmtId="0" fontId="0" fillId="0" borderId="0" xfId="0" applyFill="1" applyBorder="1" applyAlignment="1">
      <alignment horizontal="left"/>
    </xf>
    <xf numFmtId="0" fontId="38" fillId="0" borderId="0" xfId="0" applyFont="1" applyFill="1" applyBorder="1" applyAlignment="1">
      <alignment horizontal="left"/>
    </xf>
    <xf numFmtId="0" fontId="39" fillId="0" borderId="0" xfId="0" applyFont="1" applyFill="1" applyBorder="1" applyAlignment="1">
      <alignment horizontal="left"/>
    </xf>
    <xf numFmtId="0" fontId="41" fillId="0" borderId="0" xfId="0" applyFont="1" applyFill="1" applyBorder="1"/>
    <xf numFmtId="0" fontId="42" fillId="0" borderId="0" xfId="0" applyFont="1" applyFill="1" applyBorder="1" applyAlignment="1">
      <alignment horizontal="left"/>
    </xf>
    <xf numFmtId="0" fontId="42" fillId="0" borderId="0" xfId="0" applyFont="1" applyFill="1" applyBorder="1"/>
    <xf numFmtId="0" fontId="0" fillId="6" borderId="0" xfId="0" applyFill="1" applyBorder="1" applyAlignment="1">
      <alignment horizontal="left"/>
    </xf>
    <xf numFmtId="0" fontId="43" fillId="0" borderId="0" xfId="0" applyFont="1" applyAlignment="1">
      <alignment vertical="center"/>
    </xf>
    <xf numFmtId="0" fontId="44" fillId="3" borderId="0" xfId="0" applyFont="1" applyFill="1" applyAlignment="1">
      <alignment vertical="center"/>
    </xf>
    <xf numFmtId="0" fontId="45" fillId="0" borderId="0" xfId="0" applyFont="1" applyAlignment="1">
      <alignment horizontal="left" vertical="justify" wrapText="1" indent="1"/>
    </xf>
    <xf numFmtId="0" fontId="45" fillId="0" borderId="0" xfId="0" applyFont="1" applyAlignment="1">
      <alignment horizontal="left" vertical="justify" indent="1"/>
    </xf>
    <xf numFmtId="0" fontId="47" fillId="0" borderId="0" xfId="0" applyFont="1"/>
    <xf numFmtId="0" fontId="43" fillId="0" borderId="0" xfId="0" applyFont="1" applyAlignment="1">
      <alignment horizontal="left" vertical="center" indent="1"/>
    </xf>
    <xf numFmtId="0" fontId="46" fillId="0" borderId="0" xfId="0" applyFont="1" applyAlignment="1">
      <alignment horizontal="left" vertical="center" indent="1"/>
    </xf>
    <xf numFmtId="0" fontId="45" fillId="0" borderId="0" xfId="0" applyFont="1" applyAlignment="1">
      <alignment horizontal="left" vertical="center"/>
    </xf>
    <xf numFmtId="0" fontId="48" fillId="3" borderId="0" xfId="0" applyFont="1" applyFill="1" applyAlignment="1">
      <alignment vertical="center"/>
    </xf>
    <xf numFmtId="0" fontId="11" fillId="3" borderId="0" xfId="0" applyFont="1" applyFill="1" applyAlignment="1">
      <alignment vertical="center"/>
    </xf>
    <xf numFmtId="0" fontId="49" fillId="0" borderId="0" xfId="0" applyFont="1" applyAlignment="1">
      <alignment vertical="center"/>
    </xf>
    <xf numFmtId="0" fontId="45" fillId="0" borderId="0" xfId="0" applyFont="1" applyAlignment="1">
      <alignment horizontal="left" vertical="center" indent="1"/>
    </xf>
    <xf numFmtId="0" fontId="1" fillId="0" borderId="0" xfId="0" applyFont="1" applyFill="1" applyBorder="1" applyAlignment="1" applyProtection="1">
      <alignment horizontal="left" vertical="center" indent="1"/>
      <protection hidden="1"/>
    </xf>
    <xf numFmtId="0" fontId="1" fillId="0" borderId="1" xfId="0" applyFont="1" applyFill="1" applyBorder="1" applyAlignment="1" applyProtection="1">
      <alignment horizontal="left" vertical="center" indent="1"/>
      <protection hidden="1"/>
    </xf>
    <xf numFmtId="0" fontId="51" fillId="0" borderId="0" xfId="0" applyFont="1" applyAlignment="1">
      <alignment horizontal="left" vertical="center"/>
    </xf>
    <xf numFmtId="0" fontId="52" fillId="0" borderId="0" xfId="0" applyFont="1" applyAlignment="1">
      <alignment wrapText="1"/>
    </xf>
    <xf numFmtId="0" fontId="0" fillId="0" borderId="0" xfId="0" applyAlignment="1">
      <alignment wrapText="1"/>
    </xf>
    <xf numFmtId="0" fontId="0" fillId="0" borderId="4" xfId="0" applyBorder="1" applyAlignment="1">
      <alignment horizontal="left" vertical="center" indent="1"/>
    </xf>
    <xf numFmtId="0" fontId="0" fillId="0" borderId="9" xfId="0" applyBorder="1" applyAlignment="1">
      <alignment horizontal="left" vertical="center" indent="1"/>
    </xf>
    <xf numFmtId="0" fontId="8" fillId="3" borderId="3" xfId="0" applyFont="1" applyFill="1" applyBorder="1" applyAlignment="1" applyProtection="1">
      <alignment horizontal="center" vertical="center"/>
      <protection hidden="1"/>
    </xf>
    <xf numFmtId="0" fontId="23" fillId="5" borderId="0" xfId="0" applyFont="1" applyFill="1" applyBorder="1" applyAlignment="1" applyProtection="1">
      <alignment horizontal="center" vertical="center"/>
      <protection hidden="1"/>
    </xf>
    <xf numFmtId="0" fontId="10" fillId="0" borderId="0" xfId="0" applyFont="1" applyFill="1" applyBorder="1" applyAlignment="1" applyProtection="1">
      <alignment horizontal="left" vertical="center" indent="1"/>
      <protection hidden="1"/>
    </xf>
    <xf numFmtId="43" fontId="22" fillId="0" borderId="0" xfId="0" applyNumberFormat="1" applyFont="1" applyFill="1" applyBorder="1" applyAlignment="1" applyProtection="1">
      <alignment horizontal="center" vertical="center"/>
      <protection hidden="1"/>
    </xf>
    <xf numFmtId="168" fontId="22" fillId="0" borderId="0" xfId="0" applyNumberFormat="1" applyFont="1" applyFill="1" applyBorder="1" applyAlignment="1" applyProtection="1">
      <alignment horizontal="center" vertical="center"/>
      <protection hidden="1"/>
    </xf>
    <xf numFmtId="168" fontId="22" fillId="0" borderId="4" xfId="0" applyNumberFormat="1" applyFont="1" applyFill="1" applyBorder="1" applyAlignment="1" applyProtection="1">
      <alignment horizontal="center" vertical="center"/>
      <protection locked="0"/>
    </xf>
    <xf numFmtId="168" fontId="22" fillId="0" borderId="2" xfId="0" applyNumberFormat="1" applyFont="1" applyFill="1" applyBorder="1" applyAlignment="1" applyProtection="1">
      <alignment horizontal="center" vertical="center"/>
      <protection locked="0"/>
    </xf>
    <xf numFmtId="168" fontId="22" fillId="0" borderId="9" xfId="0" applyNumberFormat="1" applyFont="1" applyFill="1" applyBorder="1" applyAlignment="1" applyProtection="1">
      <alignment horizontal="center" vertical="center"/>
      <protection locked="0"/>
    </xf>
    <xf numFmtId="0" fontId="22" fillId="0" borderId="4" xfId="0" applyFont="1" applyFill="1" applyBorder="1" applyAlignment="1" applyProtection="1">
      <alignment horizontal="center" vertical="center"/>
      <protection locked="0"/>
    </xf>
    <xf numFmtId="0" fontId="22" fillId="0" borderId="2" xfId="0" applyFont="1" applyFill="1" applyBorder="1" applyAlignment="1" applyProtection="1">
      <alignment horizontal="center" vertical="center"/>
      <protection locked="0"/>
    </xf>
    <xf numFmtId="0" fontId="22" fillId="0" borderId="9" xfId="0" applyFont="1" applyFill="1" applyBorder="1" applyAlignment="1" applyProtection="1">
      <alignment horizontal="center" vertical="center"/>
      <protection locked="0"/>
    </xf>
    <xf numFmtId="168" fontId="8" fillId="0" borderId="0" xfId="0" applyNumberFormat="1" applyFont="1" applyFill="1" applyBorder="1" applyAlignment="1" applyProtection="1">
      <alignment horizontal="right" vertical="center"/>
      <protection hidden="1"/>
    </xf>
    <xf numFmtId="0" fontId="9" fillId="5" borderId="0" xfId="0" applyFont="1" applyFill="1" applyBorder="1" applyAlignment="1" applyProtection="1">
      <alignment horizontal="center" vertical="center"/>
      <protection hidden="1"/>
    </xf>
    <xf numFmtId="43" fontId="22" fillId="0" borderId="2" xfId="0" applyNumberFormat="1" applyFont="1" applyFill="1" applyBorder="1" applyAlignment="1" applyProtection="1">
      <alignment horizontal="center" vertical="center"/>
      <protection locked="0"/>
    </xf>
    <xf numFmtId="43" fontId="22" fillId="0" borderId="9" xfId="0" applyNumberFormat="1" applyFont="1" applyFill="1" applyBorder="1" applyAlignment="1" applyProtection="1">
      <alignment horizontal="center" vertical="center"/>
      <protection locked="0"/>
    </xf>
    <xf numFmtId="169" fontId="22" fillId="0" borderId="0" xfId="0" applyNumberFormat="1" applyFont="1" applyFill="1" applyBorder="1" applyAlignment="1" applyProtection="1">
      <alignment horizontal="center" vertical="center"/>
      <protection hidden="1"/>
    </xf>
    <xf numFmtId="164" fontId="10" fillId="0" borderId="0" xfId="0" applyNumberFormat="1" applyFont="1" applyFill="1" applyBorder="1" applyAlignment="1" applyProtection="1">
      <alignment horizontal="center" vertical="center"/>
      <protection hidden="1"/>
    </xf>
    <xf numFmtId="164" fontId="10" fillId="0" borderId="0" xfId="0" applyNumberFormat="1" applyFont="1" applyFill="1" applyBorder="1" applyAlignment="1" applyProtection="1">
      <alignment horizontal="center"/>
      <protection hidden="1"/>
    </xf>
    <xf numFmtId="164" fontId="8" fillId="3" borderId="3" xfId="0" applyNumberFormat="1" applyFont="1" applyFill="1" applyBorder="1" applyAlignment="1" applyProtection="1">
      <alignment horizontal="center" vertical="center"/>
      <protection hidden="1"/>
    </xf>
    <xf numFmtId="164" fontId="8" fillId="3" borderId="5" xfId="0" applyNumberFormat="1" applyFont="1" applyFill="1" applyBorder="1" applyAlignment="1" applyProtection="1">
      <alignment horizontal="center" vertical="center"/>
      <protection hidden="1"/>
    </xf>
    <xf numFmtId="0" fontId="8" fillId="3" borderId="5" xfId="0" applyFont="1" applyFill="1" applyBorder="1" applyAlignment="1" applyProtection="1">
      <alignment horizontal="center" vertical="center"/>
      <protection hidden="1"/>
    </xf>
    <xf numFmtId="168" fontId="10" fillId="3" borderId="0" xfId="0" applyNumberFormat="1" applyFont="1" applyFill="1" applyBorder="1" applyAlignment="1" applyProtection="1">
      <alignment horizontal="right" vertical="center"/>
      <protection hidden="1"/>
    </xf>
    <xf numFmtId="0" fontId="45" fillId="0" borderId="0" xfId="0" applyFont="1" applyAlignment="1">
      <alignment horizontal="left" vertical="justify" wrapText="1" indent="1"/>
    </xf>
    <xf numFmtId="0" fontId="45" fillId="0" borderId="0" xfId="0" applyFont="1" applyAlignment="1">
      <alignment horizontal="left" vertical="justify" indent="1"/>
    </xf>
    <xf numFmtId="0" fontId="50" fillId="0" borderId="0" xfId="1" applyFont="1" applyAlignment="1" applyProtection="1">
      <alignment horizontal="left" vertical="center"/>
    </xf>
    <xf numFmtId="0" fontId="0" fillId="0" borderId="0" xfId="0" applyFill="1" applyBorder="1" applyAlignment="1">
      <alignment horizontal="left"/>
    </xf>
    <xf numFmtId="0" fontId="34" fillId="0" borderId="0" xfId="0" applyFont="1" applyFill="1" applyBorder="1" applyAlignment="1">
      <alignment horizontal="left" vertical="center"/>
    </xf>
    <xf numFmtId="0" fontId="7" fillId="3" borderId="10" xfId="0" applyFont="1" applyFill="1" applyBorder="1" applyAlignment="1">
      <alignment horizontal="left"/>
    </xf>
    <xf numFmtId="0" fontId="0" fillId="0" borderId="0" xfId="0" applyFill="1" applyBorder="1" applyAlignment="1">
      <alignment horizontal="left" vertical="justify"/>
    </xf>
    <xf numFmtId="0" fontId="39" fillId="0" borderId="0" xfId="0" applyFont="1" applyFill="1" applyBorder="1" applyAlignment="1">
      <alignment horizontal="left"/>
    </xf>
    <xf numFmtId="0" fontId="0" fillId="0" borderId="0" xfId="0" applyFill="1" applyBorder="1" applyAlignment="1">
      <alignment horizontal="left" wrapText="1"/>
    </xf>
  </cellXfs>
  <cellStyles count="2">
    <cellStyle name="Hyperlink" xfId="1" builtinId="8"/>
    <cellStyle name="Normal" xfId="0" builtinId="0"/>
  </cellStyles>
  <dxfs count="2">
    <dxf>
      <fill>
        <patternFill patternType="lightGray"/>
      </fill>
      <border>
        <right/>
        <top/>
        <bottom/>
      </border>
    </dxf>
    <dxf>
      <fill>
        <patternFill patternType="lightGray"/>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B8E84"/>
      <rgbColor rgb="00D9EDC1"/>
      <rgbColor rgb="00336887"/>
      <rgbColor rgb="00FFF3B9"/>
      <rgbColor rgb="00EFB6B1"/>
      <rgbColor rgb="00ACD8F1"/>
      <rgbColor rgb="00B3122D"/>
      <rgbColor rgb="007FA516"/>
      <rgbColor rgb="00004269"/>
      <rgbColor rgb="00FFE14F"/>
      <rgbColor rgb="00C2ADC4"/>
      <rgbColor rgb="0059B1E2"/>
      <rgbColor rgb="00E6E6E6"/>
      <rgbColor rgb="00808080"/>
      <rgbColor rgb="00309DDB"/>
      <rgbColor rgb="00B3DB84"/>
      <rgbColor rgb="00DB8E84"/>
      <rgbColor rgb="0099779D"/>
      <rgbColor rgb="00FFE14F"/>
      <rgbColor rgb="00D9C293"/>
      <rgbColor rgb="00004269"/>
      <rgbColor rgb="00597A7B"/>
      <rgbColor rgb="00004269"/>
      <rgbColor rgb="00587F03"/>
      <rgbColor rgb="00B3122D"/>
      <rgbColor rgb="0057445A"/>
      <rgbColor rgb="00EFA143"/>
      <rgbColor rgb="006D4129"/>
      <rgbColor rgb="00309DDB"/>
      <rgbColor rgb="00DDDDDD"/>
      <rgbColor rgb="0099B3C3"/>
      <rgbColor rgb="00D6EBF8"/>
      <rgbColor rgb="00F0F8E6"/>
      <rgbColor rgb="00FFF9DC"/>
      <rgbColor rgb="00CCD9E1"/>
      <rgbColor rgb="00F8E8E6"/>
      <rgbColor rgb="00EBE4EB"/>
      <rgbColor rgb="00EED6AD"/>
      <rgbColor rgb="00668EA5"/>
      <rgbColor rgb="0083C4E9"/>
      <rgbColor rgb="00FFE772"/>
      <rgbColor rgb="00F4C80F"/>
      <rgbColor rgb="00CDAF71"/>
      <rgbColor rgb="00FF6E04"/>
      <rgbColor rgb="0099779D"/>
      <rgbColor rgb="00B2B2B2"/>
      <rgbColor rgb="00309DDB"/>
      <rgbColor rgb="00B3DB84"/>
      <rgbColor rgb="00587F03"/>
      <rgbColor rgb="006D4129"/>
      <rgbColor rgb="00597A7B"/>
      <rgbColor rgb="00D6C9D8"/>
      <rgbColor rgb="0057445A"/>
      <rgbColor rgb="004D4D4D"/>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http://www.spreadsheet123.com/ExcelTemplates/beverage-stocktake-template.html" TargetMode="External"/><Relationship Id="rId18" Type="http://schemas.openxmlformats.org/officeDocument/2006/relationships/image" Target="../media/image11.jpeg"/><Relationship Id="rId3" Type="http://schemas.openxmlformats.org/officeDocument/2006/relationships/hyperlink" Target="http://www.linkedin.com/company/spreadsheet123-ltd" TargetMode="External"/><Relationship Id="rId21" Type="http://schemas.openxmlformats.org/officeDocument/2006/relationships/image" Target="../media/image14.png"/><Relationship Id="rId7" Type="http://schemas.openxmlformats.org/officeDocument/2006/relationships/hyperlink" Target="http://www.facebook.com/spreadsheet123" TargetMode="External"/><Relationship Id="rId12" Type="http://schemas.openxmlformats.org/officeDocument/2006/relationships/image" Target="../media/image7.png"/><Relationship Id="rId17" Type="http://schemas.openxmlformats.org/officeDocument/2006/relationships/hyperlink" Target="http://www.spreadsheet123.com/ExcelTemplates/time-table-template.html" TargetMode="External"/><Relationship Id="rId2" Type="http://schemas.openxmlformats.org/officeDocument/2006/relationships/image" Target="../media/image2.png"/><Relationship Id="rId16" Type="http://schemas.openxmlformats.org/officeDocument/2006/relationships/image" Target="../media/image10.png"/><Relationship Id="rId20" Type="http://schemas.openxmlformats.org/officeDocument/2006/relationships/image" Target="../media/image13.png"/><Relationship Id="rId1" Type="http://schemas.openxmlformats.org/officeDocument/2006/relationships/image" Target="../media/image1.jpeg"/><Relationship Id="rId6" Type="http://schemas.openxmlformats.org/officeDocument/2006/relationships/image" Target="../media/image4.png"/><Relationship Id="rId11" Type="http://schemas.openxmlformats.org/officeDocument/2006/relationships/hyperlink" Target="https://twitter.com/Spreadsheet123" TargetMode="External"/><Relationship Id="rId5" Type="http://schemas.openxmlformats.org/officeDocument/2006/relationships/hyperlink" Target="https://plus.google.com/u/0/b/117014028071621729542/117014028071621729542/" TargetMode="External"/><Relationship Id="rId15" Type="http://schemas.openxmlformats.org/officeDocument/2006/relationships/image" Target="../media/image9.png"/><Relationship Id="rId23" Type="http://schemas.openxmlformats.org/officeDocument/2006/relationships/image" Target="../media/image16.png"/><Relationship Id="rId10" Type="http://schemas.openxmlformats.org/officeDocument/2006/relationships/image" Target="../media/image6.png"/><Relationship Id="rId19" Type="http://schemas.openxmlformats.org/officeDocument/2006/relationships/image" Target="../media/image12.jpeg"/><Relationship Id="rId4" Type="http://schemas.openxmlformats.org/officeDocument/2006/relationships/image" Target="../media/image3.png"/><Relationship Id="rId9" Type="http://schemas.openxmlformats.org/officeDocument/2006/relationships/hyperlink" Target="http://pinterest.com/spreadsheet123" TargetMode="External"/><Relationship Id="rId14" Type="http://schemas.openxmlformats.org/officeDocument/2006/relationships/image" Target="../media/image8.jpeg"/><Relationship Id="rId22" Type="http://schemas.openxmlformats.org/officeDocument/2006/relationships/image" Target="../media/image15.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5" Type="http://schemas.openxmlformats.org/officeDocument/2006/relationships/image" Target="../media/image21.jpeg"/><Relationship Id="rId4" Type="http://schemas.openxmlformats.org/officeDocument/2006/relationships/image" Target="../media/image20.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2.png"/></Relationships>
</file>

<file path=xl/drawings/_rels/drawing2.xml.rels><?xml version="1.0" encoding="UTF-8" standalone="yes"?>
<Relationships xmlns="http://schemas.openxmlformats.org/package/2006/relationships"><Relationship Id="rId8" Type="http://schemas.openxmlformats.org/officeDocument/2006/relationships/hyperlink" Target="http://www.facebook.com/spreadsheet123" TargetMode="External"/><Relationship Id="rId13" Type="http://schemas.openxmlformats.org/officeDocument/2006/relationships/image" Target="../media/image7.png"/><Relationship Id="rId18" Type="http://schemas.openxmlformats.org/officeDocument/2006/relationships/hyperlink" Target="http://www.spreadsheet123.com/ExcelTemplates/time-table-template.html" TargetMode="External"/><Relationship Id="rId3" Type="http://schemas.openxmlformats.org/officeDocument/2006/relationships/image" Target="../media/image2.png"/><Relationship Id="rId21" Type="http://schemas.openxmlformats.org/officeDocument/2006/relationships/image" Target="../media/image13.png"/><Relationship Id="rId7" Type="http://schemas.openxmlformats.org/officeDocument/2006/relationships/image" Target="../media/image4.png"/><Relationship Id="rId12" Type="http://schemas.openxmlformats.org/officeDocument/2006/relationships/hyperlink" Target="https://twitter.com/Spreadsheet123" TargetMode="External"/><Relationship Id="rId17" Type="http://schemas.openxmlformats.org/officeDocument/2006/relationships/image" Target="../media/image10.png"/><Relationship Id="rId2" Type="http://schemas.openxmlformats.org/officeDocument/2006/relationships/image" Target="../media/image1.jpeg"/><Relationship Id="rId16" Type="http://schemas.openxmlformats.org/officeDocument/2006/relationships/image" Target="../media/image9.png"/><Relationship Id="rId20" Type="http://schemas.openxmlformats.org/officeDocument/2006/relationships/image" Target="../media/image12.jpeg"/><Relationship Id="rId1" Type="http://schemas.openxmlformats.org/officeDocument/2006/relationships/image" Target="../media/image16.png"/><Relationship Id="rId6" Type="http://schemas.openxmlformats.org/officeDocument/2006/relationships/hyperlink" Target="https://plus.google.com/u/0/b/117014028071621729542/117014028071621729542/" TargetMode="External"/><Relationship Id="rId11" Type="http://schemas.openxmlformats.org/officeDocument/2006/relationships/image" Target="../media/image6.png"/><Relationship Id="rId5" Type="http://schemas.openxmlformats.org/officeDocument/2006/relationships/image" Target="../media/image3.png"/><Relationship Id="rId15" Type="http://schemas.openxmlformats.org/officeDocument/2006/relationships/image" Target="../media/image8.jpeg"/><Relationship Id="rId23" Type="http://schemas.openxmlformats.org/officeDocument/2006/relationships/image" Target="../media/image15.png"/><Relationship Id="rId10" Type="http://schemas.openxmlformats.org/officeDocument/2006/relationships/hyperlink" Target="http://pinterest.com/spreadsheet123" TargetMode="External"/><Relationship Id="rId19" Type="http://schemas.openxmlformats.org/officeDocument/2006/relationships/image" Target="../media/image11.jpeg"/><Relationship Id="rId4" Type="http://schemas.openxmlformats.org/officeDocument/2006/relationships/hyperlink" Target="http://www.linkedin.com/company/spreadsheet123-ltd" TargetMode="External"/><Relationship Id="rId9" Type="http://schemas.openxmlformats.org/officeDocument/2006/relationships/image" Target="../media/image5.png"/><Relationship Id="rId14" Type="http://schemas.openxmlformats.org/officeDocument/2006/relationships/hyperlink" Target="http://www.spreadsheet123.com/ExcelTemplates/beverage-stocktake-template.html" TargetMode="External"/><Relationship Id="rId22" Type="http://schemas.openxmlformats.org/officeDocument/2006/relationships/image" Target="../media/image14.png"/></Relationships>
</file>

<file path=xl/drawings/_rels/drawing3.xml.rels><?xml version="1.0" encoding="UTF-8" standalone="yes"?>
<Relationships xmlns="http://schemas.openxmlformats.org/package/2006/relationships"><Relationship Id="rId8" Type="http://schemas.openxmlformats.org/officeDocument/2006/relationships/hyperlink" Target="http://www.facebook.com/spreadsheet123" TargetMode="External"/><Relationship Id="rId13" Type="http://schemas.openxmlformats.org/officeDocument/2006/relationships/image" Target="../media/image7.png"/><Relationship Id="rId18" Type="http://schemas.openxmlformats.org/officeDocument/2006/relationships/hyperlink" Target="http://www.spreadsheet123.com/ExcelTemplates/time-table-template.html" TargetMode="External"/><Relationship Id="rId3" Type="http://schemas.openxmlformats.org/officeDocument/2006/relationships/image" Target="../media/image2.png"/><Relationship Id="rId21" Type="http://schemas.openxmlformats.org/officeDocument/2006/relationships/image" Target="../media/image13.png"/><Relationship Id="rId7" Type="http://schemas.openxmlformats.org/officeDocument/2006/relationships/image" Target="../media/image4.png"/><Relationship Id="rId12" Type="http://schemas.openxmlformats.org/officeDocument/2006/relationships/hyperlink" Target="https://twitter.com/Spreadsheet123" TargetMode="External"/><Relationship Id="rId17" Type="http://schemas.openxmlformats.org/officeDocument/2006/relationships/image" Target="../media/image10.png"/><Relationship Id="rId2" Type="http://schemas.openxmlformats.org/officeDocument/2006/relationships/image" Target="../media/image1.jpeg"/><Relationship Id="rId16" Type="http://schemas.openxmlformats.org/officeDocument/2006/relationships/image" Target="../media/image9.png"/><Relationship Id="rId20" Type="http://schemas.openxmlformats.org/officeDocument/2006/relationships/image" Target="../media/image12.jpeg"/><Relationship Id="rId1" Type="http://schemas.openxmlformats.org/officeDocument/2006/relationships/image" Target="../media/image16.png"/><Relationship Id="rId6" Type="http://schemas.openxmlformats.org/officeDocument/2006/relationships/hyperlink" Target="https://plus.google.com/u/0/b/117014028071621729542/117014028071621729542/" TargetMode="External"/><Relationship Id="rId11" Type="http://schemas.openxmlformats.org/officeDocument/2006/relationships/image" Target="../media/image6.png"/><Relationship Id="rId5" Type="http://schemas.openxmlformats.org/officeDocument/2006/relationships/image" Target="../media/image3.png"/><Relationship Id="rId15" Type="http://schemas.openxmlformats.org/officeDocument/2006/relationships/image" Target="../media/image8.jpeg"/><Relationship Id="rId23" Type="http://schemas.openxmlformats.org/officeDocument/2006/relationships/image" Target="../media/image15.png"/><Relationship Id="rId10" Type="http://schemas.openxmlformats.org/officeDocument/2006/relationships/hyperlink" Target="http://pinterest.com/spreadsheet123" TargetMode="External"/><Relationship Id="rId19" Type="http://schemas.openxmlformats.org/officeDocument/2006/relationships/image" Target="../media/image11.jpeg"/><Relationship Id="rId4" Type="http://schemas.openxmlformats.org/officeDocument/2006/relationships/hyperlink" Target="http://www.linkedin.com/company/spreadsheet123-ltd" TargetMode="External"/><Relationship Id="rId9" Type="http://schemas.openxmlformats.org/officeDocument/2006/relationships/image" Target="../media/image5.png"/><Relationship Id="rId14" Type="http://schemas.openxmlformats.org/officeDocument/2006/relationships/hyperlink" Target="http://www.spreadsheet123.com/ExcelTemplates/beverage-stocktake-template.html" TargetMode="External"/><Relationship Id="rId22" Type="http://schemas.openxmlformats.org/officeDocument/2006/relationships/image" Target="../media/image14.png"/></Relationships>
</file>

<file path=xl/drawings/_rels/drawing4.xml.rels><?xml version="1.0" encoding="UTF-8" standalone="yes"?>
<Relationships xmlns="http://schemas.openxmlformats.org/package/2006/relationships"><Relationship Id="rId8" Type="http://schemas.openxmlformats.org/officeDocument/2006/relationships/hyperlink" Target="http://www.facebook.com/spreadsheet123" TargetMode="External"/><Relationship Id="rId13" Type="http://schemas.openxmlformats.org/officeDocument/2006/relationships/image" Target="../media/image7.png"/><Relationship Id="rId18" Type="http://schemas.openxmlformats.org/officeDocument/2006/relationships/hyperlink" Target="http://www.spreadsheet123.com/ExcelTemplates/time-table-template.html" TargetMode="External"/><Relationship Id="rId3" Type="http://schemas.openxmlformats.org/officeDocument/2006/relationships/image" Target="../media/image2.png"/><Relationship Id="rId21" Type="http://schemas.openxmlformats.org/officeDocument/2006/relationships/image" Target="../media/image13.png"/><Relationship Id="rId7" Type="http://schemas.openxmlformats.org/officeDocument/2006/relationships/image" Target="../media/image4.png"/><Relationship Id="rId12" Type="http://schemas.openxmlformats.org/officeDocument/2006/relationships/hyperlink" Target="https://twitter.com/Spreadsheet123" TargetMode="External"/><Relationship Id="rId17" Type="http://schemas.openxmlformats.org/officeDocument/2006/relationships/image" Target="../media/image10.png"/><Relationship Id="rId2" Type="http://schemas.openxmlformats.org/officeDocument/2006/relationships/image" Target="../media/image1.jpeg"/><Relationship Id="rId16" Type="http://schemas.openxmlformats.org/officeDocument/2006/relationships/image" Target="../media/image9.png"/><Relationship Id="rId20" Type="http://schemas.openxmlformats.org/officeDocument/2006/relationships/image" Target="../media/image12.jpeg"/><Relationship Id="rId1" Type="http://schemas.openxmlformats.org/officeDocument/2006/relationships/image" Target="../media/image16.png"/><Relationship Id="rId6" Type="http://schemas.openxmlformats.org/officeDocument/2006/relationships/hyperlink" Target="https://plus.google.com/u/0/b/117014028071621729542/117014028071621729542/" TargetMode="External"/><Relationship Id="rId11" Type="http://schemas.openxmlformats.org/officeDocument/2006/relationships/image" Target="../media/image6.png"/><Relationship Id="rId5" Type="http://schemas.openxmlformats.org/officeDocument/2006/relationships/image" Target="../media/image3.png"/><Relationship Id="rId15" Type="http://schemas.openxmlformats.org/officeDocument/2006/relationships/image" Target="../media/image8.jpeg"/><Relationship Id="rId23" Type="http://schemas.openxmlformats.org/officeDocument/2006/relationships/image" Target="../media/image15.png"/><Relationship Id="rId10" Type="http://schemas.openxmlformats.org/officeDocument/2006/relationships/hyperlink" Target="http://pinterest.com/spreadsheet123" TargetMode="External"/><Relationship Id="rId19" Type="http://schemas.openxmlformats.org/officeDocument/2006/relationships/image" Target="../media/image11.jpeg"/><Relationship Id="rId4" Type="http://schemas.openxmlformats.org/officeDocument/2006/relationships/hyperlink" Target="http://www.linkedin.com/company/spreadsheet123-ltd" TargetMode="External"/><Relationship Id="rId9" Type="http://schemas.openxmlformats.org/officeDocument/2006/relationships/image" Target="../media/image5.png"/><Relationship Id="rId14" Type="http://schemas.openxmlformats.org/officeDocument/2006/relationships/hyperlink" Target="http://www.spreadsheet123.com/ExcelTemplates/beverage-stocktake-template.html" TargetMode="External"/><Relationship Id="rId22" Type="http://schemas.openxmlformats.org/officeDocument/2006/relationships/image" Target="../media/image14.png"/></Relationships>
</file>

<file path=xl/drawings/_rels/drawing5.xml.rels><?xml version="1.0" encoding="UTF-8" standalone="yes"?>
<Relationships xmlns="http://schemas.openxmlformats.org/package/2006/relationships"><Relationship Id="rId8" Type="http://schemas.openxmlformats.org/officeDocument/2006/relationships/hyperlink" Target="http://www.facebook.com/spreadsheet123" TargetMode="External"/><Relationship Id="rId13" Type="http://schemas.openxmlformats.org/officeDocument/2006/relationships/image" Target="../media/image7.png"/><Relationship Id="rId18" Type="http://schemas.openxmlformats.org/officeDocument/2006/relationships/hyperlink" Target="http://www.spreadsheet123.com/ExcelTemplates/time-table-template.html" TargetMode="External"/><Relationship Id="rId3" Type="http://schemas.openxmlformats.org/officeDocument/2006/relationships/image" Target="../media/image2.png"/><Relationship Id="rId21" Type="http://schemas.openxmlformats.org/officeDocument/2006/relationships/image" Target="../media/image13.png"/><Relationship Id="rId7" Type="http://schemas.openxmlformats.org/officeDocument/2006/relationships/image" Target="../media/image4.png"/><Relationship Id="rId12" Type="http://schemas.openxmlformats.org/officeDocument/2006/relationships/hyperlink" Target="https://twitter.com/Spreadsheet123" TargetMode="External"/><Relationship Id="rId17" Type="http://schemas.openxmlformats.org/officeDocument/2006/relationships/image" Target="../media/image10.png"/><Relationship Id="rId2" Type="http://schemas.openxmlformats.org/officeDocument/2006/relationships/image" Target="../media/image1.jpeg"/><Relationship Id="rId16" Type="http://schemas.openxmlformats.org/officeDocument/2006/relationships/image" Target="../media/image9.png"/><Relationship Id="rId20" Type="http://schemas.openxmlformats.org/officeDocument/2006/relationships/image" Target="../media/image12.jpeg"/><Relationship Id="rId1" Type="http://schemas.openxmlformats.org/officeDocument/2006/relationships/image" Target="../media/image16.png"/><Relationship Id="rId6" Type="http://schemas.openxmlformats.org/officeDocument/2006/relationships/hyperlink" Target="https://plus.google.com/u/0/b/117014028071621729542/117014028071621729542/" TargetMode="External"/><Relationship Id="rId11" Type="http://schemas.openxmlformats.org/officeDocument/2006/relationships/image" Target="../media/image6.png"/><Relationship Id="rId5" Type="http://schemas.openxmlformats.org/officeDocument/2006/relationships/image" Target="../media/image3.png"/><Relationship Id="rId15" Type="http://schemas.openxmlformats.org/officeDocument/2006/relationships/image" Target="../media/image8.jpeg"/><Relationship Id="rId23" Type="http://schemas.openxmlformats.org/officeDocument/2006/relationships/image" Target="../media/image15.png"/><Relationship Id="rId10" Type="http://schemas.openxmlformats.org/officeDocument/2006/relationships/hyperlink" Target="http://pinterest.com/spreadsheet123" TargetMode="External"/><Relationship Id="rId19" Type="http://schemas.openxmlformats.org/officeDocument/2006/relationships/image" Target="../media/image11.jpeg"/><Relationship Id="rId4" Type="http://schemas.openxmlformats.org/officeDocument/2006/relationships/hyperlink" Target="http://www.linkedin.com/company/spreadsheet123-ltd" TargetMode="External"/><Relationship Id="rId9" Type="http://schemas.openxmlformats.org/officeDocument/2006/relationships/image" Target="../media/image5.png"/><Relationship Id="rId14" Type="http://schemas.openxmlformats.org/officeDocument/2006/relationships/hyperlink" Target="http://www.spreadsheet123.com/ExcelTemplates/beverage-stocktake-template.html" TargetMode="External"/><Relationship Id="rId22" Type="http://schemas.openxmlformats.org/officeDocument/2006/relationships/image" Target="../media/image14.png"/></Relationships>
</file>

<file path=xl/drawings/_rels/drawing6.xml.rels><?xml version="1.0" encoding="UTF-8" standalone="yes"?>
<Relationships xmlns="http://schemas.openxmlformats.org/package/2006/relationships"><Relationship Id="rId8" Type="http://schemas.openxmlformats.org/officeDocument/2006/relationships/hyperlink" Target="http://www.facebook.com/spreadsheet123" TargetMode="External"/><Relationship Id="rId13" Type="http://schemas.openxmlformats.org/officeDocument/2006/relationships/image" Target="../media/image7.png"/><Relationship Id="rId18" Type="http://schemas.openxmlformats.org/officeDocument/2006/relationships/hyperlink" Target="http://www.spreadsheet123.com/ExcelTemplates/time-table-template.html" TargetMode="External"/><Relationship Id="rId3" Type="http://schemas.openxmlformats.org/officeDocument/2006/relationships/image" Target="../media/image2.png"/><Relationship Id="rId21" Type="http://schemas.openxmlformats.org/officeDocument/2006/relationships/image" Target="../media/image13.png"/><Relationship Id="rId7" Type="http://schemas.openxmlformats.org/officeDocument/2006/relationships/image" Target="../media/image4.png"/><Relationship Id="rId12" Type="http://schemas.openxmlformats.org/officeDocument/2006/relationships/hyperlink" Target="https://twitter.com/Spreadsheet123" TargetMode="External"/><Relationship Id="rId17" Type="http://schemas.openxmlformats.org/officeDocument/2006/relationships/image" Target="../media/image10.png"/><Relationship Id="rId2" Type="http://schemas.openxmlformats.org/officeDocument/2006/relationships/image" Target="../media/image1.jpeg"/><Relationship Id="rId16" Type="http://schemas.openxmlformats.org/officeDocument/2006/relationships/image" Target="../media/image9.png"/><Relationship Id="rId20" Type="http://schemas.openxmlformats.org/officeDocument/2006/relationships/image" Target="../media/image12.jpeg"/><Relationship Id="rId1" Type="http://schemas.openxmlformats.org/officeDocument/2006/relationships/image" Target="../media/image16.png"/><Relationship Id="rId6" Type="http://schemas.openxmlformats.org/officeDocument/2006/relationships/hyperlink" Target="https://plus.google.com/u/0/b/117014028071621729542/117014028071621729542/" TargetMode="External"/><Relationship Id="rId11" Type="http://schemas.openxmlformats.org/officeDocument/2006/relationships/image" Target="../media/image6.png"/><Relationship Id="rId5" Type="http://schemas.openxmlformats.org/officeDocument/2006/relationships/image" Target="../media/image3.png"/><Relationship Id="rId15" Type="http://schemas.openxmlformats.org/officeDocument/2006/relationships/image" Target="../media/image8.jpeg"/><Relationship Id="rId23" Type="http://schemas.openxmlformats.org/officeDocument/2006/relationships/image" Target="../media/image15.png"/><Relationship Id="rId10" Type="http://schemas.openxmlformats.org/officeDocument/2006/relationships/hyperlink" Target="http://pinterest.com/spreadsheet123" TargetMode="External"/><Relationship Id="rId19" Type="http://schemas.openxmlformats.org/officeDocument/2006/relationships/image" Target="../media/image11.jpeg"/><Relationship Id="rId4" Type="http://schemas.openxmlformats.org/officeDocument/2006/relationships/hyperlink" Target="http://www.linkedin.com/company/spreadsheet123-ltd" TargetMode="External"/><Relationship Id="rId9" Type="http://schemas.openxmlformats.org/officeDocument/2006/relationships/image" Target="../media/image5.png"/><Relationship Id="rId14" Type="http://schemas.openxmlformats.org/officeDocument/2006/relationships/hyperlink" Target="http://www.spreadsheet123.com/ExcelTemplates/beverage-stocktake-template.html" TargetMode="External"/><Relationship Id="rId22" Type="http://schemas.openxmlformats.org/officeDocument/2006/relationships/image" Target="../media/image14.png"/></Relationships>
</file>

<file path=xl/drawings/_rels/drawing7.xml.rels><?xml version="1.0" encoding="UTF-8" standalone="yes"?>
<Relationships xmlns="http://schemas.openxmlformats.org/package/2006/relationships"><Relationship Id="rId8" Type="http://schemas.openxmlformats.org/officeDocument/2006/relationships/hyperlink" Target="http://www.facebook.com/spreadsheet123" TargetMode="External"/><Relationship Id="rId13" Type="http://schemas.openxmlformats.org/officeDocument/2006/relationships/image" Target="../media/image7.png"/><Relationship Id="rId18" Type="http://schemas.openxmlformats.org/officeDocument/2006/relationships/hyperlink" Target="http://www.spreadsheet123.com/ExcelTemplates/time-table-template.html" TargetMode="External"/><Relationship Id="rId3" Type="http://schemas.openxmlformats.org/officeDocument/2006/relationships/image" Target="../media/image2.png"/><Relationship Id="rId21" Type="http://schemas.openxmlformats.org/officeDocument/2006/relationships/image" Target="../media/image13.png"/><Relationship Id="rId7" Type="http://schemas.openxmlformats.org/officeDocument/2006/relationships/image" Target="../media/image4.png"/><Relationship Id="rId12" Type="http://schemas.openxmlformats.org/officeDocument/2006/relationships/hyperlink" Target="https://twitter.com/Spreadsheet123" TargetMode="External"/><Relationship Id="rId17" Type="http://schemas.openxmlformats.org/officeDocument/2006/relationships/image" Target="../media/image10.png"/><Relationship Id="rId2" Type="http://schemas.openxmlformats.org/officeDocument/2006/relationships/image" Target="../media/image1.jpeg"/><Relationship Id="rId16" Type="http://schemas.openxmlformats.org/officeDocument/2006/relationships/image" Target="../media/image9.png"/><Relationship Id="rId20" Type="http://schemas.openxmlformats.org/officeDocument/2006/relationships/image" Target="../media/image12.jpeg"/><Relationship Id="rId1" Type="http://schemas.openxmlformats.org/officeDocument/2006/relationships/image" Target="../media/image16.png"/><Relationship Id="rId6" Type="http://schemas.openxmlformats.org/officeDocument/2006/relationships/hyperlink" Target="https://plus.google.com/u/0/b/117014028071621729542/117014028071621729542/" TargetMode="External"/><Relationship Id="rId11" Type="http://schemas.openxmlformats.org/officeDocument/2006/relationships/image" Target="../media/image6.png"/><Relationship Id="rId5" Type="http://schemas.openxmlformats.org/officeDocument/2006/relationships/image" Target="../media/image3.png"/><Relationship Id="rId15" Type="http://schemas.openxmlformats.org/officeDocument/2006/relationships/image" Target="../media/image8.jpeg"/><Relationship Id="rId23" Type="http://schemas.openxmlformats.org/officeDocument/2006/relationships/image" Target="../media/image15.png"/><Relationship Id="rId10" Type="http://schemas.openxmlformats.org/officeDocument/2006/relationships/hyperlink" Target="http://pinterest.com/spreadsheet123" TargetMode="External"/><Relationship Id="rId19" Type="http://schemas.openxmlformats.org/officeDocument/2006/relationships/image" Target="../media/image11.jpeg"/><Relationship Id="rId4" Type="http://schemas.openxmlformats.org/officeDocument/2006/relationships/hyperlink" Target="http://www.linkedin.com/company/spreadsheet123-ltd" TargetMode="External"/><Relationship Id="rId9" Type="http://schemas.openxmlformats.org/officeDocument/2006/relationships/image" Target="../media/image5.png"/><Relationship Id="rId14" Type="http://schemas.openxmlformats.org/officeDocument/2006/relationships/hyperlink" Target="http://www.spreadsheet123.com/ExcelTemplates/beverage-stocktake-template.html" TargetMode="External"/><Relationship Id="rId22" Type="http://schemas.openxmlformats.org/officeDocument/2006/relationships/image" Target="../media/image14.png"/></Relationships>
</file>

<file path=xl/drawings/_rels/drawing8.xml.rels><?xml version="1.0" encoding="UTF-8" standalone="yes"?>
<Relationships xmlns="http://schemas.openxmlformats.org/package/2006/relationships"><Relationship Id="rId8" Type="http://schemas.openxmlformats.org/officeDocument/2006/relationships/hyperlink" Target="http://www.facebook.com/spreadsheet123" TargetMode="External"/><Relationship Id="rId13" Type="http://schemas.openxmlformats.org/officeDocument/2006/relationships/image" Target="../media/image7.png"/><Relationship Id="rId18" Type="http://schemas.openxmlformats.org/officeDocument/2006/relationships/hyperlink" Target="http://www.spreadsheet123.com/ExcelTemplates/time-table-template.html" TargetMode="External"/><Relationship Id="rId3" Type="http://schemas.openxmlformats.org/officeDocument/2006/relationships/image" Target="../media/image2.png"/><Relationship Id="rId21" Type="http://schemas.openxmlformats.org/officeDocument/2006/relationships/image" Target="../media/image13.png"/><Relationship Id="rId7" Type="http://schemas.openxmlformats.org/officeDocument/2006/relationships/image" Target="../media/image4.png"/><Relationship Id="rId12" Type="http://schemas.openxmlformats.org/officeDocument/2006/relationships/hyperlink" Target="https://twitter.com/Spreadsheet123" TargetMode="External"/><Relationship Id="rId17" Type="http://schemas.openxmlformats.org/officeDocument/2006/relationships/image" Target="../media/image10.png"/><Relationship Id="rId2" Type="http://schemas.openxmlformats.org/officeDocument/2006/relationships/image" Target="../media/image1.jpeg"/><Relationship Id="rId16" Type="http://schemas.openxmlformats.org/officeDocument/2006/relationships/image" Target="../media/image9.png"/><Relationship Id="rId20" Type="http://schemas.openxmlformats.org/officeDocument/2006/relationships/image" Target="../media/image12.jpeg"/><Relationship Id="rId1" Type="http://schemas.openxmlformats.org/officeDocument/2006/relationships/image" Target="../media/image16.png"/><Relationship Id="rId6" Type="http://schemas.openxmlformats.org/officeDocument/2006/relationships/hyperlink" Target="https://plus.google.com/u/0/b/117014028071621729542/117014028071621729542/" TargetMode="External"/><Relationship Id="rId11" Type="http://schemas.openxmlformats.org/officeDocument/2006/relationships/image" Target="../media/image6.png"/><Relationship Id="rId5" Type="http://schemas.openxmlformats.org/officeDocument/2006/relationships/image" Target="../media/image3.png"/><Relationship Id="rId15" Type="http://schemas.openxmlformats.org/officeDocument/2006/relationships/image" Target="../media/image8.jpeg"/><Relationship Id="rId23" Type="http://schemas.openxmlformats.org/officeDocument/2006/relationships/image" Target="../media/image15.png"/><Relationship Id="rId10" Type="http://schemas.openxmlformats.org/officeDocument/2006/relationships/hyperlink" Target="http://pinterest.com/spreadsheet123" TargetMode="External"/><Relationship Id="rId19" Type="http://schemas.openxmlformats.org/officeDocument/2006/relationships/image" Target="../media/image11.jpeg"/><Relationship Id="rId4" Type="http://schemas.openxmlformats.org/officeDocument/2006/relationships/hyperlink" Target="http://www.linkedin.com/company/spreadsheet123-ltd" TargetMode="External"/><Relationship Id="rId9" Type="http://schemas.openxmlformats.org/officeDocument/2006/relationships/image" Target="../media/image5.png"/><Relationship Id="rId14" Type="http://schemas.openxmlformats.org/officeDocument/2006/relationships/hyperlink" Target="http://www.spreadsheet123.com/ExcelTemplates/beverage-stocktake-template.html" TargetMode="External"/><Relationship Id="rId22" Type="http://schemas.openxmlformats.org/officeDocument/2006/relationships/image" Target="../media/image14.png"/></Relationships>
</file>

<file path=xl/drawings/_rels/drawing9.xml.rels><?xml version="1.0" encoding="UTF-8" standalone="yes"?>
<Relationships xmlns="http://schemas.openxmlformats.org/package/2006/relationships"><Relationship Id="rId8" Type="http://schemas.openxmlformats.org/officeDocument/2006/relationships/hyperlink" Target="http://www.facebook.com/spreadsheet123" TargetMode="External"/><Relationship Id="rId13" Type="http://schemas.openxmlformats.org/officeDocument/2006/relationships/image" Target="../media/image7.png"/><Relationship Id="rId18" Type="http://schemas.openxmlformats.org/officeDocument/2006/relationships/hyperlink" Target="http://www.spreadsheet123.com/ExcelTemplates/time-table-template.html" TargetMode="External"/><Relationship Id="rId3" Type="http://schemas.openxmlformats.org/officeDocument/2006/relationships/image" Target="../media/image2.png"/><Relationship Id="rId21" Type="http://schemas.openxmlformats.org/officeDocument/2006/relationships/image" Target="../media/image13.png"/><Relationship Id="rId7" Type="http://schemas.openxmlformats.org/officeDocument/2006/relationships/image" Target="../media/image4.png"/><Relationship Id="rId12" Type="http://schemas.openxmlformats.org/officeDocument/2006/relationships/hyperlink" Target="https://twitter.com/Spreadsheet123" TargetMode="External"/><Relationship Id="rId17" Type="http://schemas.openxmlformats.org/officeDocument/2006/relationships/image" Target="../media/image10.png"/><Relationship Id="rId2" Type="http://schemas.openxmlformats.org/officeDocument/2006/relationships/image" Target="../media/image1.jpeg"/><Relationship Id="rId16" Type="http://schemas.openxmlformats.org/officeDocument/2006/relationships/image" Target="../media/image9.png"/><Relationship Id="rId20" Type="http://schemas.openxmlformats.org/officeDocument/2006/relationships/image" Target="../media/image12.jpeg"/><Relationship Id="rId1" Type="http://schemas.openxmlformats.org/officeDocument/2006/relationships/image" Target="../media/image16.png"/><Relationship Id="rId6" Type="http://schemas.openxmlformats.org/officeDocument/2006/relationships/hyperlink" Target="https://plus.google.com/u/0/b/117014028071621729542/117014028071621729542/" TargetMode="External"/><Relationship Id="rId11" Type="http://schemas.openxmlformats.org/officeDocument/2006/relationships/image" Target="../media/image6.png"/><Relationship Id="rId5" Type="http://schemas.openxmlformats.org/officeDocument/2006/relationships/image" Target="../media/image3.png"/><Relationship Id="rId15" Type="http://schemas.openxmlformats.org/officeDocument/2006/relationships/image" Target="../media/image8.jpeg"/><Relationship Id="rId23" Type="http://schemas.openxmlformats.org/officeDocument/2006/relationships/image" Target="../media/image15.png"/><Relationship Id="rId10" Type="http://schemas.openxmlformats.org/officeDocument/2006/relationships/hyperlink" Target="http://pinterest.com/spreadsheet123" TargetMode="External"/><Relationship Id="rId19" Type="http://schemas.openxmlformats.org/officeDocument/2006/relationships/image" Target="../media/image11.jpeg"/><Relationship Id="rId4" Type="http://schemas.openxmlformats.org/officeDocument/2006/relationships/hyperlink" Target="http://www.linkedin.com/company/spreadsheet123-ltd" TargetMode="External"/><Relationship Id="rId9" Type="http://schemas.openxmlformats.org/officeDocument/2006/relationships/image" Target="../media/image5.png"/><Relationship Id="rId14" Type="http://schemas.openxmlformats.org/officeDocument/2006/relationships/hyperlink" Target="http://www.spreadsheet123.com/ExcelTemplates/beverage-stocktake-template.html" TargetMode="External"/><Relationship Id="rId22"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12</xdr:col>
      <xdr:colOff>85725</xdr:colOff>
      <xdr:row>0</xdr:row>
      <xdr:rowOff>66675</xdr:rowOff>
    </xdr:from>
    <xdr:to>
      <xdr:col>17</xdr:col>
      <xdr:colOff>85725</xdr:colOff>
      <xdr:row>17</xdr:row>
      <xdr:rowOff>133350</xdr:rowOff>
    </xdr:to>
    <xdr:grpSp>
      <xdr:nvGrpSpPr>
        <xdr:cNvPr id="1087" name="Group 63"/>
        <xdr:cNvGrpSpPr>
          <a:grpSpLocks/>
        </xdr:cNvGrpSpPr>
      </xdr:nvGrpSpPr>
      <xdr:grpSpPr bwMode="auto">
        <a:xfrm>
          <a:off x="8839200" y="66675"/>
          <a:ext cx="3048000" cy="4114800"/>
          <a:chOff x="925" y="201"/>
          <a:chExt cx="320" cy="432"/>
        </a:xfrm>
      </xdr:grpSpPr>
      <xdr:grpSp>
        <xdr:nvGrpSpPr>
          <xdr:cNvPr id="1067" name="Group 43"/>
          <xdr:cNvGrpSpPr>
            <a:grpSpLocks/>
          </xdr:cNvGrpSpPr>
        </xdr:nvGrpSpPr>
        <xdr:grpSpPr bwMode="auto">
          <a:xfrm>
            <a:off x="925" y="382"/>
            <a:ext cx="320" cy="45"/>
            <a:chOff x="1204" y="240"/>
            <a:chExt cx="320" cy="45"/>
          </a:xfrm>
        </xdr:grpSpPr>
        <xdr:pic>
          <xdr:nvPicPr>
            <xdr:cNvPr id="1068" name="Picture 44" descr="follow-u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4" y="240"/>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69" name="Picture 45" descr="follow-u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4" y="252"/>
              <a:ext cx="85" cy="2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70" name="Picture 46" descr="linked-in">
              <a:hlinkClick xmlns:r="http://schemas.openxmlformats.org/officeDocument/2006/relationships" r:id="rId3" tooltip="Follow us on LinkedIN"/>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34"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71" name="Picture 47" descr="gplus">
              <a:hlinkClick xmlns:r="http://schemas.openxmlformats.org/officeDocument/2006/relationships" r:id="rId5" tooltip="Add us to your circles on Google plus"/>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68"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72" name="Picture 48" descr="facebook1">
              <a:hlinkClick xmlns:r="http://schemas.openxmlformats.org/officeDocument/2006/relationships" r:id="rId7" tooltip="Become a fan on Facebook"/>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02"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73" name="Picture 49" descr="pinterest1">
              <a:hlinkClick xmlns:r="http://schemas.openxmlformats.org/officeDocument/2006/relationships" r:id="rId9" tooltip="Follow us on Pintere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36"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74" name="Picture 50" descr="twitter1">
              <a:hlinkClick xmlns:r="http://schemas.openxmlformats.org/officeDocument/2006/relationships" r:id="rId11" tooltip="Follow us on Twitter"/>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71" y="245"/>
              <a:ext cx="34" cy="34"/>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1075" name="Group 51">
            <a:hlinkClick xmlns:r="http://schemas.openxmlformats.org/officeDocument/2006/relationships" r:id="rId13" tooltip="Write your review about this template"/>
          </xdr:cNvPr>
          <xdr:cNvGrpSpPr>
            <a:grpSpLocks/>
          </xdr:cNvGrpSpPr>
        </xdr:nvGrpSpPr>
        <xdr:grpSpPr bwMode="auto">
          <a:xfrm>
            <a:off x="925" y="201"/>
            <a:ext cx="320" cy="45"/>
            <a:chOff x="881" y="58"/>
            <a:chExt cx="320" cy="45"/>
          </a:xfrm>
        </xdr:grpSpPr>
        <xdr:pic>
          <xdr:nvPicPr>
            <xdr:cNvPr id="1076" name="Picture 52" descr="ratings"/>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81" y="58"/>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77" name="Picture 53" descr="stars"/>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93" y="68"/>
              <a:ext cx="133" cy="25"/>
            </a:xfrm>
            <a:prstGeom prst="rect">
              <a:avLst/>
            </a:prstGeom>
            <a:noFill/>
            <a:ln>
              <a:noFill/>
            </a:ln>
            <a:extLst>
              <a:ext uri="{909E8E84-426E-40DD-AFC4-6F175D3DCCD1}">
                <a14:hiddenFill xmlns:a14="http://schemas.microsoft.com/office/drawing/2010/main">
                  <a:solidFill>
                    <a:srgbClr xmlns:mc="http://schemas.openxmlformats.org/markup-compatibility/2006" val="D9EDC1" mc:Ignorable="a14" a14:legacySpreadsheetColorIndex="11"/>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78" name="Picture 54" descr="write-your-review"/>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038" y="72"/>
              <a:ext cx="150" cy="2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1079" name="Group 55">
            <a:hlinkClick xmlns:r="http://schemas.openxmlformats.org/officeDocument/2006/relationships" r:id="rId17" tooltip="Give a thumb-up to this free template on your social network"/>
          </xdr:cNvPr>
          <xdr:cNvGrpSpPr>
            <a:grpSpLocks/>
          </xdr:cNvGrpSpPr>
        </xdr:nvGrpSpPr>
        <xdr:grpSpPr bwMode="auto">
          <a:xfrm>
            <a:off x="925" y="251"/>
            <a:ext cx="320" cy="125"/>
            <a:chOff x="881" y="109"/>
            <a:chExt cx="320" cy="125"/>
          </a:xfrm>
        </xdr:grpSpPr>
        <xdr:pic>
          <xdr:nvPicPr>
            <xdr:cNvPr id="1080" name="Picture 56" descr="tumbs-up"/>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81" y="109"/>
              <a:ext cx="320" cy="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81" name="Rectangle 57"/>
            <xdr:cNvSpPr>
              <a:spLocks noChangeArrowheads="1"/>
            </xdr:cNvSpPr>
          </xdr:nvSpPr>
          <xdr:spPr bwMode="auto">
            <a:xfrm>
              <a:off x="893" y="151"/>
              <a:ext cx="295" cy="7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pic>
          <xdr:nvPicPr>
            <xdr:cNvPr id="1082" name="Picture 58" descr="social_links"/>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919" y="156"/>
              <a:ext cx="232" cy="7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83" name="Picture 59" descr="thumb-up"/>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3" y="115"/>
              <a:ext cx="240" cy="35"/>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1084" name="Picture 60" descr="unlock">
            <a:hlinkClick xmlns:r="http://schemas.openxmlformats.org/officeDocument/2006/relationships" r:id="rId13" tooltip="Get Unlocked Version of Beverage Stocktake Template "/>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925" y="433"/>
            <a:ext cx="320" cy="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85" name="Picture 61" descr="price_tag_39"/>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5" y="483"/>
            <a:ext cx="320" cy="1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6</xdr:col>
      <xdr:colOff>190500</xdr:colOff>
      <xdr:row>0</xdr:row>
      <xdr:rowOff>57150</xdr:rowOff>
    </xdr:from>
    <xdr:to>
      <xdr:col>11</xdr:col>
      <xdr:colOff>695325</xdr:colOff>
      <xdr:row>0</xdr:row>
      <xdr:rowOff>647700</xdr:rowOff>
    </xdr:to>
    <xdr:pic>
      <xdr:nvPicPr>
        <xdr:cNvPr id="1086" name="Picture 62" descr="white-logo"/>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6029325" y="57150"/>
          <a:ext cx="2695575" cy="59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571500</xdr:colOff>
      <xdr:row>10</xdr:row>
      <xdr:rowOff>0</xdr:rowOff>
    </xdr:from>
    <xdr:to>
      <xdr:col>11</xdr:col>
      <xdr:colOff>190500</xdr:colOff>
      <xdr:row>10</xdr:row>
      <xdr:rowOff>3752850</xdr:rowOff>
    </xdr:to>
    <xdr:pic>
      <xdr:nvPicPr>
        <xdr:cNvPr id="12289" name="Picture 1" descr="img_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5067300"/>
          <a:ext cx="5715000" cy="3752850"/>
        </a:xfrm>
        <a:prstGeom prst="rect">
          <a:avLst/>
        </a:prstGeom>
        <a:noFill/>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pic>
    <xdr:clientData/>
  </xdr:twoCellAnchor>
  <xdr:twoCellAnchor editAs="oneCell">
    <xdr:from>
      <xdr:col>1</xdr:col>
      <xdr:colOff>542925</xdr:colOff>
      <xdr:row>14</xdr:row>
      <xdr:rowOff>0</xdr:rowOff>
    </xdr:from>
    <xdr:to>
      <xdr:col>11</xdr:col>
      <xdr:colOff>161925</xdr:colOff>
      <xdr:row>14</xdr:row>
      <xdr:rowOff>1276350</xdr:rowOff>
    </xdr:to>
    <xdr:pic>
      <xdr:nvPicPr>
        <xdr:cNvPr id="12290" name="Picture 2" descr="img_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52525" y="10239375"/>
          <a:ext cx="5715000" cy="1276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409575</xdr:colOff>
      <xdr:row>21</xdr:row>
      <xdr:rowOff>9525</xdr:rowOff>
    </xdr:from>
    <xdr:to>
      <xdr:col>11</xdr:col>
      <xdr:colOff>28575</xdr:colOff>
      <xdr:row>21</xdr:row>
      <xdr:rowOff>847725</xdr:rowOff>
    </xdr:to>
    <xdr:pic>
      <xdr:nvPicPr>
        <xdr:cNvPr id="12291" name="Picture 3" descr="img_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9175" y="14906625"/>
          <a:ext cx="5715000" cy="83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400050</xdr:colOff>
      <xdr:row>31</xdr:row>
      <xdr:rowOff>9525</xdr:rowOff>
    </xdr:from>
    <xdr:to>
      <xdr:col>10</xdr:col>
      <xdr:colOff>409575</xdr:colOff>
      <xdr:row>47</xdr:row>
      <xdr:rowOff>123825</xdr:rowOff>
    </xdr:to>
    <xdr:pic>
      <xdr:nvPicPr>
        <xdr:cNvPr id="12292" name="Picture 4" descr="Insert New Row"/>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09650" y="18497550"/>
          <a:ext cx="5495925" cy="3162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523875</xdr:colOff>
      <xdr:row>52</xdr:row>
      <xdr:rowOff>123825</xdr:rowOff>
    </xdr:from>
    <xdr:to>
      <xdr:col>12</xdr:col>
      <xdr:colOff>0</xdr:colOff>
      <xdr:row>66</xdr:row>
      <xdr:rowOff>66675</xdr:rowOff>
    </xdr:to>
    <xdr:pic>
      <xdr:nvPicPr>
        <xdr:cNvPr id="12293" name="Picture 5" descr="Selecting Corrct Size"/>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23875" y="23364825"/>
          <a:ext cx="6791325" cy="283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8</xdr:col>
      <xdr:colOff>323850</xdr:colOff>
      <xdr:row>0</xdr:row>
      <xdr:rowOff>28575</xdr:rowOff>
    </xdr:from>
    <xdr:to>
      <xdr:col>8</xdr:col>
      <xdr:colOff>2343150</xdr:colOff>
      <xdr:row>1</xdr:row>
      <xdr:rowOff>114300</xdr:rowOff>
    </xdr:to>
    <xdr:pic>
      <xdr:nvPicPr>
        <xdr:cNvPr id="1126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00650" y="28575"/>
          <a:ext cx="2019300"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104775</xdr:colOff>
      <xdr:row>0</xdr:row>
      <xdr:rowOff>57150</xdr:rowOff>
    </xdr:from>
    <xdr:to>
      <xdr:col>12</xdr:col>
      <xdr:colOff>742950</xdr:colOff>
      <xdr:row>0</xdr:row>
      <xdr:rowOff>647700</xdr:rowOff>
    </xdr:to>
    <xdr:pic>
      <xdr:nvPicPr>
        <xdr:cNvPr id="2071" name="Picture 23" descr="white-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3775" y="57150"/>
          <a:ext cx="2695575" cy="59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76200</xdr:colOff>
      <xdr:row>0</xdr:row>
      <xdr:rowOff>66675</xdr:rowOff>
    </xdr:from>
    <xdr:to>
      <xdr:col>18</xdr:col>
      <xdr:colOff>76200</xdr:colOff>
      <xdr:row>16</xdr:row>
      <xdr:rowOff>0</xdr:rowOff>
    </xdr:to>
    <xdr:grpSp>
      <xdr:nvGrpSpPr>
        <xdr:cNvPr id="2072" name="Group 24"/>
        <xdr:cNvGrpSpPr>
          <a:grpSpLocks/>
        </xdr:cNvGrpSpPr>
      </xdr:nvGrpSpPr>
      <xdr:grpSpPr bwMode="auto">
        <a:xfrm>
          <a:off x="10153650" y="66675"/>
          <a:ext cx="3048000" cy="4114800"/>
          <a:chOff x="925" y="201"/>
          <a:chExt cx="320" cy="432"/>
        </a:xfrm>
      </xdr:grpSpPr>
      <xdr:grpSp>
        <xdr:nvGrpSpPr>
          <xdr:cNvPr id="2073" name="Group 25"/>
          <xdr:cNvGrpSpPr>
            <a:grpSpLocks/>
          </xdr:cNvGrpSpPr>
        </xdr:nvGrpSpPr>
        <xdr:grpSpPr bwMode="auto">
          <a:xfrm>
            <a:off x="925" y="382"/>
            <a:ext cx="320" cy="45"/>
            <a:chOff x="1204" y="240"/>
            <a:chExt cx="320" cy="45"/>
          </a:xfrm>
        </xdr:grpSpPr>
        <xdr:pic>
          <xdr:nvPicPr>
            <xdr:cNvPr id="2074" name="Picture 26" descr="follow-u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4" y="240"/>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75" name="Picture 27" descr="follow-u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4" y="252"/>
              <a:ext cx="85" cy="2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76" name="Picture 28" descr="linked-in">
              <a:hlinkClick xmlns:r="http://schemas.openxmlformats.org/officeDocument/2006/relationships" r:id="rId4" tooltip="Follow us on LinkedIN"/>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34"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77" name="Picture 29" descr="gplus">
              <a:hlinkClick xmlns:r="http://schemas.openxmlformats.org/officeDocument/2006/relationships" r:id="rId6" tooltip="Add us to your circles on Google plus"/>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68"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78" name="Picture 30" descr="facebook1">
              <a:hlinkClick xmlns:r="http://schemas.openxmlformats.org/officeDocument/2006/relationships" r:id="rId8" tooltip="Become a fan on Facebook"/>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02"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79" name="Picture 31" descr="pinterest1">
              <a:hlinkClick xmlns:r="http://schemas.openxmlformats.org/officeDocument/2006/relationships" r:id="rId10" tooltip="Follow us on Pintere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36"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80" name="Picture 32" descr="twitter1">
              <a:hlinkClick xmlns:r="http://schemas.openxmlformats.org/officeDocument/2006/relationships" r:id="rId12" tooltip="Follow us on Twitter"/>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71" y="245"/>
              <a:ext cx="34" cy="34"/>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2081" name="Group 33">
            <a:hlinkClick xmlns:r="http://schemas.openxmlformats.org/officeDocument/2006/relationships" r:id="rId14" tooltip="Write your review about this template"/>
          </xdr:cNvPr>
          <xdr:cNvGrpSpPr>
            <a:grpSpLocks/>
          </xdr:cNvGrpSpPr>
        </xdr:nvGrpSpPr>
        <xdr:grpSpPr bwMode="auto">
          <a:xfrm>
            <a:off x="925" y="201"/>
            <a:ext cx="320" cy="45"/>
            <a:chOff x="881" y="58"/>
            <a:chExt cx="320" cy="45"/>
          </a:xfrm>
        </xdr:grpSpPr>
        <xdr:pic>
          <xdr:nvPicPr>
            <xdr:cNvPr id="2082" name="Picture 34" descr="ratings"/>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81" y="58"/>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83" name="Picture 35" descr="stars"/>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3" y="68"/>
              <a:ext cx="133" cy="25"/>
            </a:xfrm>
            <a:prstGeom prst="rect">
              <a:avLst/>
            </a:prstGeom>
            <a:noFill/>
            <a:ln>
              <a:noFill/>
            </a:ln>
            <a:extLst>
              <a:ext uri="{909E8E84-426E-40DD-AFC4-6F175D3DCCD1}">
                <a14:hiddenFill xmlns:a14="http://schemas.microsoft.com/office/drawing/2010/main">
                  <a:solidFill>
                    <a:srgbClr xmlns:mc="http://schemas.openxmlformats.org/markup-compatibility/2006" val="D9EDC1" mc:Ignorable="a14" a14:legacySpreadsheetColorIndex="11"/>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084" name="Picture 36" descr="write-your-review"/>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38" y="72"/>
              <a:ext cx="150" cy="2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2085" name="Group 37">
            <a:hlinkClick xmlns:r="http://schemas.openxmlformats.org/officeDocument/2006/relationships" r:id="rId18" tooltip="Give a thumb-up to this free template on your social network"/>
          </xdr:cNvPr>
          <xdr:cNvGrpSpPr>
            <a:grpSpLocks/>
          </xdr:cNvGrpSpPr>
        </xdr:nvGrpSpPr>
        <xdr:grpSpPr bwMode="auto">
          <a:xfrm>
            <a:off x="925" y="251"/>
            <a:ext cx="320" cy="125"/>
            <a:chOff x="881" y="109"/>
            <a:chExt cx="320" cy="125"/>
          </a:xfrm>
        </xdr:grpSpPr>
        <xdr:pic>
          <xdr:nvPicPr>
            <xdr:cNvPr id="2086" name="Picture 38" descr="tumbs-up"/>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881" y="109"/>
              <a:ext cx="320" cy="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087" name="Rectangle 39"/>
            <xdr:cNvSpPr>
              <a:spLocks noChangeArrowheads="1"/>
            </xdr:cNvSpPr>
          </xdr:nvSpPr>
          <xdr:spPr bwMode="auto">
            <a:xfrm>
              <a:off x="893" y="151"/>
              <a:ext cx="295" cy="7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pic>
          <xdr:nvPicPr>
            <xdr:cNvPr id="2088" name="Picture 40" descr="social_links"/>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919" y="156"/>
              <a:ext cx="232" cy="7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89" name="Picture 41" descr="thumb-up"/>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893" y="115"/>
              <a:ext cx="240" cy="35"/>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2090" name="Picture 42" descr="unlock">
            <a:hlinkClick xmlns:r="http://schemas.openxmlformats.org/officeDocument/2006/relationships" r:id="rId14" tooltip="Get Unlocked Version of Beverage Stocktake Template "/>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5" y="433"/>
            <a:ext cx="320" cy="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91" name="Picture 43" descr="price_tag_39"/>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925" y="483"/>
            <a:ext cx="320" cy="1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76200</xdr:colOff>
      <xdr:row>0</xdr:row>
      <xdr:rowOff>57150</xdr:rowOff>
    </xdr:from>
    <xdr:to>
      <xdr:col>8</xdr:col>
      <xdr:colOff>762000</xdr:colOff>
      <xdr:row>0</xdr:row>
      <xdr:rowOff>647700</xdr:rowOff>
    </xdr:to>
    <xdr:pic>
      <xdr:nvPicPr>
        <xdr:cNvPr id="3095" name="Picture 23" descr="white-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29175" y="57150"/>
          <a:ext cx="2695575" cy="59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57150</xdr:colOff>
      <xdr:row>0</xdr:row>
      <xdr:rowOff>66675</xdr:rowOff>
    </xdr:from>
    <xdr:to>
      <xdr:col>14</xdr:col>
      <xdr:colOff>57150</xdr:colOff>
      <xdr:row>17</xdr:row>
      <xdr:rowOff>133350</xdr:rowOff>
    </xdr:to>
    <xdr:grpSp>
      <xdr:nvGrpSpPr>
        <xdr:cNvPr id="3096" name="Group 24"/>
        <xdr:cNvGrpSpPr>
          <a:grpSpLocks/>
        </xdr:cNvGrpSpPr>
      </xdr:nvGrpSpPr>
      <xdr:grpSpPr bwMode="auto">
        <a:xfrm>
          <a:off x="7620000" y="66675"/>
          <a:ext cx="3048000" cy="4114800"/>
          <a:chOff x="925" y="201"/>
          <a:chExt cx="320" cy="432"/>
        </a:xfrm>
      </xdr:grpSpPr>
      <xdr:grpSp>
        <xdr:nvGrpSpPr>
          <xdr:cNvPr id="3097" name="Group 25"/>
          <xdr:cNvGrpSpPr>
            <a:grpSpLocks/>
          </xdr:cNvGrpSpPr>
        </xdr:nvGrpSpPr>
        <xdr:grpSpPr bwMode="auto">
          <a:xfrm>
            <a:off x="925" y="382"/>
            <a:ext cx="320" cy="45"/>
            <a:chOff x="1204" y="240"/>
            <a:chExt cx="320" cy="45"/>
          </a:xfrm>
        </xdr:grpSpPr>
        <xdr:pic>
          <xdr:nvPicPr>
            <xdr:cNvPr id="3098" name="Picture 26" descr="follow-u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4" y="240"/>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099" name="Picture 27" descr="follow-u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4" y="252"/>
              <a:ext cx="85" cy="2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100" name="Picture 28" descr="linked-in">
              <a:hlinkClick xmlns:r="http://schemas.openxmlformats.org/officeDocument/2006/relationships" r:id="rId4" tooltip="Follow us on LinkedIN"/>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34"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101" name="Picture 29" descr="gplus">
              <a:hlinkClick xmlns:r="http://schemas.openxmlformats.org/officeDocument/2006/relationships" r:id="rId6" tooltip="Add us to your circles on Google plus"/>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68"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102" name="Picture 30" descr="facebook1">
              <a:hlinkClick xmlns:r="http://schemas.openxmlformats.org/officeDocument/2006/relationships" r:id="rId8" tooltip="Become a fan on Facebook"/>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02"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103" name="Picture 31" descr="pinterest1">
              <a:hlinkClick xmlns:r="http://schemas.openxmlformats.org/officeDocument/2006/relationships" r:id="rId10" tooltip="Follow us on Pintere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36"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104" name="Picture 32" descr="twitter1">
              <a:hlinkClick xmlns:r="http://schemas.openxmlformats.org/officeDocument/2006/relationships" r:id="rId12" tooltip="Follow us on Twitter"/>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71" y="245"/>
              <a:ext cx="34" cy="34"/>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105" name="Group 33">
            <a:hlinkClick xmlns:r="http://schemas.openxmlformats.org/officeDocument/2006/relationships" r:id="rId14" tooltip="Write your review about this template"/>
          </xdr:cNvPr>
          <xdr:cNvGrpSpPr>
            <a:grpSpLocks/>
          </xdr:cNvGrpSpPr>
        </xdr:nvGrpSpPr>
        <xdr:grpSpPr bwMode="auto">
          <a:xfrm>
            <a:off x="925" y="201"/>
            <a:ext cx="320" cy="45"/>
            <a:chOff x="881" y="58"/>
            <a:chExt cx="320" cy="45"/>
          </a:xfrm>
        </xdr:grpSpPr>
        <xdr:pic>
          <xdr:nvPicPr>
            <xdr:cNvPr id="3106" name="Picture 34" descr="ratings"/>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81" y="58"/>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107" name="Picture 35" descr="stars"/>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3" y="68"/>
              <a:ext cx="133" cy="25"/>
            </a:xfrm>
            <a:prstGeom prst="rect">
              <a:avLst/>
            </a:prstGeom>
            <a:noFill/>
            <a:ln>
              <a:noFill/>
            </a:ln>
            <a:extLst>
              <a:ext uri="{909E8E84-426E-40DD-AFC4-6F175D3DCCD1}">
                <a14:hiddenFill xmlns:a14="http://schemas.microsoft.com/office/drawing/2010/main">
                  <a:solidFill>
                    <a:srgbClr xmlns:mc="http://schemas.openxmlformats.org/markup-compatibility/2006" val="D9EDC1" mc:Ignorable="a14" a14:legacySpreadsheetColorIndex="11"/>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108" name="Picture 36" descr="write-your-review"/>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38" y="72"/>
              <a:ext cx="150" cy="2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109" name="Group 37">
            <a:hlinkClick xmlns:r="http://schemas.openxmlformats.org/officeDocument/2006/relationships" r:id="rId18" tooltip="Give a thumb-up to this free template on your social network"/>
          </xdr:cNvPr>
          <xdr:cNvGrpSpPr>
            <a:grpSpLocks/>
          </xdr:cNvGrpSpPr>
        </xdr:nvGrpSpPr>
        <xdr:grpSpPr bwMode="auto">
          <a:xfrm>
            <a:off x="925" y="251"/>
            <a:ext cx="320" cy="125"/>
            <a:chOff x="881" y="109"/>
            <a:chExt cx="320" cy="125"/>
          </a:xfrm>
        </xdr:grpSpPr>
        <xdr:pic>
          <xdr:nvPicPr>
            <xdr:cNvPr id="3110" name="Picture 38" descr="tumbs-up"/>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881" y="109"/>
              <a:ext cx="320" cy="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11" name="Rectangle 39"/>
            <xdr:cNvSpPr>
              <a:spLocks noChangeArrowheads="1"/>
            </xdr:cNvSpPr>
          </xdr:nvSpPr>
          <xdr:spPr bwMode="auto">
            <a:xfrm>
              <a:off x="893" y="151"/>
              <a:ext cx="295" cy="7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pic>
          <xdr:nvPicPr>
            <xdr:cNvPr id="3112" name="Picture 40" descr="social_links"/>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919" y="156"/>
              <a:ext cx="232" cy="7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113" name="Picture 41" descr="thumb-up"/>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893" y="115"/>
              <a:ext cx="240" cy="35"/>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3114" name="Picture 42" descr="unlock">
            <a:hlinkClick xmlns:r="http://schemas.openxmlformats.org/officeDocument/2006/relationships" r:id="rId14" tooltip="Get Unlocked Version of Beverage Stocktake Template "/>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5" y="433"/>
            <a:ext cx="320" cy="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115" name="Picture 43" descr="price_tag_39"/>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925" y="483"/>
            <a:ext cx="320" cy="1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838200</xdr:colOff>
      <xdr:row>0</xdr:row>
      <xdr:rowOff>57150</xdr:rowOff>
    </xdr:from>
    <xdr:to>
      <xdr:col>15</xdr:col>
      <xdr:colOff>619125</xdr:colOff>
      <xdr:row>0</xdr:row>
      <xdr:rowOff>647700</xdr:rowOff>
    </xdr:to>
    <xdr:pic>
      <xdr:nvPicPr>
        <xdr:cNvPr id="4119" name="Picture 23" descr="white-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0" y="57150"/>
          <a:ext cx="2695575" cy="59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57150</xdr:colOff>
      <xdr:row>0</xdr:row>
      <xdr:rowOff>66675</xdr:rowOff>
    </xdr:from>
    <xdr:to>
      <xdr:col>21</xdr:col>
      <xdr:colOff>57150</xdr:colOff>
      <xdr:row>17</xdr:row>
      <xdr:rowOff>133350</xdr:rowOff>
    </xdr:to>
    <xdr:grpSp>
      <xdr:nvGrpSpPr>
        <xdr:cNvPr id="4120" name="Group 24"/>
        <xdr:cNvGrpSpPr>
          <a:grpSpLocks/>
        </xdr:cNvGrpSpPr>
      </xdr:nvGrpSpPr>
      <xdr:grpSpPr bwMode="auto">
        <a:xfrm>
          <a:off x="10877550" y="66675"/>
          <a:ext cx="3048000" cy="4114800"/>
          <a:chOff x="925" y="201"/>
          <a:chExt cx="320" cy="432"/>
        </a:xfrm>
      </xdr:grpSpPr>
      <xdr:grpSp>
        <xdr:nvGrpSpPr>
          <xdr:cNvPr id="4121" name="Group 25"/>
          <xdr:cNvGrpSpPr>
            <a:grpSpLocks/>
          </xdr:cNvGrpSpPr>
        </xdr:nvGrpSpPr>
        <xdr:grpSpPr bwMode="auto">
          <a:xfrm>
            <a:off x="925" y="382"/>
            <a:ext cx="320" cy="45"/>
            <a:chOff x="1204" y="240"/>
            <a:chExt cx="320" cy="45"/>
          </a:xfrm>
        </xdr:grpSpPr>
        <xdr:pic>
          <xdr:nvPicPr>
            <xdr:cNvPr id="4122" name="Picture 26" descr="follow-u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4" y="240"/>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23" name="Picture 27" descr="follow-u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4" y="252"/>
              <a:ext cx="85" cy="2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24" name="Picture 28" descr="linked-in">
              <a:hlinkClick xmlns:r="http://schemas.openxmlformats.org/officeDocument/2006/relationships" r:id="rId4" tooltip="Follow us on LinkedIN"/>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34"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25" name="Picture 29" descr="gplus">
              <a:hlinkClick xmlns:r="http://schemas.openxmlformats.org/officeDocument/2006/relationships" r:id="rId6" tooltip="Add us to your circles on Google plus"/>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68"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26" name="Picture 30" descr="facebook1">
              <a:hlinkClick xmlns:r="http://schemas.openxmlformats.org/officeDocument/2006/relationships" r:id="rId8" tooltip="Become a fan on Facebook"/>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02"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27" name="Picture 31" descr="pinterest1">
              <a:hlinkClick xmlns:r="http://schemas.openxmlformats.org/officeDocument/2006/relationships" r:id="rId10" tooltip="Follow us on Pintere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36"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28" name="Picture 32" descr="twitter1">
              <a:hlinkClick xmlns:r="http://schemas.openxmlformats.org/officeDocument/2006/relationships" r:id="rId12" tooltip="Follow us on Twitter"/>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71" y="245"/>
              <a:ext cx="34" cy="34"/>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4129" name="Group 33">
            <a:hlinkClick xmlns:r="http://schemas.openxmlformats.org/officeDocument/2006/relationships" r:id="rId14" tooltip="Write your review about this template"/>
          </xdr:cNvPr>
          <xdr:cNvGrpSpPr>
            <a:grpSpLocks/>
          </xdr:cNvGrpSpPr>
        </xdr:nvGrpSpPr>
        <xdr:grpSpPr bwMode="auto">
          <a:xfrm>
            <a:off x="925" y="201"/>
            <a:ext cx="320" cy="45"/>
            <a:chOff x="881" y="58"/>
            <a:chExt cx="320" cy="45"/>
          </a:xfrm>
        </xdr:grpSpPr>
        <xdr:pic>
          <xdr:nvPicPr>
            <xdr:cNvPr id="4130" name="Picture 34" descr="ratings"/>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81" y="58"/>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31" name="Picture 35" descr="stars"/>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3" y="68"/>
              <a:ext cx="133" cy="25"/>
            </a:xfrm>
            <a:prstGeom prst="rect">
              <a:avLst/>
            </a:prstGeom>
            <a:noFill/>
            <a:ln>
              <a:noFill/>
            </a:ln>
            <a:extLst>
              <a:ext uri="{909E8E84-426E-40DD-AFC4-6F175D3DCCD1}">
                <a14:hiddenFill xmlns:a14="http://schemas.microsoft.com/office/drawing/2010/main">
                  <a:solidFill>
                    <a:srgbClr xmlns:mc="http://schemas.openxmlformats.org/markup-compatibility/2006" val="D9EDC1" mc:Ignorable="a14" a14:legacySpreadsheetColorIndex="11"/>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132" name="Picture 36" descr="write-your-review"/>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38" y="72"/>
              <a:ext cx="150" cy="2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4133" name="Group 37">
            <a:hlinkClick xmlns:r="http://schemas.openxmlformats.org/officeDocument/2006/relationships" r:id="rId18" tooltip="Give a thumb-up to this free template on your social network"/>
          </xdr:cNvPr>
          <xdr:cNvGrpSpPr>
            <a:grpSpLocks/>
          </xdr:cNvGrpSpPr>
        </xdr:nvGrpSpPr>
        <xdr:grpSpPr bwMode="auto">
          <a:xfrm>
            <a:off x="925" y="251"/>
            <a:ext cx="320" cy="125"/>
            <a:chOff x="881" y="109"/>
            <a:chExt cx="320" cy="125"/>
          </a:xfrm>
        </xdr:grpSpPr>
        <xdr:pic>
          <xdr:nvPicPr>
            <xdr:cNvPr id="4134" name="Picture 38" descr="tumbs-up"/>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881" y="109"/>
              <a:ext cx="320" cy="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135" name="Rectangle 39"/>
            <xdr:cNvSpPr>
              <a:spLocks noChangeArrowheads="1"/>
            </xdr:cNvSpPr>
          </xdr:nvSpPr>
          <xdr:spPr bwMode="auto">
            <a:xfrm>
              <a:off x="893" y="151"/>
              <a:ext cx="295" cy="7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pic>
          <xdr:nvPicPr>
            <xdr:cNvPr id="4136" name="Picture 40" descr="social_links"/>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919" y="156"/>
              <a:ext cx="232" cy="7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37" name="Picture 41" descr="thumb-up"/>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893" y="115"/>
              <a:ext cx="240" cy="35"/>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4138" name="Picture 42" descr="unlock">
            <a:hlinkClick xmlns:r="http://schemas.openxmlformats.org/officeDocument/2006/relationships" r:id="rId14" tooltip="Get Unlocked Version of Beverage Stocktake Template "/>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5" y="433"/>
            <a:ext cx="320" cy="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39" name="Picture 43" descr="price_tag_39"/>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925" y="483"/>
            <a:ext cx="320" cy="1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838200</xdr:colOff>
      <xdr:row>0</xdr:row>
      <xdr:rowOff>57150</xdr:rowOff>
    </xdr:from>
    <xdr:to>
      <xdr:col>15</xdr:col>
      <xdr:colOff>619125</xdr:colOff>
      <xdr:row>0</xdr:row>
      <xdr:rowOff>647700</xdr:rowOff>
    </xdr:to>
    <xdr:pic>
      <xdr:nvPicPr>
        <xdr:cNvPr id="5143" name="Picture 23" descr="white-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0" y="57150"/>
          <a:ext cx="2695575" cy="59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66675</xdr:colOff>
      <xdr:row>0</xdr:row>
      <xdr:rowOff>66675</xdr:rowOff>
    </xdr:from>
    <xdr:to>
      <xdr:col>21</xdr:col>
      <xdr:colOff>66675</xdr:colOff>
      <xdr:row>17</xdr:row>
      <xdr:rowOff>133350</xdr:rowOff>
    </xdr:to>
    <xdr:grpSp>
      <xdr:nvGrpSpPr>
        <xdr:cNvPr id="5144" name="Group 24"/>
        <xdr:cNvGrpSpPr>
          <a:grpSpLocks/>
        </xdr:cNvGrpSpPr>
      </xdr:nvGrpSpPr>
      <xdr:grpSpPr bwMode="auto">
        <a:xfrm>
          <a:off x="10887075" y="66675"/>
          <a:ext cx="3048000" cy="4114800"/>
          <a:chOff x="925" y="201"/>
          <a:chExt cx="320" cy="432"/>
        </a:xfrm>
      </xdr:grpSpPr>
      <xdr:grpSp>
        <xdr:nvGrpSpPr>
          <xdr:cNvPr id="5145" name="Group 25"/>
          <xdr:cNvGrpSpPr>
            <a:grpSpLocks/>
          </xdr:cNvGrpSpPr>
        </xdr:nvGrpSpPr>
        <xdr:grpSpPr bwMode="auto">
          <a:xfrm>
            <a:off x="925" y="382"/>
            <a:ext cx="320" cy="45"/>
            <a:chOff x="1204" y="240"/>
            <a:chExt cx="320" cy="45"/>
          </a:xfrm>
        </xdr:grpSpPr>
        <xdr:pic>
          <xdr:nvPicPr>
            <xdr:cNvPr id="5146" name="Picture 26" descr="follow-u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4" y="240"/>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47" name="Picture 27" descr="follow-u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4" y="252"/>
              <a:ext cx="85" cy="2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48" name="Picture 28" descr="linked-in">
              <a:hlinkClick xmlns:r="http://schemas.openxmlformats.org/officeDocument/2006/relationships" r:id="rId4" tooltip="Follow us on LinkedIN"/>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34"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49" name="Picture 29" descr="gplus">
              <a:hlinkClick xmlns:r="http://schemas.openxmlformats.org/officeDocument/2006/relationships" r:id="rId6" tooltip="Add us to your circles on Google plus"/>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68"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50" name="Picture 30" descr="facebook1">
              <a:hlinkClick xmlns:r="http://schemas.openxmlformats.org/officeDocument/2006/relationships" r:id="rId8" tooltip="Become a fan on Facebook"/>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02"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51" name="Picture 31" descr="pinterest1">
              <a:hlinkClick xmlns:r="http://schemas.openxmlformats.org/officeDocument/2006/relationships" r:id="rId10" tooltip="Follow us on Pintere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36"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52" name="Picture 32" descr="twitter1">
              <a:hlinkClick xmlns:r="http://schemas.openxmlformats.org/officeDocument/2006/relationships" r:id="rId12" tooltip="Follow us on Twitter"/>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71" y="245"/>
              <a:ext cx="34" cy="34"/>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5153" name="Group 33">
            <a:hlinkClick xmlns:r="http://schemas.openxmlformats.org/officeDocument/2006/relationships" r:id="rId14" tooltip="Write your review about this template"/>
          </xdr:cNvPr>
          <xdr:cNvGrpSpPr>
            <a:grpSpLocks/>
          </xdr:cNvGrpSpPr>
        </xdr:nvGrpSpPr>
        <xdr:grpSpPr bwMode="auto">
          <a:xfrm>
            <a:off x="925" y="201"/>
            <a:ext cx="320" cy="45"/>
            <a:chOff x="881" y="58"/>
            <a:chExt cx="320" cy="45"/>
          </a:xfrm>
        </xdr:grpSpPr>
        <xdr:pic>
          <xdr:nvPicPr>
            <xdr:cNvPr id="5154" name="Picture 34" descr="ratings"/>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81" y="58"/>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55" name="Picture 35" descr="stars"/>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3" y="68"/>
              <a:ext cx="133" cy="25"/>
            </a:xfrm>
            <a:prstGeom prst="rect">
              <a:avLst/>
            </a:prstGeom>
            <a:noFill/>
            <a:ln>
              <a:noFill/>
            </a:ln>
            <a:extLst>
              <a:ext uri="{909E8E84-426E-40DD-AFC4-6F175D3DCCD1}">
                <a14:hiddenFill xmlns:a14="http://schemas.microsoft.com/office/drawing/2010/main">
                  <a:solidFill>
                    <a:srgbClr xmlns:mc="http://schemas.openxmlformats.org/markup-compatibility/2006" val="D9EDC1" mc:Ignorable="a14" a14:legacySpreadsheetColorIndex="11"/>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156" name="Picture 36" descr="write-your-review"/>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38" y="72"/>
              <a:ext cx="150" cy="2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5157" name="Group 37">
            <a:hlinkClick xmlns:r="http://schemas.openxmlformats.org/officeDocument/2006/relationships" r:id="rId18" tooltip="Give a thumb-up to this free template on your social network"/>
          </xdr:cNvPr>
          <xdr:cNvGrpSpPr>
            <a:grpSpLocks/>
          </xdr:cNvGrpSpPr>
        </xdr:nvGrpSpPr>
        <xdr:grpSpPr bwMode="auto">
          <a:xfrm>
            <a:off x="925" y="251"/>
            <a:ext cx="320" cy="125"/>
            <a:chOff x="881" y="109"/>
            <a:chExt cx="320" cy="125"/>
          </a:xfrm>
        </xdr:grpSpPr>
        <xdr:pic>
          <xdr:nvPicPr>
            <xdr:cNvPr id="5158" name="Picture 38" descr="tumbs-up"/>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881" y="109"/>
              <a:ext cx="320" cy="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159" name="Rectangle 39"/>
            <xdr:cNvSpPr>
              <a:spLocks noChangeArrowheads="1"/>
            </xdr:cNvSpPr>
          </xdr:nvSpPr>
          <xdr:spPr bwMode="auto">
            <a:xfrm>
              <a:off x="893" y="151"/>
              <a:ext cx="295" cy="7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pic>
          <xdr:nvPicPr>
            <xdr:cNvPr id="5160" name="Picture 40" descr="social_links"/>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919" y="156"/>
              <a:ext cx="232" cy="7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61" name="Picture 41" descr="thumb-up"/>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893" y="115"/>
              <a:ext cx="240" cy="35"/>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5162" name="Picture 42" descr="unlock">
            <a:hlinkClick xmlns:r="http://schemas.openxmlformats.org/officeDocument/2006/relationships" r:id="rId14" tooltip="Get Unlocked Version of Beverage Stocktake Template "/>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5" y="433"/>
            <a:ext cx="320" cy="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63" name="Picture 43" descr="price_tag_39"/>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925" y="483"/>
            <a:ext cx="320" cy="1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838200</xdr:colOff>
      <xdr:row>0</xdr:row>
      <xdr:rowOff>57150</xdr:rowOff>
    </xdr:from>
    <xdr:to>
      <xdr:col>15</xdr:col>
      <xdr:colOff>619125</xdr:colOff>
      <xdr:row>0</xdr:row>
      <xdr:rowOff>647700</xdr:rowOff>
    </xdr:to>
    <xdr:pic>
      <xdr:nvPicPr>
        <xdr:cNvPr id="6167" name="Picture 23" descr="white-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0" y="57150"/>
          <a:ext cx="2695575" cy="59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66675</xdr:colOff>
      <xdr:row>0</xdr:row>
      <xdr:rowOff>66675</xdr:rowOff>
    </xdr:from>
    <xdr:to>
      <xdr:col>21</xdr:col>
      <xdr:colOff>66675</xdr:colOff>
      <xdr:row>17</xdr:row>
      <xdr:rowOff>133350</xdr:rowOff>
    </xdr:to>
    <xdr:grpSp>
      <xdr:nvGrpSpPr>
        <xdr:cNvPr id="6168" name="Group 24"/>
        <xdr:cNvGrpSpPr>
          <a:grpSpLocks/>
        </xdr:cNvGrpSpPr>
      </xdr:nvGrpSpPr>
      <xdr:grpSpPr bwMode="auto">
        <a:xfrm>
          <a:off x="10887075" y="66675"/>
          <a:ext cx="3048000" cy="4114800"/>
          <a:chOff x="925" y="201"/>
          <a:chExt cx="320" cy="432"/>
        </a:xfrm>
      </xdr:grpSpPr>
      <xdr:grpSp>
        <xdr:nvGrpSpPr>
          <xdr:cNvPr id="6169" name="Group 25"/>
          <xdr:cNvGrpSpPr>
            <a:grpSpLocks/>
          </xdr:cNvGrpSpPr>
        </xdr:nvGrpSpPr>
        <xdr:grpSpPr bwMode="auto">
          <a:xfrm>
            <a:off x="925" y="382"/>
            <a:ext cx="320" cy="45"/>
            <a:chOff x="1204" y="240"/>
            <a:chExt cx="320" cy="45"/>
          </a:xfrm>
        </xdr:grpSpPr>
        <xdr:pic>
          <xdr:nvPicPr>
            <xdr:cNvPr id="6170" name="Picture 26" descr="follow-u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4" y="240"/>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171" name="Picture 27" descr="follow-u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4" y="252"/>
              <a:ext cx="85" cy="2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172" name="Picture 28" descr="linked-in">
              <a:hlinkClick xmlns:r="http://schemas.openxmlformats.org/officeDocument/2006/relationships" r:id="rId4" tooltip="Follow us on LinkedIN"/>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34"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173" name="Picture 29" descr="gplus">
              <a:hlinkClick xmlns:r="http://schemas.openxmlformats.org/officeDocument/2006/relationships" r:id="rId6" tooltip="Add us to your circles on Google plus"/>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68"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174" name="Picture 30" descr="facebook1">
              <a:hlinkClick xmlns:r="http://schemas.openxmlformats.org/officeDocument/2006/relationships" r:id="rId8" tooltip="Become a fan on Facebook"/>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02"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175" name="Picture 31" descr="pinterest1">
              <a:hlinkClick xmlns:r="http://schemas.openxmlformats.org/officeDocument/2006/relationships" r:id="rId10" tooltip="Follow us on Pintere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36"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176" name="Picture 32" descr="twitter1">
              <a:hlinkClick xmlns:r="http://schemas.openxmlformats.org/officeDocument/2006/relationships" r:id="rId12" tooltip="Follow us on Twitter"/>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71" y="245"/>
              <a:ext cx="34" cy="34"/>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6177" name="Group 33">
            <a:hlinkClick xmlns:r="http://schemas.openxmlformats.org/officeDocument/2006/relationships" r:id="rId14" tooltip="Write your review about this template"/>
          </xdr:cNvPr>
          <xdr:cNvGrpSpPr>
            <a:grpSpLocks/>
          </xdr:cNvGrpSpPr>
        </xdr:nvGrpSpPr>
        <xdr:grpSpPr bwMode="auto">
          <a:xfrm>
            <a:off x="925" y="201"/>
            <a:ext cx="320" cy="45"/>
            <a:chOff x="881" y="58"/>
            <a:chExt cx="320" cy="45"/>
          </a:xfrm>
        </xdr:grpSpPr>
        <xdr:pic>
          <xdr:nvPicPr>
            <xdr:cNvPr id="6178" name="Picture 34" descr="ratings"/>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81" y="58"/>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179" name="Picture 35" descr="stars"/>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3" y="68"/>
              <a:ext cx="133" cy="25"/>
            </a:xfrm>
            <a:prstGeom prst="rect">
              <a:avLst/>
            </a:prstGeom>
            <a:noFill/>
            <a:ln>
              <a:noFill/>
            </a:ln>
            <a:extLst>
              <a:ext uri="{909E8E84-426E-40DD-AFC4-6F175D3DCCD1}">
                <a14:hiddenFill xmlns:a14="http://schemas.microsoft.com/office/drawing/2010/main">
                  <a:solidFill>
                    <a:srgbClr xmlns:mc="http://schemas.openxmlformats.org/markup-compatibility/2006" val="D9EDC1" mc:Ignorable="a14" a14:legacySpreadsheetColorIndex="11"/>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180" name="Picture 36" descr="write-your-review"/>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38" y="72"/>
              <a:ext cx="150" cy="2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6181" name="Group 37">
            <a:hlinkClick xmlns:r="http://schemas.openxmlformats.org/officeDocument/2006/relationships" r:id="rId18" tooltip="Give a thumb-up to this free template on your social network"/>
          </xdr:cNvPr>
          <xdr:cNvGrpSpPr>
            <a:grpSpLocks/>
          </xdr:cNvGrpSpPr>
        </xdr:nvGrpSpPr>
        <xdr:grpSpPr bwMode="auto">
          <a:xfrm>
            <a:off x="925" y="251"/>
            <a:ext cx="320" cy="125"/>
            <a:chOff x="881" y="109"/>
            <a:chExt cx="320" cy="125"/>
          </a:xfrm>
        </xdr:grpSpPr>
        <xdr:pic>
          <xdr:nvPicPr>
            <xdr:cNvPr id="6182" name="Picture 38" descr="tumbs-up"/>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881" y="109"/>
              <a:ext cx="320" cy="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183" name="Rectangle 39"/>
            <xdr:cNvSpPr>
              <a:spLocks noChangeArrowheads="1"/>
            </xdr:cNvSpPr>
          </xdr:nvSpPr>
          <xdr:spPr bwMode="auto">
            <a:xfrm>
              <a:off x="893" y="151"/>
              <a:ext cx="295" cy="7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pic>
          <xdr:nvPicPr>
            <xdr:cNvPr id="6184" name="Picture 40" descr="social_links"/>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919" y="156"/>
              <a:ext cx="232" cy="7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185" name="Picture 41" descr="thumb-up"/>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893" y="115"/>
              <a:ext cx="240" cy="35"/>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6186" name="Picture 42" descr="unlock">
            <a:hlinkClick xmlns:r="http://schemas.openxmlformats.org/officeDocument/2006/relationships" r:id="rId14" tooltip="Get Unlocked Version of Beverage Stocktake Template "/>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5" y="433"/>
            <a:ext cx="320" cy="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187" name="Picture 43" descr="price_tag_39"/>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925" y="483"/>
            <a:ext cx="320" cy="1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838200</xdr:colOff>
      <xdr:row>0</xdr:row>
      <xdr:rowOff>57150</xdr:rowOff>
    </xdr:from>
    <xdr:to>
      <xdr:col>15</xdr:col>
      <xdr:colOff>619125</xdr:colOff>
      <xdr:row>0</xdr:row>
      <xdr:rowOff>647700</xdr:rowOff>
    </xdr:to>
    <xdr:pic>
      <xdr:nvPicPr>
        <xdr:cNvPr id="7191" name="Picture 23" descr="white-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0" y="57150"/>
          <a:ext cx="2695575" cy="59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66675</xdr:colOff>
      <xdr:row>0</xdr:row>
      <xdr:rowOff>66675</xdr:rowOff>
    </xdr:from>
    <xdr:to>
      <xdr:col>21</xdr:col>
      <xdr:colOff>66675</xdr:colOff>
      <xdr:row>17</xdr:row>
      <xdr:rowOff>133350</xdr:rowOff>
    </xdr:to>
    <xdr:grpSp>
      <xdr:nvGrpSpPr>
        <xdr:cNvPr id="7192" name="Group 24"/>
        <xdr:cNvGrpSpPr>
          <a:grpSpLocks/>
        </xdr:cNvGrpSpPr>
      </xdr:nvGrpSpPr>
      <xdr:grpSpPr bwMode="auto">
        <a:xfrm>
          <a:off x="10887075" y="66675"/>
          <a:ext cx="3048000" cy="4114800"/>
          <a:chOff x="925" y="201"/>
          <a:chExt cx="320" cy="432"/>
        </a:xfrm>
      </xdr:grpSpPr>
      <xdr:grpSp>
        <xdr:nvGrpSpPr>
          <xdr:cNvPr id="7193" name="Group 25"/>
          <xdr:cNvGrpSpPr>
            <a:grpSpLocks/>
          </xdr:cNvGrpSpPr>
        </xdr:nvGrpSpPr>
        <xdr:grpSpPr bwMode="auto">
          <a:xfrm>
            <a:off x="925" y="382"/>
            <a:ext cx="320" cy="45"/>
            <a:chOff x="1204" y="240"/>
            <a:chExt cx="320" cy="45"/>
          </a:xfrm>
        </xdr:grpSpPr>
        <xdr:pic>
          <xdr:nvPicPr>
            <xdr:cNvPr id="7194" name="Picture 26" descr="follow-u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4" y="240"/>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195" name="Picture 27" descr="follow-u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4" y="252"/>
              <a:ext cx="85" cy="2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196" name="Picture 28" descr="linked-in">
              <a:hlinkClick xmlns:r="http://schemas.openxmlformats.org/officeDocument/2006/relationships" r:id="rId4" tooltip="Follow us on LinkedIN"/>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34"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197" name="Picture 29" descr="gplus">
              <a:hlinkClick xmlns:r="http://schemas.openxmlformats.org/officeDocument/2006/relationships" r:id="rId6" tooltip="Add us to your circles on Google plus"/>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68"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198" name="Picture 30" descr="facebook1">
              <a:hlinkClick xmlns:r="http://schemas.openxmlformats.org/officeDocument/2006/relationships" r:id="rId8" tooltip="Become a fan on Facebook"/>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02"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199" name="Picture 31" descr="pinterest1">
              <a:hlinkClick xmlns:r="http://schemas.openxmlformats.org/officeDocument/2006/relationships" r:id="rId10" tooltip="Follow us on Pintere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36"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200" name="Picture 32" descr="twitter1">
              <a:hlinkClick xmlns:r="http://schemas.openxmlformats.org/officeDocument/2006/relationships" r:id="rId12" tooltip="Follow us on Twitter"/>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71" y="245"/>
              <a:ext cx="34" cy="34"/>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7201" name="Group 33">
            <a:hlinkClick xmlns:r="http://schemas.openxmlformats.org/officeDocument/2006/relationships" r:id="rId14" tooltip="Write your review about this template"/>
          </xdr:cNvPr>
          <xdr:cNvGrpSpPr>
            <a:grpSpLocks/>
          </xdr:cNvGrpSpPr>
        </xdr:nvGrpSpPr>
        <xdr:grpSpPr bwMode="auto">
          <a:xfrm>
            <a:off x="925" y="201"/>
            <a:ext cx="320" cy="45"/>
            <a:chOff x="881" y="58"/>
            <a:chExt cx="320" cy="45"/>
          </a:xfrm>
        </xdr:grpSpPr>
        <xdr:pic>
          <xdr:nvPicPr>
            <xdr:cNvPr id="7202" name="Picture 34" descr="ratings"/>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81" y="58"/>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203" name="Picture 35" descr="stars"/>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3" y="68"/>
              <a:ext cx="133" cy="25"/>
            </a:xfrm>
            <a:prstGeom prst="rect">
              <a:avLst/>
            </a:prstGeom>
            <a:noFill/>
            <a:ln>
              <a:noFill/>
            </a:ln>
            <a:extLst>
              <a:ext uri="{909E8E84-426E-40DD-AFC4-6F175D3DCCD1}">
                <a14:hiddenFill xmlns:a14="http://schemas.microsoft.com/office/drawing/2010/main">
                  <a:solidFill>
                    <a:srgbClr xmlns:mc="http://schemas.openxmlformats.org/markup-compatibility/2006" val="D9EDC1" mc:Ignorable="a14" a14:legacySpreadsheetColorIndex="11"/>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204" name="Picture 36" descr="write-your-review"/>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38" y="72"/>
              <a:ext cx="150" cy="2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7205" name="Group 37">
            <a:hlinkClick xmlns:r="http://schemas.openxmlformats.org/officeDocument/2006/relationships" r:id="rId18" tooltip="Give a thumb-up to this free template on your social network"/>
          </xdr:cNvPr>
          <xdr:cNvGrpSpPr>
            <a:grpSpLocks/>
          </xdr:cNvGrpSpPr>
        </xdr:nvGrpSpPr>
        <xdr:grpSpPr bwMode="auto">
          <a:xfrm>
            <a:off x="925" y="251"/>
            <a:ext cx="320" cy="125"/>
            <a:chOff x="881" y="109"/>
            <a:chExt cx="320" cy="125"/>
          </a:xfrm>
        </xdr:grpSpPr>
        <xdr:pic>
          <xdr:nvPicPr>
            <xdr:cNvPr id="7206" name="Picture 38" descr="tumbs-up"/>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881" y="109"/>
              <a:ext cx="320" cy="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207" name="Rectangle 39"/>
            <xdr:cNvSpPr>
              <a:spLocks noChangeArrowheads="1"/>
            </xdr:cNvSpPr>
          </xdr:nvSpPr>
          <xdr:spPr bwMode="auto">
            <a:xfrm>
              <a:off x="893" y="151"/>
              <a:ext cx="295" cy="7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pic>
          <xdr:nvPicPr>
            <xdr:cNvPr id="7208" name="Picture 40" descr="social_links"/>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919" y="156"/>
              <a:ext cx="232" cy="7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209" name="Picture 41" descr="thumb-up"/>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893" y="115"/>
              <a:ext cx="240" cy="35"/>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7210" name="Picture 42" descr="unlock">
            <a:hlinkClick xmlns:r="http://schemas.openxmlformats.org/officeDocument/2006/relationships" r:id="rId14" tooltip="Get Unlocked Version of Beverage Stocktake Template "/>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5" y="433"/>
            <a:ext cx="320" cy="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211" name="Picture 43" descr="price_tag_39"/>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925" y="483"/>
            <a:ext cx="320" cy="1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838200</xdr:colOff>
      <xdr:row>0</xdr:row>
      <xdr:rowOff>57150</xdr:rowOff>
    </xdr:from>
    <xdr:to>
      <xdr:col>15</xdr:col>
      <xdr:colOff>619125</xdr:colOff>
      <xdr:row>0</xdr:row>
      <xdr:rowOff>647700</xdr:rowOff>
    </xdr:to>
    <xdr:pic>
      <xdr:nvPicPr>
        <xdr:cNvPr id="8215" name="Picture 23" descr="white-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0" y="57150"/>
          <a:ext cx="2695575" cy="59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57150</xdr:colOff>
      <xdr:row>0</xdr:row>
      <xdr:rowOff>66675</xdr:rowOff>
    </xdr:from>
    <xdr:to>
      <xdr:col>21</xdr:col>
      <xdr:colOff>57150</xdr:colOff>
      <xdr:row>17</xdr:row>
      <xdr:rowOff>133350</xdr:rowOff>
    </xdr:to>
    <xdr:grpSp>
      <xdr:nvGrpSpPr>
        <xdr:cNvPr id="8216" name="Group 24"/>
        <xdr:cNvGrpSpPr>
          <a:grpSpLocks/>
        </xdr:cNvGrpSpPr>
      </xdr:nvGrpSpPr>
      <xdr:grpSpPr bwMode="auto">
        <a:xfrm>
          <a:off x="10877550" y="66675"/>
          <a:ext cx="3048000" cy="4114800"/>
          <a:chOff x="925" y="201"/>
          <a:chExt cx="320" cy="432"/>
        </a:xfrm>
      </xdr:grpSpPr>
      <xdr:grpSp>
        <xdr:nvGrpSpPr>
          <xdr:cNvPr id="8217" name="Group 25"/>
          <xdr:cNvGrpSpPr>
            <a:grpSpLocks/>
          </xdr:cNvGrpSpPr>
        </xdr:nvGrpSpPr>
        <xdr:grpSpPr bwMode="auto">
          <a:xfrm>
            <a:off x="925" y="382"/>
            <a:ext cx="320" cy="45"/>
            <a:chOff x="1204" y="240"/>
            <a:chExt cx="320" cy="45"/>
          </a:xfrm>
        </xdr:grpSpPr>
        <xdr:pic>
          <xdr:nvPicPr>
            <xdr:cNvPr id="8218" name="Picture 26" descr="follow-u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4" y="240"/>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219" name="Picture 27" descr="follow-u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4" y="252"/>
              <a:ext cx="85" cy="2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220" name="Picture 28" descr="linked-in">
              <a:hlinkClick xmlns:r="http://schemas.openxmlformats.org/officeDocument/2006/relationships" r:id="rId4" tooltip="Follow us on LinkedIN"/>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34"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221" name="Picture 29" descr="gplus">
              <a:hlinkClick xmlns:r="http://schemas.openxmlformats.org/officeDocument/2006/relationships" r:id="rId6" tooltip="Add us to your circles on Google plus"/>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68"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222" name="Picture 30" descr="facebook1">
              <a:hlinkClick xmlns:r="http://schemas.openxmlformats.org/officeDocument/2006/relationships" r:id="rId8" tooltip="Become a fan on Facebook"/>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02"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223" name="Picture 31" descr="pinterest1">
              <a:hlinkClick xmlns:r="http://schemas.openxmlformats.org/officeDocument/2006/relationships" r:id="rId10" tooltip="Follow us on Pintere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36"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224" name="Picture 32" descr="twitter1">
              <a:hlinkClick xmlns:r="http://schemas.openxmlformats.org/officeDocument/2006/relationships" r:id="rId12" tooltip="Follow us on Twitter"/>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71" y="245"/>
              <a:ext cx="34" cy="34"/>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8225" name="Group 33">
            <a:hlinkClick xmlns:r="http://schemas.openxmlformats.org/officeDocument/2006/relationships" r:id="rId14" tooltip="Write your review about this template"/>
          </xdr:cNvPr>
          <xdr:cNvGrpSpPr>
            <a:grpSpLocks/>
          </xdr:cNvGrpSpPr>
        </xdr:nvGrpSpPr>
        <xdr:grpSpPr bwMode="auto">
          <a:xfrm>
            <a:off x="925" y="201"/>
            <a:ext cx="320" cy="45"/>
            <a:chOff x="881" y="58"/>
            <a:chExt cx="320" cy="45"/>
          </a:xfrm>
        </xdr:grpSpPr>
        <xdr:pic>
          <xdr:nvPicPr>
            <xdr:cNvPr id="8226" name="Picture 34" descr="ratings"/>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81" y="58"/>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227" name="Picture 35" descr="stars"/>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3" y="68"/>
              <a:ext cx="133" cy="25"/>
            </a:xfrm>
            <a:prstGeom prst="rect">
              <a:avLst/>
            </a:prstGeom>
            <a:noFill/>
            <a:ln>
              <a:noFill/>
            </a:ln>
            <a:extLst>
              <a:ext uri="{909E8E84-426E-40DD-AFC4-6F175D3DCCD1}">
                <a14:hiddenFill xmlns:a14="http://schemas.microsoft.com/office/drawing/2010/main">
                  <a:solidFill>
                    <a:srgbClr xmlns:mc="http://schemas.openxmlformats.org/markup-compatibility/2006" val="D9EDC1" mc:Ignorable="a14" a14:legacySpreadsheetColorIndex="11"/>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8228" name="Picture 36" descr="write-your-review"/>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38" y="72"/>
              <a:ext cx="150" cy="2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8229" name="Group 37">
            <a:hlinkClick xmlns:r="http://schemas.openxmlformats.org/officeDocument/2006/relationships" r:id="rId18" tooltip="Give a thumb-up to this free template on your social network"/>
          </xdr:cNvPr>
          <xdr:cNvGrpSpPr>
            <a:grpSpLocks/>
          </xdr:cNvGrpSpPr>
        </xdr:nvGrpSpPr>
        <xdr:grpSpPr bwMode="auto">
          <a:xfrm>
            <a:off x="925" y="251"/>
            <a:ext cx="320" cy="125"/>
            <a:chOff x="881" y="109"/>
            <a:chExt cx="320" cy="125"/>
          </a:xfrm>
        </xdr:grpSpPr>
        <xdr:pic>
          <xdr:nvPicPr>
            <xdr:cNvPr id="8230" name="Picture 38" descr="tumbs-up"/>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881" y="109"/>
              <a:ext cx="320" cy="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231" name="Rectangle 39"/>
            <xdr:cNvSpPr>
              <a:spLocks noChangeArrowheads="1"/>
            </xdr:cNvSpPr>
          </xdr:nvSpPr>
          <xdr:spPr bwMode="auto">
            <a:xfrm>
              <a:off x="893" y="151"/>
              <a:ext cx="295" cy="7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pic>
          <xdr:nvPicPr>
            <xdr:cNvPr id="8232" name="Picture 40" descr="social_links"/>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919" y="156"/>
              <a:ext cx="232" cy="7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233" name="Picture 41" descr="thumb-up"/>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893" y="115"/>
              <a:ext cx="240" cy="35"/>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8234" name="Picture 42" descr="unlock">
            <a:hlinkClick xmlns:r="http://schemas.openxmlformats.org/officeDocument/2006/relationships" r:id="rId14" tooltip="Get Unlocked Version of Beverage Stocktake Template "/>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5" y="433"/>
            <a:ext cx="320" cy="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235" name="Picture 43" descr="price_tag_39"/>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925" y="483"/>
            <a:ext cx="320" cy="1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361950</xdr:colOff>
      <xdr:row>0</xdr:row>
      <xdr:rowOff>57150</xdr:rowOff>
    </xdr:from>
    <xdr:to>
      <xdr:col>14</xdr:col>
      <xdr:colOff>666750</xdr:colOff>
      <xdr:row>0</xdr:row>
      <xdr:rowOff>647700</xdr:rowOff>
    </xdr:to>
    <xdr:pic>
      <xdr:nvPicPr>
        <xdr:cNvPr id="10263" name="Picture 23" descr="white-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0" y="57150"/>
          <a:ext cx="2695575" cy="59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66675</xdr:colOff>
      <xdr:row>0</xdr:row>
      <xdr:rowOff>66675</xdr:rowOff>
    </xdr:from>
    <xdr:to>
      <xdr:col>20</xdr:col>
      <xdr:colOff>66675</xdr:colOff>
      <xdr:row>17</xdr:row>
      <xdr:rowOff>133350</xdr:rowOff>
    </xdr:to>
    <xdr:grpSp>
      <xdr:nvGrpSpPr>
        <xdr:cNvPr id="10264" name="Group 24"/>
        <xdr:cNvGrpSpPr>
          <a:grpSpLocks/>
        </xdr:cNvGrpSpPr>
      </xdr:nvGrpSpPr>
      <xdr:grpSpPr bwMode="auto">
        <a:xfrm>
          <a:off x="10906125" y="66675"/>
          <a:ext cx="3048000" cy="4114800"/>
          <a:chOff x="925" y="201"/>
          <a:chExt cx="320" cy="432"/>
        </a:xfrm>
      </xdr:grpSpPr>
      <xdr:grpSp>
        <xdr:nvGrpSpPr>
          <xdr:cNvPr id="10265" name="Group 25"/>
          <xdr:cNvGrpSpPr>
            <a:grpSpLocks/>
          </xdr:cNvGrpSpPr>
        </xdr:nvGrpSpPr>
        <xdr:grpSpPr bwMode="auto">
          <a:xfrm>
            <a:off x="925" y="382"/>
            <a:ext cx="320" cy="45"/>
            <a:chOff x="1204" y="240"/>
            <a:chExt cx="320" cy="45"/>
          </a:xfrm>
        </xdr:grpSpPr>
        <xdr:pic>
          <xdr:nvPicPr>
            <xdr:cNvPr id="10266" name="Picture 26" descr="follow-u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4" y="240"/>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267" name="Picture 27" descr="follow-u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4" y="252"/>
              <a:ext cx="85" cy="2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268" name="Picture 28" descr="linked-in">
              <a:hlinkClick xmlns:r="http://schemas.openxmlformats.org/officeDocument/2006/relationships" r:id="rId4" tooltip="Follow us on LinkedIN"/>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34"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269" name="Picture 29" descr="gplus">
              <a:hlinkClick xmlns:r="http://schemas.openxmlformats.org/officeDocument/2006/relationships" r:id="rId6" tooltip="Add us to your circles on Google plus"/>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68"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270" name="Picture 30" descr="facebook1">
              <a:hlinkClick xmlns:r="http://schemas.openxmlformats.org/officeDocument/2006/relationships" r:id="rId8" tooltip="Become a fan on Facebook"/>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02"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271" name="Picture 31" descr="pinterest1">
              <a:hlinkClick xmlns:r="http://schemas.openxmlformats.org/officeDocument/2006/relationships" r:id="rId10" tooltip="Follow us on Pintere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36"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272" name="Picture 32" descr="twitter1">
              <a:hlinkClick xmlns:r="http://schemas.openxmlformats.org/officeDocument/2006/relationships" r:id="rId12" tooltip="Follow us on Twitter"/>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71" y="245"/>
              <a:ext cx="34" cy="34"/>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10273" name="Group 33">
            <a:hlinkClick xmlns:r="http://schemas.openxmlformats.org/officeDocument/2006/relationships" r:id="rId14" tooltip="Write your review about this template"/>
          </xdr:cNvPr>
          <xdr:cNvGrpSpPr>
            <a:grpSpLocks/>
          </xdr:cNvGrpSpPr>
        </xdr:nvGrpSpPr>
        <xdr:grpSpPr bwMode="auto">
          <a:xfrm>
            <a:off x="925" y="201"/>
            <a:ext cx="320" cy="45"/>
            <a:chOff x="881" y="58"/>
            <a:chExt cx="320" cy="45"/>
          </a:xfrm>
        </xdr:grpSpPr>
        <xdr:pic>
          <xdr:nvPicPr>
            <xdr:cNvPr id="10274" name="Picture 34" descr="ratings"/>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81" y="58"/>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275" name="Picture 35" descr="stars"/>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3" y="68"/>
              <a:ext cx="133" cy="25"/>
            </a:xfrm>
            <a:prstGeom prst="rect">
              <a:avLst/>
            </a:prstGeom>
            <a:noFill/>
            <a:ln>
              <a:noFill/>
            </a:ln>
            <a:extLst>
              <a:ext uri="{909E8E84-426E-40DD-AFC4-6F175D3DCCD1}">
                <a14:hiddenFill xmlns:a14="http://schemas.microsoft.com/office/drawing/2010/main">
                  <a:solidFill>
                    <a:srgbClr xmlns:mc="http://schemas.openxmlformats.org/markup-compatibility/2006" val="D9EDC1" mc:Ignorable="a14" a14:legacySpreadsheetColorIndex="11"/>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276" name="Picture 36" descr="write-your-review"/>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38" y="72"/>
              <a:ext cx="150" cy="2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10277" name="Group 37">
            <a:hlinkClick xmlns:r="http://schemas.openxmlformats.org/officeDocument/2006/relationships" r:id="rId18" tooltip="Give a thumb-up to this free template on your social network"/>
          </xdr:cNvPr>
          <xdr:cNvGrpSpPr>
            <a:grpSpLocks/>
          </xdr:cNvGrpSpPr>
        </xdr:nvGrpSpPr>
        <xdr:grpSpPr bwMode="auto">
          <a:xfrm>
            <a:off x="925" y="251"/>
            <a:ext cx="320" cy="125"/>
            <a:chOff x="881" y="109"/>
            <a:chExt cx="320" cy="125"/>
          </a:xfrm>
        </xdr:grpSpPr>
        <xdr:pic>
          <xdr:nvPicPr>
            <xdr:cNvPr id="10278" name="Picture 38" descr="tumbs-up"/>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881" y="109"/>
              <a:ext cx="320" cy="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279" name="Rectangle 39"/>
            <xdr:cNvSpPr>
              <a:spLocks noChangeArrowheads="1"/>
            </xdr:cNvSpPr>
          </xdr:nvSpPr>
          <xdr:spPr bwMode="auto">
            <a:xfrm>
              <a:off x="893" y="151"/>
              <a:ext cx="295" cy="7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pic>
          <xdr:nvPicPr>
            <xdr:cNvPr id="10280" name="Picture 40" descr="social_links"/>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919" y="156"/>
              <a:ext cx="232" cy="7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281" name="Picture 41" descr="thumb-up"/>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893" y="115"/>
              <a:ext cx="240" cy="35"/>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10282" name="Picture 42" descr="unlock">
            <a:hlinkClick xmlns:r="http://schemas.openxmlformats.org/officeDocument/2006/relationships" r:id="rId14" tooltip="Get Unlocked Version of Beverage Stocktake Template "/>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5" y="433"/>
            <a:ext cx="320" cy="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283" name="Picture 43" descr="price_tag_39"/>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925" y="483"/>
            <a:ext cx="320" cy="1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en.wikipedia.org/wiki/Alcoholic_spirits_measure"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showGridLines="0" tabSelected="1" workbookViewId="0">
      <selection activeCell="J20" sqref="J20"/>
    </sheetView>
  </sheetViews>
  <sheetFormatPr defaultRowHeight="12.75"/>
  <cols>
    <col min="1" max="1" width="29.42578125" customWidth="1"/>
    <col min="2" max="2" width="15" customWidth="1"/>
    <col min="3" max="3" width="17.85546875" customWidth="1"/>
    <col min="4" max="4" width="3" customWidth="1"/>
    <col min="5" max="5" width="12.7109375" customWidth="1"/>
  </cols>
  <sheetData>
    <row r="1" spans="1:5" ht="34.5">
      <c r="A1" s="3" t="s">
        <v>130</v>
      </c>
    </row>
    <row r="3" spans="1:5" s="5" customFormat="1" ht="21.95" customHeight="1">
      <c r="A3" s="4" t="s">
        <v>131</v>
      </c>
      <c r="B3" s="4"/>
      <c r="C3" s="4"/>
      <c r="D3" s="4"/>
      <c r="E3" s="4"/>
    </row>
    <row r="4" spans="1:5" ht="8.1" customHeight="1"/>
    <row r="5" spans="1:5" s="8" customFormat="1" ht="18" customHeight="1">
      <c r="A5" s="5" t="s">
        <v>132</v>
      </c>
      <c r="B5" s="233" t="s">
        <v>133</v>
      </c>
      <c r="C5" s="234"/>
      <c r="D5" s="6"/>
      <c r="E5" s="7" t="s">
        <v>134</v>
      </c>
    </row>
    <row r="6" spans="1:5" s="8" customFormat="1" ht="18" customHeight="1">
      <c r="A6" s="5" t="s">
        <v>135</v>
      </c>
      <c r="B6" s="233" t="s">
        <v>136</v>
      </c>
      <c r="C6" s="234"/>
      <c r="D6" s="6"/>
      <c r="E6" s="7" t="s">
        <v>134</v>
      </c>
    </row>
    <row r="7" spans="1:5" s="8" customFormat="1" ht="8.1" customHeight="1">
      <c r="A7" s="5"/>
      <c r="B7" s="9"/>
      <c r="C7" s="9"/>
    </row>
    <row r="8" spans="1:5" s="8" customFormat="1" ht="21.95" customHeight="1">
      <c r="A8" s="4" t="s">
        <v>137</v>
      </c>
      <c r="B8" s="10"/>
      <c r="C8" s="10"/>
      <c r="D8" s="10"/>
      <c r="E8" s="10"/>
    </row>
    <row r="9" spans="1:5" s="8" customFormat="1" ht="8.1" customHeight="1">
      <c r="A9" s="5"/>
    </row>
    <row r="10" spans="1:5" s="8" customFormat="1" ht="18" customHeight="1">
      <c r="A10" s="5" t="s">
        <v>138</v>
      </c>
      <c r="B10" s="7" t="s">
        <v>139</v>
      </c>
    </row>
    <row r="11" spans="1:5" s="8" customFormat="1" ht="6.95" customHeight="1">
      <c r="A11" s="5"/>
      <c r="B11" s="11"/>
    </row>
    <row r="12" spans="1:5" s="8" customFormat="1" ht="18" customHeight="1">
      <c r="A12" s="5" t="str">
        <f>B10&amp;" Rate"</f>
        <v>Sales Tax Rate</v>
      </c>
      <c r="B12" s="17">
        <v>0.2</v>
      </c>
      <c r="E12" s="16"/>
    </row>
    <row r="13" spans="1:5" s="8" customFormat="1" ht="8.1" customHeight="1">
      <c r="A13" s="5"/>
      <c r="B13" s="11"/>
    </row>
    <row r="14" spans="1:5" s="8" customFormat="1" ht="18" customHeight="1">
      <c r="A14" s="5" t="s">
        <v>140</v>
      </c>
      <c r="B14" s="7" t="s">
        <v>141</v>
      </c>
    </row>
    <row r="15" spans="1:5" s="8" customFormat="1" ht="8.1" customHeight="1">
      <c r="A15" s="5"/>
    </row>
    <row r="16" spans="1:5" s="8" customFormat="1" ht="21.95" customHeight="1">
      <c r="A16" s="4" t="s">
        <v>89</v>
      </c>
      <c r="B16" s="10"/>
      <c r="C16" s="10"/>
      <c r="D16" s="10"/>
      <c r="E16" s="10"/>
    </row>
    <row r="17" spans="1:5" ht="6.95" customHeight="1">
      <c r="A17" s="14"/>
      <c r="B17" s="13"/>
      <c r="C17" s="13"/>
      <c r="D17" s="15"/>
    </row>
    <row r="18" spans="1:5" s="5" customFormat="1" ht="18" customHeight="1">
      <c r="A18" s="228" t="s">
        <v>289</v>
      </c>
      <c r="B18" s="18" t="s">
        <v>145</v>
      </c>
      <c r="C18" s="19">
        <v>25</v>
      </c>
    </row>
    <row r="19" spans="1:5" s="5" customFormat="1" ht="18" customHeight="1">
      <c r="A19" s="16" t="s">
        <v>290</v>
      </c>
      <c r="B19" s="18" t="s">
        <v>146</v>
      </c>
      <c r="C19" s="19">
        <v>50</v>
      </c>
    </row>
    <row r="20" spans="1:5" s="5" customFormat="1" ht="18" customHeight="1">
      <c r="A20" s="16"/>
      <c r="B20" s="18"/>
      <c r="C20" s="19"/>
    </row>
    <row r="21" spans="1:5" s="5" customFormat="1" ht="18" customHeight="1">
      <c r="A21" s="16"/>
      <c r="B21" s="18"/>
      <c r="C21" s="19"/>
    </row>
    <row r="22" spans="1:5" ht="6.95" customHeight="1">
      <c r="A22" s="2"/>
      <c r="B22" s="2"/>
      <c r="C22" s="2"/>
    </row>
    <row r="23" spans="1:5" s="8" customFormat="1" ht="21.95" customHeight="1">
      <c r="A23" s="4" t="s">
        <v>148</v>
      </c>
      <c r="B23" s="10"/>
      <c r="C23" s="10"/>
      <c r="D23" s="10"/>
      <c r="E23" s="10"/>
    </row>
    <row r="24" spans="1:5" ht="6.95" customHeight="1">
      <c r="A24" s="2"/>
      <c r="B24" s="2"/>
      <c r="C24" s="2"/>
    </row>
    <row r="25" spans="1:5" s="5" customFormat="1" ht="18" customHeight="1">
      <c r="A25" s="16" t="s">
        <v>90</v>
      </c>
      <c r="B25" s="19" t="s">
        <v>5</v>
      </c>
      <c r="C25" s="19">
        <v>700</v>
      </c>
    </row>
    <row r="26" spans="1:5" s="5" customFormat="1" ht="18" customHeight="1">
      <c r="A26" s="16" t="s">
        <v>90</v>
      </c>
      <c r="B26" s="19" t="s">
        <v>33</v>
      </c>
      <c r="C26" s="19">
        <v>750</v>
      </c>
    </row>
    <row r="27" spans="1:5" s="5" customFormat="1" ht="18" customHeight="1">
      <c r="A27" s="16" t="s">
        <v>90</v>
      </c>
      <c r="B27" s="19" t="s">
        <v>7</v>
      </c>
      <c r="C27" s="19">
        <v>1500</v>
      </c>
    </row>
    <row r="28" spans="1:5" s="5" customFormat="1" ht="18" customHeight="1">
      <c r="A28" s="16" t="s">
        <v>90</v>
      </c>
      <c r="B28" s="19" t="s">
        <v>115</v>
      </c>
      <c r="C28" s="19">
        <v>750</v>
      </c>
    </row>
    <row r="29" spans="1:5" s="5" customFormat="1" ht="18" customHeight="1">
      <c r="A29" s="16" t="s">
        <v>147</v>
      </c>
      <c r="B29" s="19" t="s">
        <v>116</v>
      </c>
      <c r="C29" s="19">
        <v>375</v>
      </c>
    </row>
    <row r="30" spans="1:5" s="5" customFormat="1" ht="18" customHeight="1">
      <c r="A30" s="16"/>
      <c r="B30" s="19"/>
      <c r="C30" s="19"/>
    </row>
    <row r="31" spans="1:5" ht="6.95" customHeight="1">
      <c r="A31" s="2"/>
      <c r="B31" s="2"/>
      <c r="C31" s="2"/>
    </row>
    <row r="32" spans="1:5" s="8" customFormat="1" ht="21.95" customHeight="1">
      <c r="A32" s="4" t="s">
        <v>149</v>
      </c>
      <c r="B32" s="10"/>
      <c r="C32" s="10"/>
      <c r="D32" s="10"/>
      <c r="E32" s="10"/>
    </row>
    <row r="33" spans="1:5" ht="6.95" customHeight="1">
      <c r="A33" s="2"/>
      <c r="B33" s="2"/>
      <c r="C33" s="2"/>
    </row>
    <row r="34" spans="1:5" s="5" customFormat="1" ht="18" customHeight="1">
      <c r="A34" s="16" t="s">
        <v>154</v>
      </c>
      <c r="B34" s="19" t="s">
        <v>60</v>
      </c>
      <c r="C34" s="19">
        <v>500</v>
      </c>
    </row>
    <row r="35" spans="1:5" s="5" customFormat="1" ht="18" customHeight="1">
      <c r="A35" s="16" t="s">
        <v>154</v>
      </c>
      <c r="B35" s="19" t="s">
        <v>54</v>
      </c>
      <c r="C35" s="19">
        <v>330</v>
      </c>
    </row>
    <row r="36" spans="1:5" s="5" customFormat="1" ht="18" customHeight="1">
      <c r="A36" s="16" t="s">
        <v>154</v>
      </c>
      <c r="B36" s="19" t="s">
        <v>58</v>
      </c>
      <c r="C36" s="19">
        <v>275</v>
      </c>
    </row>
    <row r="37" spans="1:5" s="5" customFormat="1" ht="18" customHeight="1">
      <c r="A37" s="16" t="s">
        <v>154</v>
      </c>
      <c r="B37" s="19" t="s">
        <v>76</v>
      </c>
      <c r="C37" s="19">
        <v>250</v>
      </c>
    </row>
    <row r="38" spans="1:5" s="5" customFormat="1" ht="18" customHeight="1">
      <c r="A38" s="16"/>
      <c r="B38" s="19"/>
      <c r="C38" s="19"/>
    </row>
    <row r="39" spans="1:5" ht="6.95" customHeight="1">
      <c r="A39" s="2"/>
      <c r="B39" s="2"/>
      <c r="C39" s="2"/>
    </row>
    <row r="40" spans="1:5" s="8" customFormat="1" ht="21.95" customHeight="1">
      <c r="A40" s="4" t="s">
        <v>150</v>
      </c>
      <c r="B40" s="10"/>
      <c r="C40" s="10"/>
      <c r="D40" s="10"/>
      <c r="E40" s="10"/>
    </row>
    <row r="41" spans="1:5" ht="6.95" customHeight="1">
      <c r="A41" s="2"/>
      <c r="B41" s="2"/>
      <c r="C41" s="2"/>
    </row>
    <row r="42" spans="1:5" s="5" customFormat="1" ht="18" customHeight="1">
      <c r="A42" s="16" t="s">
        <v>154</v>
      </c>
      <c r="B42" s="19" t="s">
        <v>151</v>
      </c>
      <c r="C42" s="229">
        <v>2000</v>
      </c>
    </row>
    <row r="43" spans="1:5" s="5" customFormat="1" ht="18" customHeight="1">
      <c r="A43" s="16" t="s">
        <v>154</v>
      </c>
      <c r="B43" s="19" t="s">
        <v>152</v>
      </c>
      <c r="C43" s="229">
        <v>1500</v>
      </c>
    </row>
    <row r="44" spans="1:5" s="5" customFormat="1" ht="18" customHeight="1">
      <c r="A44" s="16" t="s">
        <v>154</v>
      </c>
      <c r="B44" s="19" t="s">
        <v>153</v>
      </c>
      <c r="C44" s="229">
        <v>1000</v>
      </c>
    </row>
    <row r="45" spans="1:5" s="5" customFormat="1" ht="18" customHeight="1">
      <c r="A45" s="16" t="s">
        <v>154</v>
      </c>
      <c r="B45" s="19" t="s">
        <v>54</v>
      </c>
      <c r="C45" s="19">
        <v>330</v>
      </c>
    </row>
    <row r="46" spans="1:5" s="5" customFormat="1" ht="18" customHeight="1">
      <c r="A46" s="16" t="s">
        <v>154</v>
      </c>
      <c r="B46" s="19" t="s">
        <v>58</v>
      </c>
      <c r="C46" s="19">
        <v>275</v>
      </c>
    </row>
    <row r="47" spans="1:5" s="5" customFormat="1" ht="18" customHeight="1">
      <c r="A47" s="16" t="s">
        <v>154</v>
      </c>
      <c r="B47" s="19" t="s">
        <v>76</v>
      </c>
      <c r="C47" s="19">
        <v>250</v>
      </c>
    </row>
    <row r="48" spans="1:5" s="5" customFormat="1" ht="18" customHeight="1">
      <c r="A48" s="16" t="s">
        <v>154</v>
      </c>
      <c r="B48" s="19" t="s">
        <v>71</v>
      </c>
      <c r="C48" s="19">
        <v>180</v>
      </c>
    </row>
    <row r="49" spans="1:5" s="5" customFormat="1" ht="18" customHeight="1">
      <c r="A49" s="16" t="s">
        <v>154</v>
      </c>
      <c r="B49" s="19" t="s">
        <v>72</v>
      </c>
      <c r="C49" s="19">
        <v>113</v>
      </c>
    </row>
    <row r="50" spans="1:5" s="5" customFormat="1" ht="18" customHeight="1">
      <c r="A50" s="16" t="s">
        <v>180</v>
      </c>
      <c r="B50" s="19" t="s">
        <v>178</v>
      </c>
      <c r="C50" s="19">
        <v>20</v>
      </c>
    </row>
    <row r="51" spans="1:5" s="5" customFormat="1" ht="18" customHeight="1">
      <c r="A51" s="16" t="s">
        <v>180</v>
      </c>
      <c r="B51" s="19" t="s">
        <v>145</v>
      </c>
      <c r="C51" s="19">
        <v>25</v>
      </c>
    </row>
    <row r="52" spans="1:5" s="5" customFormat="1" ht="18" customHeight="1">
      <c r="A52" s="16"/>
      <c r="B52" s="19"/>
      <c r="C52" s="19"/>
    </row>
    <row r="53" spans="1:5" ht="6.95" customHeight="1"/>
    <row r="54" spans="1:5" s="8" customFormat="1" ht="21.95" customHeight="1">
      <c r="A54" s="4" t="s">
        <v>144</v>
      </c>
      <c r="B54" s="10"/>
      <c r="C54" s="10"/>
      <c r="D54" s="10"/>
      <c r="E54" s="10"/>
    </row>
    <row r="55" spans="1:5" ht="6.95" customHeight="1">
      <c r="A55" s="12"/>
      <c r="B55" s="12"/>
      <c r="C55" s="12"/>
    </row>
    <row r="56" spans="1:5" s="5" customFormat="1" ht="18" customHeight="1">
      <c r="A56" s="16" t="s">
        <v>91</v>
      </c>
      <c r="B56" s="19" t="s">
        <v>94</v>
      </c>
      <c r="C56" s="19">
        <v>22</v>
      </c>
    </row>
    <row r="57" spans="1:5" s="5" customFormat="1" ht="18" customHeight="1">
      <c r="A57" s="16" t="s">
        <v>92</v>
      </c>
      <c r="B57" s="19" t="s">
        <v>95</v>
      </c>
      <c r="C57" s="19">
        <v>10</v>
      </c>
    </row>
    <row r="58" spans="1:5" s="5" customFormat="1" ht="18" customHeight="1">
      <c r="A58" s="16" t="s">
        <v>93</v>
      </c>
      <c r="B58" s="19" t="s">
        <v>97</v>
      </c>
      <c r="C58" s="19">
        <v>7.1</v>
      </c>
    </row>
    <row r="59" spans="1:5" s="5" customFormat="1" ht="18" customHeight="1">
      <c r="A59" s="16"/>
      <c r="B59" s="19"/>
      <c r="C59" s="19"/>
    </row>
    <row r="60" spans="1:5" ht="6.95" customHeight="1">
      <c r="A60" s="2"/>
      <c r="B60" s="2"/>
      <c r="C60" s="2"/>
      <c r="E60" s="2"/>
    </row>
    <row r="61" spans="1:5" ht="6.95" customHeight="1"/>
    <row r="62" spans="1:5" s="8" customFormat="1" ht="21.95" customHeight="1">
      <c r="A62" s="4" t="s">
        <v>181</v>
      </c>
      <c r="B62" s="10"/>
      <c r="C62" s="10"/>
      <c r="D62" s="10"/>
      <c r="E62" s="10"/>
    </row>
    <row r="63" spans="1:5" ht="6.95" customHeight="1">
      <c r="A63" s="12"/>
      <c r="B63" s="12"/>
      <c r="C63" s="12"/>
    </row>
    <row r="64" spans="1:5" s="5" customFormat="1" ht="18" customHeight="1">
      <c r="A64" s="5" t="s">
        <v>175</v>
      </c>
      <c r="B64" s="18">
        <v>1</v>
      </c>
    </row>
    <row r="65" spans="1:2" s="5" customFormat="1" ht="18" customHeight="1">
      <c r="A65" s="5" t="s">
        <v>159</v>
      </c>
      <c r="B65" s="18">
        <v>6</v>
      </c>
    </row>
    <row r="66" spans="1:2" s="5" customFormat="1" ht="18" customHeight="1">
      <c r="A66" s="5" t="s">
        <v>156</v>
      </c>
      <c r="B66" s="18">
        <v>12</v>
      </c>
    </row>
    <row r="67" spans="1:2" s="5" customFormat="1" ht="18" customHeight="1">
      <c r="A67" s="5" t="s">
        <v>155</v>
      </c>
      <c r="B67" s="18">
        <v>24</v>
      </c>
    </row>
    <row r="68" spans="1:2" s="5" customFormat="1" ht="18" customHeight="1">
      <c r="A68" s="5" t="s">
        <v>157</v>
      </c>
      <c r="B68" s="18">
        <v>36</v>
      </c>
    </row>
    <row r="69" spans="1:2" s="5" customFormat="1" ht="18" customHeight="1">
      <c r="A69" s="5" t="s">
        <v>158</v>
      </c>
      <c r="B69" s="18">
        <v>48</v>
      </c>
    </row>
    <row r="70" spans="1:2" s="5" customFormat="1" ht="18" customHeight="1">
      <c r="A70" s="5" t="s">
        <v>176</v>
      </c>
      <c r="B70" s="18">
        <v>1</v>
      </c>
    </row>
    <row r="71" spans="1:2" s="5" customFormat="1" ht="18" customHeight="1">
      <c r="A71" s="16" t="s">
        <v>179</v>
      </c>
      <c r="B71" s="18">
        <v>5000</v>
      </c>
    </row>
    <row r="72" spans="1:2" s="5" customFormat="1" ht="18" customHeight="1">
      <c r="A72" s="16" t="s">
        <v>143</v>
      </c>
      <c r="B72" s="18">
        <v>10000</v>
      </c>
    </row>
    <row r="73" spans="1:2" s="5" customFormat="1" ht="18" customHeight="1">
      <c r="B73" s="18"/>
    </row>
  </sheetData>
  <protectedRanges>
    <protectedRange sqref="B12 B56:C59 C18:C21 B60 B33:C39 E60 B25:C31 B41:B52 C41 C45:C52" name="Settings"/>
    <protectedRange sqref="C42:C44" name="Settings_1"/>
  </protectedRanges>
  <mergeCells count="2">
    <mergeCell ref="B5:C5"/>
    <mergeCell ref="B6:C6"/>
  </mergeCells>
  <phoneticPr fontId="5" type="noConversion"/>
  <dataValidations count="3">
    <dataValidation type="list" allowBlank="1" showInputMessage="1" showErrorMessage="1" sqref="B14">
      <formula1>"$, £, €, ¥"</formula1>
    </dataValidation>
    <dataValidation type="list" allowBlank="1" showInputMessage="1" showErrorMessage="1" sqref="B10:B11">
      <formula1>"Sales Tax, VAT"</formula1>
    </dataValidation>
    <dataValidation type="list" allowBlank="1" showInputMessage="1" showErrorMessage="1" sqref="E5:E6">
      <formula1>"Enable, Disable"</formula1>
    </dataValidation>
  </dataValidations>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O180"/>
  <sheetViews>
    <sheetView showGridLines="0" workbookViewId="0">
      <pane ySplit="8" topLeftCell="A9" activePane="bottomLeft" state="frozen"/>
      <selection pane="bottomLeft" activeCell="B12" sqref="B12"/>
    </sheetView>
  </sheetViews>
  <sheetFormatPr defaultRowHeight="12.75"/>
  <cols>
    <col min="1" max="1" width="28.5703125" style="52" customWidth="1"/>
    <col min="2" max="10" width="9.7109375" style="52" customWidth="1"/>
    <col min="11" max="13" width="10.7109375" style="52" customWidth="1"/>
    <col min="14" max="14" width="3.7109375" style="52" customWidth="1"/>
    <col min="15" max="15" width="10.7109375" style="73" customWidth="1"/>
    <col min="16" max="16384" width="9.140625" style="52"/>
  </cols>
  <sheetData>
    <row r="1" spans="1:15" s="45" customFormat="1" ht="54.95" customHeight="1">
      <c r="A1" s="104" t="s">
        <v>230</v>
      </c>
      <c r="B1" s="105"/>
      <c r="C1" s="106"/>
      <c r="D1" s="106"/>
      <c r="E1" s="106"/>
      <c r="F1" s="106"/>
      <c r="G1" s="106"/>
      <c r="H1" s="106"/>
      <c r="I1" s="106"/>
      <c r="J1" s="106"/>
      <c r="K1" s="106"/>
      <c r="L1" s="107"/>
      <c r="M1" s="134"/>
      <c r="N1" s="188"/>
      <c r="O1" s="188"/>
    </row>
    <row r="2" spans="1:15" ht="33.75" customHeight="1">
      <c r="A2" s="108" t="str">
        <f>IF(Settings!$E$5="Enable",Settings!$B$5,"")</f>
        <v>My Company name</v>
      </c>
      <c r="B2" s="60"/>
      <c r="C2" s="60"/>
      <c r="D2" s="60"/>
      <c r="E2" s="60"/>
      <c r="F2" s="60"/>
      <c r="G2" s="60"/>
      <c r="H2" s="60"/>
      <c r="I2" s="60"/>
      <c r="J2" s="60"/>
      <c r="K2" s="60"/>
      <c r="L2" s="60"/>
      <c r="M2" s="60"/>
      <c r="N2" s="60"/>
      <c r="O2" s="90"/>
    </row>
    <row r="3" spans="1:15" ht="18" customHeight="1">
      <c r="A3" s="111" t="str">
        <f>IF(Settings!$E$6="Enable",Settings!$B$6,"")</f>
        <v>My company slogan</v>
      </c>
      <c r="B3" s="57"/>
      <c r="C3" s="57"/>
      <c r="L3" s="58"/>
      <c r="O3" s="63"/>
    </row>
    <row r="4" spans="1:15" ht="15">
      <c r="A4" s="59"/>
      <c r="B4" s="59"/>
      <c r="C4" s="59"/>
      <c r="D4" s="59"/>
      <c r="E4" s="59"/>
      <c r="F4" s="59"/>
      <c r="G4" s="59"/>
      <c r="H4" s="59"/>
      <c r="I4" s="59"/>
      <c r="J4" s="59"/>
      <c r="K4" s="59"/>
      <c r="L4" s="59"/>
      <c r="M4" s="59"/>
      <c r="N4" s="59"/>
      <c r="O4" s="116" t="s">
        <v>229</v>
      </c>
    </row>
    <row r="5" spans="1:15" ht="15">
      <c r="A5" s="59"/>
      <c r="B5" s="59"/>
      <c r="C5" s="59"/>
      <c r="D5" s="59"/>
      <c r="E5" s="59"/>
      <c r="F5" s="59"/>
      <c r="G5" s="59"/>
      <c r="H5" s="59"/>
      <c r="I5" s="59"/>
      <c r="J5" s="59"/>
      <c r="K5" s="59"/>
      <c r="L5" s="59"/>
      <c r="M5" s="59"/>
      <c r="N5" s="59"/>
      <c r="O5" s="58"/>
    </row>
    <row r="6" spans="1:15" s="50" customFormat="1" ht="30" customHeight="1">
      <c r="A6" s="64" t="s">
        <v>128</v>
      </c>
      <c r="B6" s="64"/>
      <c r="C6" s="64"/>
      <c r="D6" s="64"/>
      <c r="E6" s="64"/>
      <c r="F6" s="64"/>
      <c r="G6" s="64"/>
      <c r="H6" s="64"/>
      <c r="I6" s="64"/>
      <c r="J6" s="64"/>
      <c r="K6" s="64"/>
      <c r="L6" s="64"/>
      <c r="M6" s="64"/>
      <c r="N6" s="64"/>
      <c r="O6" s="64"/>
    </row>
    <row r="7" spans="1:15" ht="12.75" customHeight="1">
      <c r="A7" s="65"/>
      <c r="B7" s="65"/>
      <c r="C7" s="65"/>
      <c r="D7" s="65"/>
      <c r="E7" s="65"/>
      <c r="F7" s="65"/>
      <c r="G7" s="65"/>
      <c r="H7" s="65"/>
      <c r="I7" s="65"/>
      <c r="J7" s="65"/>
      <c r="K7" s="65"/>
      <c r="L7" s="65"/>
      <c r="M7" s="65"/>
      <c r="N7" s="65"/>
      <c r="O7" s="65"/>
    </row>
    <row r="8" spans="1:15" ht="18" customHeight="1">
      <c r="A8" s="74" t="s">
        <v>182</v>
      </c>
      <c r="B8" s="236" t="s">
        <v>204</v>
      </c>
      <c r="C8" s="236"/>
      <c r="D8" s="236" t="s">
        <v>205</v>
      </c>
      <c r="E8" s="236"/>
      <c r="F8" s="236" t="s">
        <v>206</v>
      </c>
      <c r="G8" s="236"/>
      <c r="H8" s="236" t="s">
        <v>207</v>
      </c>
      <c r="I8" s="236"/>
      <c r="J8" s="236" t="s">
        <v>208</v>
      </c>
      <c r="K8" s="236"/>
      <c r="L8" s="74"/>
      <c r="M8" s="74" t="s">
        <v>119</v>
      </c>
      <c r="N8" s="236" t="s">
        <v>1</v>
      </c>
      <c r="O8" s="236"/>
    </row>
    <row r="9" spans="1:15" ht="6.95" customHeight="1">
      <c r="B9" s="62"/>
      <c r="C9" s="62"/>
      <c r="D9" s="62"/>
      <c r="E9" s="62"/>
      <c r="F9" s="62"/>
      <c r="G9" s="62"/>
      <c r="H9" s="62"/>
      <c r="I9" s="62"/>
      <c r="J9" s="62"/>
      <c r="K9" s="62"/>
      <c r="L9" s="62"/>
      <c r="M9" s="62"/>
      <c r="N9" s="62"/>
      <c r="O9" s="66"/>
    </row>
    <row r="10" spans="1:15" ht="18" customHeight="1" thickBot="1">
      <c r="A10" s="78" t="str">
        <f>Inventory!A10</f>
        <v>SPIRITS</v>
      </c>
      <c r="B10" s="235" t="s">
        <v>124</v>
      </c>
      <c r="C10" s="235"/>
      <c r="D10" s="235" t="s">
        <v>124</v>
      </c>
      <c r="E10" s="235"/>
      <c r="F10" s="235" t="s">
        <v>124</v>
      </c>
      <c r="G10" s="235"/>
      <c r="H10" s="235" t="s">
        <v>124</v>
      </c>
      <c r="I10" s="235"/>
      <c r="J10" s="235" t="s">
        <v>124</v>
      </c>
      <c r="K10" s="235"/>
      <c r="L10" s="235" t="s">
        <v>124</v>
      </c>
      <c r="M10" s="235"/>
      <c r="N10" s="235"/>
      <c r="O10" s="235"/>
    </row>
    <row r="11" spans="1:15" ht="6.95" customHeight="1" thickTop="1">
      <c r="A11" s="76"/>
      <c r="B11" s="67"/>
      <c r="C11" s="67"/>
      <c r="D11" s="67"/>
      <c r="E11" s="67"/>
      <c r="F11" s="67"/>
      <c r="G11" s="67"/>
      <c r="H11" s="67"/>
      <c r="I11" s="67"/>
      <c r="J11" s="67"/>
      <c r="K11" s="67"/>
      <c r="L11" s="67"/>
      <c r="M11" s="67"/>
      <c r="N11" s="67"/>
      <c r="O11" s="68"/>
    </row>
    <row r="12" spans="1:15" s="29" customFormat="1" ht="15" customHeight="1">
      <c r="A12" s="31" t="str">
        <f>IF(Inventory!A12&gt;0,Inventory!A12,"")</f>
        <v>Teachers</v>
      </c>
      <c r="B12" s="201"/>
      <c r="C12" s="36">
        <f>IF(ISBLANK(Inventory!$A12),0,SUM('Week 1'!$E12:$G12)*Inventory!$D12-((SUM('Stock Opening'!$C12:$E12)+'Week 1'!$C12)*Inventory!$D12-B12))</f>
        <v>-28</v>
      </c>
      <c r="D12" s="201"/>
      <c r="E12" s="36">
        <f>IF(ISBLANK(Inventory!$A12),0,SUM('Week 2'!$E12:$G12)*Inventory!$D12-((SUM('Week 1'!$E12:$G12)+'Week 2'!$C12)*Inventory!$D12-D12))</f>
        <v>-56</v>
      </c>
      <c r="F12" s="201"/>
      <c r="G12" s="36">
        <f>IF(ISBLANK(Inventory!$A12),0,SUM('Week 3'!$E12:$G12)*Inventory!$D12-((SUM('Week 2'!$E12:$G12)+'Week 3'!$C12)*Inventory!$D12-F12))</f>
        <v>0</v>
      </c>
      <c r="H12" s="201"/>
      <c r="I12" s="36">
        <f>IF(ISBLANK(Inventory!$A12),0,SUM('Week 4'!$E12:$G12)*Inventory!$D12-((SUM('Week 3'!$E12:$G12)+'Week 4'!$C12)*Inventory!$D12-H12))</f>
        <v>-28</v>
      </c>
      <c r="J12" s="201"/>
      <c r="K12" s="36">
        <f>IF(ISBLANK(Inventory!$A12),0,SUM('Week 5'!$E12:$G12)*Inventory!$D12-((SUM('Week 4'!$E12:$G12)+'Week 5'!$C12)*Inventory!$D12-J12))</f>
        <v>-28</v>
      </c>
      <c r="L12" s="36">
        <f>IF(ISBLANK(Inventory!A12),0,SUM(B12,D12,F12,H12,J12))</f>
        <v>0</v>
      </c>
      <c r="M12" s="36">
        <f>IF(ISBLANK(Inventory!A12),0,SUM(C12,E12,G12,I12,K12))</f>
        <v>-140</v>
      </c>
      <c r="N12" s="35" t="str">
        <f>IF(OR(ISBLANK(O12),O12=0),"",Settings!$B$14)</f>
        <v>$</v>
      </c>
      <c r="O12" s="30">
        <f>IF(ISBLANK(Inventory!A12),0,M12*Inventory!J12)</f>
        <v>-404.6</v>
      </c>
    </row>
    <row r="13" spans="1:15" s="29" customFormat="1" ht="15" customHeight="1">
      <c r="A13" s="31" t="str">
        <f>IF(Inventory!A13&gt;0,Inventory!A13,"")</f>
        <v>Bells</v>
      </c>
      <c r="B13" s="201"/>
      <c r="C13" s="36">
        <f>IF(ISBLANK(Inventory!$A13),0,SUM('Week 1'!$E13:$G13)*Inventory!$D13-((SUM('Stock Opening'!$C13:$E13)+'Week 1'!$C13)*Inventory!$D13-B13))</f>
        <v>0</v>
      </c>
      <c r="D13" s="201"/>
      <c r="E13" s="36">
        <f>IF(ISBLANK(Inventory!$A13),0,SUM('Week 2'!$E13:$G13)*Inventory!$D13-((SUM('Week 1'!$E13:$G13)+'Week 2'!$C13)*Inventory!$D13-D13))</f>
        <v>0</v>
      </c>
      <c r="F13" s="201"/>
      <c r="G13" s="36">
        <f>IF(ISBLANK(Inventory!$A13),0,SUM('Week 3'!$E13:$G13)*Inventory!$D13-((SUM('Week 2'!$E13:$G13)+'Week 3'!$C13)*Inventory!$D13-F13))</f>
        <v>0</v>
      </c>
      <c r="H13" s="201"/>
      <c r="I13" s="36">
        <f>IF(ISBLANK(Inventory!$A13),0,SUM('Week 4'!$E13:$G13)*Inventory!$D13-((SUM('Week 3'!$E13:$G13)+'Week 4'!$C13)*Inventory!$D13-H13))</f>
        <v>0</v>
      </c>
      <c r="J13" s="201"/>
      <c r="K13" s="36">
        <f>IF(ISBLANK(Inventory!$A13),0,SUM('Week 5'!$E13:$G13)*Inventory!$D13-((SUM('Week 4'!$E13:$G13)+'Week 5'!$C13)*Inventory!$D13-J13))</f>
        <v>0</v>
      </c>
      <c r="L13" s="36">
        <f>IF(ISBLANK(Inventory!A13),0,SUM(B13,D13,F13,H13,J13))</f>
        <v>0</v>
      </c>
      <c r="M13" s="36">
        <f>IF(ISBLANK(Inventory!A13),0,SUM(C13,E13,G13,I13,K13))</f>
        <v>0</v>
      </c>
      <c r="N13" s="35" t="str">
        <f>IF(OR(ISBLANK(O13),O13=0),"",Settings!$B$14)</f>
        <v/>
      </c>
      <c r="O13" s="30">
        <f>IF(ISBLANK(Inventory!A13),0,M13*Inventory!J13)</f>
        <v>0</v>
      </c>
    </row>
    <row r="14" spans="1:15" s="29" customFormat="1" ht="15" customHeight="1">
      <c r="A14" s="31" t="str">
        <f>IF(Inventory!A14&gt;0,Inventory!A14,"")</f>
        <v>Bells</v>
      </c>
      <c r="B14" s="201"/>
      <c r="C14" s="36">
        <f>IF(ISBLANK(Inventory!$A14),0,SUM('Week 1'!$E14:$G14)*Inventory!$D14-((SUM('Stock Opening'!$C14:$E14)+'Week 1'!$C14)*Inventory!$D14-B14))</f>
        <v>0</v>
      </c>
      <c r="D14" s="201"/>
      <c r="E14" s="36">
        <f>IF(ISBLANK(Inventory!$A14),0,SUM('Week 2'!$E14:$G14)*Inventory!$D14-((SUM('Week 1'!$E14:$G14)+'Week 2'!$C14)*Inventory!$D14-D14))</f>
        <v>0</v>
      </c>
      <c r="F14" s="201"/>
      <c r="G14" s="36">
        <f>IF(ISBLANK(Inventory!$A14),0,SUM('Week 3'!$E14:$G14)*Inventory!$D14-((SUM('Week 2'!$E14:$G14)+'Week 3'!$C14)*Inventory!$D14-F14))</f>
        <v>0</v>
      </c>
      <c r="H14" s="201"/>
      <c r="I14" s="36">
        <f>IF(ISBLANK(Inventory!$A14),0,SUM('Week 4'!$E14:$G14)*Inventory!$D14-((SUM('Week 3'!$E14:$G14)+'Week 4'!$C14)*Inventory!$D14-H14))</f>
        <v>0</v>
      </c>
      <c r="J14" s="201"/>
      <c r="K14" s="36">
        <f>IF(ISBLANK(Inventory!$A14),0,SUM('Week 5'!$E14:$G14)*Inventory!$D14-((SUM('Week 4'!$E14:$G14)+'Week 5'!$C14)*Inventory!$D14-J14))</f>
        <v>0</v>
      </c>
      <c r="L14" s="36">
        <f>IF(ISBLANK(Inventory!A14),0,SUM(B14,D14,F14,H14,J14))</f>
        <v>0</v>
      </c>
      <c r="M14" s="36">
        <f>IF(ISBLANK(Inventory!A14),0,SUM(C14,E14,G14,I14,K14))</f>
        <v>0</v>
      </c>
      <c r="N14" s="35" t="str">
        <f>IF(OR(ISBLANK(O14),O14=0),"",Settings!$B$14)</f>
        <v/>
      </c>
      <c r="O14" s="30">
        <f>IF(ISBLANK(Inventory!A14),0,M14*Inventory!J14)</f>
        <v>0</v>
      </c>
    </row>
    <row r="15" spans="1:15" s="29" customFormat="1" ht="15" customHeight="1">
      <c r="A15" s="31" t="str">
        <f>IF(Inventory!A15&gt;0,Inventory!A15,"")</f>
        <v>Glenfiddich</v>
      </c>
      <c r="B15" s="201"/>
      <c r="C15" s="36">
        <f>IF(ISBLANK(Inventory!$A15),0,SUM('Week 1'!$E15:$G15)*Inventory!$D15-((SUM('Stock Opening'!$C15:$E15)+'Week 1'!$C15)*Inventory!$D15-B15))</f>
        <v>0</v>
      </c>
      <c r="D15" s="201"/>
      <c r="E15" s="36">
        <f>IF(ISBLANK(Inventory!$A15),0,SUM('Week 2'!$E15:$G15)*Inventory!$D15-((SUM('Week 1'!$E15:$G15)+'Week 2'!$C15)*Inventory!$D15-D15))</f>
        <v>0</v>
      </c>
      <c r="F15" s="201"/>
      <c r="G15" s="36">
        <f>IF(ISBLANK(Inventory!$A15),0,SUM('Week 3'!$E15:$G15)*Inventory!$D15-((SUM('Week 2'!$E15:$G15)+'Week 3'!$C15)*Inventory!$D15-F15))</f>
        <v>0</v>
      </c>
      <c r="H15" s="201"/>
      <c r="I15" s="36">
        <f>IF(ISBLANK(Inventory!$A15),0,SUM('Week 4'!$E15:$G15)*Inventory!$D15-((SUM('Week 3'!$E15:$G15)+'Week 4'!$C15)*Inventory!$D15-H15))</f>
        <v>0</v>
      </c>
      <c r="J15" s="201"/>
      <c r="K15" s="36">
        <f>IF(ISBLANK(Inventory!$A15),0,SUM('Week 5'!$E15:$G15)*Inventory!$D15-((SUM('Week 4'!$E15:$G15)+'Week 5'!$C15)*Inventory!$D15-J15))</f>
        <v>0</v>
      </c>
      <c r="L15" s="36">
        <f>IF(ISBLANK(Inventory!A15),0,SUM(B15,D15,F15,H15,J15))</f>
        <v>0</v>
      </c>
      <c r="M15" s="36">
        <f>IF(ISBLANK(Inventory!A15),0,SUM(C15,E15,G15,I15,K15))</f>
        <v>0</v>
      </c>
      <c r="N15" s="35" t="str">
        <f>IF(OR(ISBLANK(O15),O15=0),"",Settings!$B$14)</f>
        <v/>
      </c>
      <c r="O15" s="30">
        <f>IF(ISBLANK(Inventory!A15),0,M15*Inventory!J15)</f>
        <v>0</v>
      </c>
    </row>
    <row r="16" spans="1:15" s="29" customFormat="1" ht="15" customHeight="1">
      <c r="A16" s="31" t="str">
        <f>IF(Inventory!A16&gt;0,Inventory!A16,"")</f>
        <v>Glenmorangie</v>
      </c>
      <c r="B16" s="201"/>
      <c r="C16" s="36">
        <f>IF(ISBLANK(Inventory!$A16),0,SUM('Week 1'!$E16:$G16)*Inventory!$D16-((SUM('Stock Opening'!$C16:$E16)+'Week 1'!$C16)*Inventory!$D16-B16))</f>
        <v>0</v>
      </c>
      <c r="D16" s="201"/>
      <c r="E16" s="36">
        <f>IF(ISBLANK(Inventory!$A16),0,SUM('Week 2'!$E16:$G16)*Inventory!$D16-((SUM('Week 1'!$E16:$G16)+'Week 2'!$C16)*Inventory!$D16-D16))</f>
        <v>0</v>
      </c>
      <c r="F16" s="201"/>
      <c r="G16" s="36">
        <f>IF(ISBLANK(Inventory!$A16),0,SUM('Week 3'!$E16:$G16)*Inventory!$D16-((SUM('Week 2'!$E16:$G16)+'Week 3'!$C16)*Inventory!$D16-F16))</f>
        <v>0</v>
      </c>
      <c r="H16" s="201"/>
      <c r="I16" s="36">
        <f>IF(ISBLANK(Inventory!$A16),0,SUM('Week 4'!$E16:$G16)*Inventory!$D16-((SUM('Week 3'!$E16:$G16)+'Week 4'!$C16)*Inventory!$D16-H16))</f>
        <v>0</v>
      </c>
      <c r="J16" s="201"/>
      <c r="K16" s="36">
        <f>IF(ISBLANK(Inventory!$A16),0,SUM('Week 5'!$E16:$G16)*Inventory!$D16-((SUM('Week 4'!$E16:$G16)+'Week 5'!$C16)*Inventory!$D16-J16))</f>
        <v>0</v>
      </c>
      <c r="L16" s="36">
        <f>IF(ISBLANK(Inventory!A16),0,SUM(B16,D16,F16,H16,J16))</f>
        <v>0</v>
      </c>
      <c r="M16" s="36">
        <f>IF(ISBLANK(Inventory!A16),0,SUM(C16,E16,G16,I16,K16))</f>
        <v>0</v>
      </c>
      <c r="N16" s="35" t="str">
        <f>IF(OR(ISBLANK(O16),O16=0),"",Settings!$B$14)</f>
        <v/>
      </c>
      <c r="O16" s="30">
        <f>IF(ISBLANK(Inventory!A16),0,M16*Inventory!J16)</f>
        <v>0</v>
      </c>
    </row>
    <row r="17" spans="1:15" s="29" customFormat="1" ht="15" customHeight="1">
      <c r="A17" s="31" t="str">
        <f>IF(Inventory!A17&gt;0,Inventory!A17,"")</f>
        <v>Jack Daniels</v>
      </c>
      <c r="B17" s="201"/>
      <c r="C17" s="36">
        <f>IF(ISBLANK(Inventory!$A17),0,SUM('Week 1'!$E17:$G17)*Inventory!$D17-((SUM('Stock Opening'!$C17:$E17)+'Week 1'!$C17)*Inventory!$D17-B17))</f>
        <v>0</v>
      </c>
      <c r="D17" s="201"/>
      <c r="E17" s="36">
        <f>IF(ISBLANK(Inventory!$A17),0,SUM('Week 2'!$E17:$G17)*Inventory!$D17-((SUM('Week 1'!$E17:$G17)+'Week 2'!$C17)*Inventory!$D17-D17))</f>
        <v>0</v>
      </c>
      <c r="F17" s="201"/>
      <c r="G17" s="36">
        <f>IF(ISBLANK(Inventory!$A17),0,SUM('Week 3'!$E17:$G17)*Inventory!$D17-((SUM('Week 2'!$E17:$G17)+'Week 3'!$C17)*Inventory!$D17-F17))</f>
        <v>0</v>
      </c>
      <c r="H17" s="201"/>
      <c r="I17" s="36">
        <f>IF(ISBLANK(Inventory!$A17),0,SUM('Week 4'!$E17:$G17)*Inventory!$D17-((SUM('Week 3'!$E17:$G17)+'Week 4'!$C17)*Inventory!$D17-H17))</f>
        <v>0</v>
      </c>
      <c r="J17" s="201"/>
      <c r="K17" s="36">
        <f>IF(ISBLANK(Inventory!$A17),0,SUM('Week 5'!$E17:$G17)*Inventory!$D17-((SUM('Week 4'!$E17:$G17)+'Week 5'!$C17)*Inventory!$D17-J17))</f>
        <v>0</v>
      </c>
      <c r="L17" s="36">
        <f>IF(ISBLANK(Inventory!A17),0,SUM(B17,D17,F17,H17,J17))</f>
        <v>0</v>
      </c>
      <c r="M17" s="36">
        <f>IF(ISBLANK(Inventory!A17),0,SUM(C17,E17,G17,I17,K17))</f>
        <v>0</v>
      </c>
      <c r="N17" s="35" t="str">
        <f>IF(OR(ISBLANK(O17),O17=0),"",Settings!$B$14)</f>
        <v/>
      </c>
      <c r="O17" s="30">
        <f>IF(ISBLANK(Inventory!A17),0,M17*Inventory!J17)</f>
        <v>0</v>
      </c>
    </row>
    <row r="18" spans="1:15" s="29" customFormat="1" ht="15" customHeight="1">
      <c r="A18" s="31" t="str">
        <f>IF(Inventory!A18&gt;0,Inventory!A18,"")</f>
        <v>Jack Daniels</v>
      </c>
      <c r="B18" s="201"/>
      <c r="C18" s="36">
        <f>IF(ISBLANK(Inventory!$A18),0,SUM('Week 1'!$E18:$G18)*Inventory!$D18-((SUM('Stock Opening'!$C18:$E18)+'Week 1'!$C18)*Inventory!$D18-B18))</f>
        <v>0</v>
      </c>
      <c r="D18" s="201"/>
      <c r="E18" s="36">
        <f>IF(ISBLANK(Inventory!$A18),0,SUM('Week 2'!$E18:$G18)*Inventory!$D18-((SUM('Week 1'!$E18:$G18)+'Week 2'!$C18)*Inventory!$D18-D18))</f>
        <v>0</v>
      </c>
      <c r="F18" s="201"/>
      <c r="G18" s="36">
        <f>IF(ISBLANK(Inventory!$A18),0,SUM('Week 3'!$E18:$G18)*Inventory!$D18-((SUM('Week 2'!$E18:$G18)+'Week 3'!$C18)*Inventory!$D18-F18))</f>
        <v>0</v>
      </c>
      <c r="H18" s="201"/>
      <c r="I18" s="36">
        <f>IF(ISBLANK(Inventory!$A18),0,SUM('Week 4'!$E18:$G18)*Inventory!$D18-((SUM('Week 3'!$E18:$G18)+'Week 4'!$C18)*Inventory!$D18-H18))</f>
        <v>0</v>
      </c>
      <c r="J18" s="201"/>
      <c r="K18" s="36">
        <f>IF(ISBLANK(Inventory!$A18),0,SUM('Week 5'!$E18:$G18)*Inventory!$D18-((SUM('Week 4'!$E18:$G18)+'Week 5'!$C18)*Inventory!$D18-J18))</f>
        <v>0</v>
      </c>
      <c r="L18" s="36">
        <f>IF(ISBLANK(Inventory!A18),0,SUM(B18,D18,F18,H18,J18))</f>
        <v>0</v>
      </c>
      <c r="M18" s="36">
        <f>IF(ISBLANK(Inventory!A18),0,SUM(C18,E18,G18,I18,K18))</f>
        <v>0</v>
      </c>
      <c r="N18" s="35" t="str">
        <f>IF(OR(ISBLANK(O18),O18=0),"",Settings!$B$14)</f>
        <v/>
      </c>
      <c r="O18" s="30">
        <f>IF(ISBLANK(Inventory!A18),0,M18*Inventory!J18)</f>
        <v>0</v>
      </c>
    </row>
    <row r="19" spans="1:15" s="29" customFormat="1" ht="15" customHeight="1">
      <c r="A19" s="31" t="str">
        <f>IF(Inventory!A19&gt;0,Inventory!A19,"")</f>
        <v>Jim Beam</v>
      </c>
      <c r="B19" s="201"/>
      <c r="C19" s="36">
        <f>IF(ISBLANK(Inventory!$A19),0,SUM('Week 1'!$E19:$G19)*Inventory!$D19-((SUM('Stock Opening'!$C19:$E19)+'Week 1'!$C19)*Inventory!$D19-B19))</f>
        <v>0</v>
      </c>
      <c r="D19" s="201"/>
      <c r="E19" s="36">
        <f>IF(ISBLANK(Inventory!$A19),0,SUM('Week 2'!$E19:$G19)*Inventory!$D19-((SUM('Week 1'!$E19:$G19)+'Week 2'!$C19)*Inventory!$D19-D19))</f>
        <v>0</v>
      </c>
      <c r="F19" s="201"/>
      <c r="G19" s="36">
        <f>IF(ISBLANK(Inventory!$A19),0,SUM('Week 3'!$E19:$G19)*Inventory!$D19-((SUM('Week 2'!$E19:$G19)+'Week 3'!$C19)*Inventory!$D19-F19))</f>
        <v>0</v>
      </c>
      <c r="H19" s="201"/>
      <c r="I19" s="36">
        <f>IF(ISBLANK(Inventory!$A19),0,SUM('Week 4'!$E19:$G19)*Inventory!$D19-((SUM('Week 3'!$E19:$G19)+'Week 4'!$C19)*Inventory!$D19-H19))</f>
        <v>0</v>
      </c>
      <c r="J19" s="201"/>
      <c r="K19" s="36">
        <f>IF(ISBLANK(Inventory!$A19),0,SUM('Week 5'!$E19:$G19)*Inventory!$D19-((SUM('Week 4'!$E19:$G19)+'Week 5'!$C19)*Inventory!$D19-J19))</f>
        <v>0</v>
      </c>
      <c r="L19" s="36">
        <f>IF(ISBLANK(Inventory!A19),0,SUM(B19,D19,F19,H19,J19))</f>
        <v>0</v>
      </c>
      <c r="M19" s="36">
        <f>IF(ISBLANK(Inventory!A19),0,SUM(C19,E19,G19,I19,K19))</f>
        <v>0</v>
      </c>
      <c r="N19" s="35" t="str">
        <f>IF(OR(ISBLANK(O19),O19=0),"",Settings!$B$14)</f>
        <v/>
      </c>
      <c r="O19" s="30">
        <f>IF(ISBLANK(Inventory!A19),0,M19*Inventory!J19)</f>
        <v>0</v>
      </c>
    </row>
    <row r="20" spans="1:15" s="29" customFormat="1" ht="15" customHeight="1">
      <c r="A20" s="31" t="str">
        <f>IF(Inventory!A20&gt;0,Inventory!A20,"")</f>
        <v>Jameson's Irish</v>
      </c>
      <c r="B20" s="201"/>
      <c r="C20" s="36">
        <f>IF(ISBLANK(Inventory!$A20),0,SUM('Week 1'!$E20:$G20)*Inventory!$D20-((SUM('Stock Opening'!$C20:$E20)+'Week 1'!$C20)*Inventory!$D20-B20))</f>
        <v>0</v>
      </c>
      <c r="D20" s="201"/>
      <c r="E20" s="36">
        <f>IF(ISBLANK(Inventory!$A20),0,SUM('Week 2'!$E20:$G20)*Inventory!$D20-((SUM('Week 1'!$E20:$G20)+'Week 2'!$C20)*Inventory!$D20-D20))</f>
        <v>0</v>
      </c>
      <c r="F20" s="201"/>
      <c r="G20" s="36">
        <f>IF(ISBLANK(Inventory!$A20),0,SUM('Week 3'!$E20:$G20)*Inventory!$D20-((SUM('Week 2'!$E20:$G20)+'Week 3'!$C20)*Inventory!$D20-F20))</f>
        <v>0</v>
      </c>
      <c r="H20" s="201"/>
      <c r="I20" s="36">
        <f>IF(ISBLANK(Inventory!$A20),0,SUM('Week 4'!$E20:$G20)*Inventory!$D20-((SUM('Week 3'!$E20:$G20)+'Week 4'!$C20)*Inventory!$D20-H20))</f>
        <v>0</v>
      </c>
      <c r="J20" s="201"/>
      <c r="K20" s="36">
        <f>IF(ISBLANK(Inventory!$A20),0,SUM('Week 5'!$E20:$G20)*Inventory!$D20-((SUM('Week 4'!$E20:$G20)+'Week 5'!$C20)*Inventory!$D20-J20))</f>
        <v>0</v>
      </c>
      <c r="L20" s="36">
        <f>IF(ISBLANK(Inventory!A20),0,SUM(B20,D20,F20,H20,J20))</f>
        <v>0</v>
      </c>
      <c r="M20" s="36">
        <f>IF(ISBLANK(Inventory!A20),0,SUM(C20,E20,G20,I20,K20))</f>
        <v>0</v>
      </c>
      <c r="N20" s="35" t="str">
        <f>IF(OR(ISBLANK(O20),O20=0),"",Settings!$B$14)</f>
        <v/>
      </c>
      <c r="O20" s="30">
        <f>IF(ISBLANK(Inventory!A20),0,M20*Inventory!J20)</f>
        <v>0</v>
      </c>
    </row>
    <row r="21" spans="1:15" s="29" customFormat="1" ht="15" customHeight="1">
      <c r="A21" s="31" t="str">
        <f>IF(Inventory!A21&gt;0,Inventory!A21,"")</f>
        <v>Jameson's Irish</v>
      </c>
      <c r="B21" s="201"/>
      <c r="C21" s="36">
        <f>IF(ISBLANK(Inventory!$A21),0,SUM('Week 1'!$E21:$G21)*Inventory!$D21-((SUM('Stock Opening'!$C21:$E21)+'Week 1'!$C21)*Inventory!$D21-B21))</f>
        <v>0</v>
      </c>
      <c r="D21" s="201"/>
      <c r="E21" s="36">
        <f>IF(ISBLANK(Inventory!$A21),0,SUM('Week 2'!$E21:$G21)*Inventory!$D21-((SUM('Week 1'!$E21:$G21)+'Week 2'!$C21)*Inventory!$D21-D21))</f>
        <v>0</v>
      </c>
      <c r="F21" s="201"/>
      <c r="G21" s="36">
        <f>IF(ISBLANK(Inventory!$A21),0,SUM('Week 3'!$E21:$G21)*Inventory!$D21-((SUM('Week 2'!$E21:$G21)+'Week 3'!$C21)*Inventory!$D21-F21))</f>
        <v>0</v>
      </c>
      <c r="H21" s="201"/>
      <c r="I21" s="36">
        <f>IF(ISBLANK(Inventory!$A21),0,SUM('Week 4'!$E21:$G21)*Inventory!$D21-((SUM('Week 3'!$E21:$G21)+'Week 4'!$C21)*Inventory!$D21-H21))</f>
        <v>0</v>
      </c>
      <c r="J21" s="201"/>
      <c r="K21" s="36">
        <f>IF(ISBLANK(Inventory!$A21),0,SUM('Week 5'!$E21:$G21)*Inventory!$D21-((SUM('Week 4'!$E21:$G21)+'Week 5'!$C21)*Inventory!$D21-J21))</f>
        <v>0</v>
      </c>
      <c r="L21" s="36">
        <f>IF(ISBLANK(Inventory!A21),0,SUM(B21,D21,F21,H21,J21))</f>
        <v>0</v>
      </c>
      <c r="M21" s="36">
        <f>IF(ISBLANK(Inventory!A21),0,SUM(C21,E21,G21,I21,K21))</f>
        <v>0</v>
      </c>
      <c r="N21" s="35" t="str">
        <f>IF(OR(ISBLANK(O21),O21=0),"",Settings!$B$14)</f>
        <v/>
      </c>
      <c r="O21" s="30">
        <f>IF(ISBLANK(Inventory!A21),0,M21*Inventory!J21)</f>
        <v>0</v>
      </c>
    </row>
    <row r="22" spans="1:15" s="29" customFormat="1" ht="15" customHeight="1">
      <c r="A22" s="31" t="str">
        <f>IF(Inventory!A22&gt;0,Inventory!A22,"")</f>
        <v>Southern Comfort</v>
      </c>
      <c r="B22" s="201"/>
      <c r="C22" s="36">
        <f>IF(ISBLANK(Inventory!$A22),0,SUM('Week 1'!$E22:$G22)*Inventory!$D22-((SUM('Stock Opening'!$C22:$E22)+'Week 1'!$C22)*Inventory!$D22-B22))</f>
        <v>0</v>
      </c>
      <c r="D22" s="201"/>
      <c r="E22" s="36">
        <f>IF(ISBLANK(Inventory!$A22),0,SUM('Week 2'!$E22:$G22)*Inventory!$D22-((SUM('Week 1'!$E22:$G22)+'Week 2'!$C22)*Inventory!$D22-D22))</f>
        <v>0</v>
      </c>
      <c r="F22" s="201"/>
      <c r="G22" s="36">
        <f>IF(ISBLANK(Inventory!$A22),0,SUM('Week 3'!$E22:$G22)*Inventory!$D22-((SUM('Week 2'!$E22:$G22)+'Week 3'!$C22)*Inventory!$D22-F22))</f>
        <v>0</v>
      </c>
      <c r="H22" s="201"/>
      <c r="I22" s="36">
        <f>IF(ISBLANK(Inventory!$A22),0,SUM('Week 4'!$E22:$G22)*Inventory!$D22-((SUM('Week 3'!$E22:$G22)+'Week 4'!$C22)*Inventory!$D22-H22))</f>
        <v>0</v>
      </c>
      <c r="J22" s="201"/>
      <c r="K22" s="36">
        <f>IF(ISBLANK(Inventory!$A22),0,SUM('Week 5'!$E22:$G22)*Inventory!$D22-((SUM('Week 4'!$E22:$G22)+'Week 5'!$C22)*Inventory!$D22-J22))</f>
        <v>0</v>
      </c>
      <c r="L22" s="36">
        <f>IF(ISBLANK(Inventory!A22),0,SUM(B22,D22,F22,H22,J22))</f>
        <v>0</v>
      </c>
      <c r="M22" s="36">
        <f>IF(ISBLANK(Inventory!A22),0,SUM(C22,E22,G22,I22,K22))</f>
        <v>0</v>
      </c>
      <c r="N22" s="35" t="str">
        <f>IF(OR(ISBLANK(O22),O22=0),"",Settings!$B$14)</f>
        <v/>
      </c>
      <c r="O22" s="30">
        <f>IF(ISBLANK(Inventory!A22),0,M22*Inventory!J22)</f>
        <v>0</v>
      </c>
    </row>
    <row r="23" spans="1:15" s="29" customFormat="1" ht="15" customHeight="1">
      <c r="A23" s="31" t="str">
        <f>IF(Inventory!A23&gt;0,Inventory!A23,"")</f>
        <v>Southern Comfort</v>
      </c>
      <c r="B23" s="201"/>
      <c r="C23" s="36">
        <f>IF(ISBLANK(Inventory!$A23),0,SUM('Week 1'!$E23:$G23)*Inventory!$D23-((SUM('Stock Opening'!$C23:$E23)+'Week 1'!$C23)*Inventory!$D23-B23))</f>
        <v>0</v>
      </c>
      <c r="D23" s="201"/>
      <c r="E23" s="36">
        <f>IF(ISBLANK(Inventory!$A23),0,SUM('Week 2'!$E23:$G23)*Inventory!$D23-((SUM('Week 1'!$E23:$G23)+'Week 2'!$C23)*Inventory!$D23-D23))</f>
        <v>0</v>
      </c>
      <c r="F23" s="201"/>
      <c r="G23" s="36">
        <f>IF(ISBLANK(Inventory!$A23),0,SUM('Week 3'!$E23:$G23)*Inventory!$D23-((SUM('Week 2'!$E23:$G23)+'Week 3'!$C23)*Inventory!$D23-F23))</f>
        <v>0</v>
      </c>
      <c r="H23" s="201"/>
      <c r="I23" s="36">
        <f>IF(ISBLANK(Inventory!$A23),0,SUM('Week 4'!$E23:$G23)*Inventory!$D23-((SUM('Week 3'!$E23:$G23)+'Week 4'!$C23)*Inventory!$D23-H23))</f>
        <v>0</v>
      </c>
      <c r="J23" s="201"/>
      <c r="K23" s="36">
        <f>IF(ISBLANK(Inventory!$A23),0,SUM('Week 5'!$E23:$G23)*Inventory!$D23-((SUM('Week 4'!$E23:$G23)+'Week 5'!$C23)*Inventory!$D23-J23))</f>
        <v>0</v>
      </c>
      <c r="L23" s="36">
        <f>IF(ISBLANK(Inventory!A23),0,SUM(B23,D23,F23,H23,J23))</f>
        <v>0</v>
      </c>
      <c r="M23" s="36">
        <f>IF(ISBLANK(Inventory!A23),0,SUM(C23,E23,G23,I23,K23))</f>
        <v>0</v>
      </c>
      <c r="N23" s="35" t="str">
        <f>IF(OR(ISBLANK(O23),O23=0),"",Settings!$B$14)</f>
        <v/>
      </c>
      <c r="O23" s="30">
        <f>IF(ISBLANK(Inventory!A23),0,M23*Inventory!J23)</f>
        <v>0</v>
      </c>
    </row>
    <row r="24" spans="1:15" s="29" customFormat="1" ht="15" customHeight="1">
      <c r="A24" s="31" t="str">
        <f>IF(Inventory!A24&gt;0,Inventory!A24,"")</f>
        <v>Gordons' Gin</v>
      </c>
      <c r="B24" s="201"/>
      <c r="C24" s="36">
        <f>IF(ISBLANK(Inventory!$A24),0,SUM('Week 1'!$E24:$G24)*Inventory!$D24-((SUM('Stock Opening'!$C24:$E24)+'Week 1'!$C24)*Inventory!$D24-B24))</f>
        <v>0</v>
      </c>
      <c r="D24" s="201"/>
      <c r="E24" s="36">
        <f>IF(ISBLANK(Inventory!$A24),0,SUM('Week 2'!$E24:$G24)*Inventory!$D24-((SUM('Week 1'!$E24:$G24)+'Week 2'!$C24)*Inventory!$D24-D24))</f>
        <v>0</v>
      </c>
      <c r="F24" s="201"/>
      <c r="G24" s="36">
        <f>IF(ISBLANK(Inventory!$A24),0,SUM('Week 3'!$E24:$G24)*Inventory!$D24-((SUM('Week 2'!$E24:$G24)+'Week 3'!$C24)*Inventory!$D24-F24))</f>
        <v>0</v>
      </c>
      <c r="H24" s="201"/>
      <c r="I24" s="36">
        <f>IF(ISBLANK(Inventory!$A24),0,SUM('Week 4'!$E24:$G24)*Inventory!$D24-((SUM('Week 3'!$E24:$G24)+'Week 4'!$C24)*Inventory!$D24-H24))</f>
        <v>0</v>
      </c>
      <c r="J24" s="201"/>
      <c r="K24" s="36">
        <f>IF(ISBLANK(Inventory!$A24),0,SUM('Week 5'!$E24:$G24)*Inventory!$D24-((SUM('Week 4'!$E24:$G24)+'Week 5'!$C24)*Inventory!$D24-J24))</f>
        <v>0</v>
      </c>
      <c r="L24" s="36">
        <f>IF(ISBLANK(Inventory!A24),0,SUM(B24,D24,F24,H24,J24))</f>
        <v>0</v>
      </c>
      <c r="M24" s="36">
        <f>IF(ISBLANK(Inventory!A24),0,SUM(C24,E24,G24,I24,K24))</f>
        <v>0</v>
      </c>
      <c r="N24" s="35" t="str">
        <f>IF(OR(ISBLANK(O24),O24=0),"",Settings!$B$14)</f>
        <v/>
      </c>
      <c r="O24" s="30">
        <f>IF(ISBLANK(Inventory!A24),0,M24*Inventory!J24)</f>
        <v>0</v>
      </c>
    </row>
    <row r="25" spans="1:15" s="29" customFormat="1" ht="15" customHeight="1">
      <c r="A25" s="31" t="str">
        <f>IF(Inventory!A25&gt;0,Inventory!A25,"")</f>
        <v>Gordons' Gin</v>
      </c>
      <c r="B25" s="201"/>
      <c r="C25" s="36">
        <f>IF(ISBLANK(Inventory!$A25),0,SUM('Week 1'!$E25:$G25)*Inventory!$D25-((SUM('Stock Opening'!$C25:$E25)+'Week 1'!$C25)*Inventory!$D25-B25))</f>
        <v>0</v>
      </c>
      <c r="D25" s="201"/>
      <c r="E25" s="36">
        <f>IF(ISBLANK(Inventory!$A25),0,SUM('Week 2'!$E25:$G25)*Inventory!$D25-((SUM('Week 1'!$E25:$G25)+'Week 2'!$C25)*Inventory!$D25-D25))</f>
        <v>0</v>
      </c>
      <c r="F25" s="201"/>
      <c r="G25" s="36">
        <f>IF(ISBLANK(Inventory!$A25),0,SUM('Week 3'!$E25:$G25)*Inventory!$D25-((SUM('Week 2'!$E25:$G25)+'Week 3'!$C25)*Inventory!$D25-F25))</f>
        <v>0</v>
      </c>
      <c r="H25" s="201"/>
      <c r="I25" s="36">
        <f>IF(ISBLANK(Inventory!$A25),0,SUM('Week 4'!$E25:$G25)*Inventory!$D25-((SUM('Week 3'!$E25:$G25)+'Week 4'!$C25)*Inventory!$D25-H25))</f>
        <v>0</v>
      </c>
      <c r="J25" s="201"/>
      <c r="K25" s="36">
        <f>IF(ISBLANK(Inventory!$A25),0,SUM('Week 5'!$E25:$G25)*Inventory!$D25-((SUM('Week 4'!$E25:$G25)+'Week 5'!$C25)*Inventory!$D25-J25))</f>
        <v>0</v>
      </c>
      <c r="L25" s="36">
        <f>IF(ISBLANK(Inventory!A25),0,SUM(B25,D25,F25,H25,J25))</f>
        <v>0</v>
      </c>
      <c r="M25" s="36">
        <f>IF(ISBLANK(Inventory!A25),0,SUM(C25,E25,G25,I25,K25))</f>
        <v>0</v>
      </c>
      <c r="N25" s="35" t="str">
        <f>IF(OR(ISBLANK(O25),O25=0),"",Settings!$B$14)</f>
        <v/>
      </c>
      <c r="O25" s="30">
        <f>IF(ISBLANK(Inventory!A25),0,M25*Inventory!J25)</f>
        <v>0</v>
      </c>
    </row>
    <row r="26" spans="1:15" s="29" customFormat="1" ht="15" customHeight="1">
      <c r="A26" s="31" t="str">
        <f>IF(Inventory!A26&gt;0,Inventory!A26,"")</f>
        <v>Bombay Sapphire</v>
      </c>
      <c r="B26" s="201"/>
      <c r="C26" s="36">
        <f>IF(ISBLANK(Inventory!$A26),0,SUM('Week 1'!$E26:$G26)*Inventory!$D26-((SUM('Stock Opening'!$C26:$E26)+'Week 1'!$C26)*Inventory!$D26-B26))</f>
        <v>0</v>
      </c>
      <c r="D26" s="201"/>
      <c r="E26" s="36">
        <f>IF(ISBLANK(Inventory!$A26),0,SUM('Week 2'!$E26:$G26)*Inventory!$D26-((SUM('Week 1'!$E26:$G26)+'Week 2'!$C26)*Inventory!$D26-D26))</f>
        <v>0</v>
      </c>
      <c r="F26" s="201"/>
      <c r="G26" s="36">
        <f>IF(ISBLANK(Inventory!$A26),0,SUM('Week 3'!$E26:$G26)*Inventory!$D26-((SUM('Week 2'!$E26:$G26)+'Week 3'!$C26)*Inventory!$D26-F26))</f>
        <v>0</v>
      </c>
      <c r="H26" s="201"/>
      <c r="I26" s="36">
        <f>IF(ISBLANK(Inventory!$A26),0,SUM('Week 4'!$E26:$G26)*Inventory!$D26-((SUM('Week 3'!$E26:$G26)+'Week 4'!$C26)*Inventory!$D26-H26))</f>
        <v>0</v>
      </c>
      <c r="J26" s="201"/>
      <c r="K26" s="36">
        <f>IF(ISBLANK(Inventory!$A26),0,SUM('Week 5'!$E26:$G26)*Inventory!$D26-((SUM('Week 4'!$E26:$G26)+'Week 5'!$C26)*Inventory!$D26-J26))</f>
        <v>0</v>
      </c>
      <c r="L26" s="36">
        <f>IF(ISBLANK(Inventory!A26),0,SUM(B26,D26,F26,H26,J26))</f>
        <v>0</v>
      </c>
      <c r="M26" s="36">
        <f>IF(ISBLANK(Inventory!A26),0,SUM(C26,E26,G26,I26,K26))</f>
        <v>0</v>
      </c>
      <c r="N26" s="35" t="str">
        <f>IF(OR(ISBLANK(O26),O26=0),"",Settings!$B$14)</f>
        <v/>
      </c>
      <c r="O26" s="30">
        <f>IF(ISBLANK(Inventory!A26),0,M26*Inventory!J26)</f>
        <v>0</v>
      </c>
    </row>
    <row r="27" spans="1:15" s="29" customFormat="1" ht="15" customHeight="1">
      <c r="A27" s="31" t="str">
        <f>IF(Inventory!A27&gt;0,Inventory!A27,"")</f>
        <v>Smirnoff Red</v>
      </c>
      <c r="B27" s="201"/>
      <c r="C27" s="36">
        <f>IF(ISBLANK(Inventory!$A27),0,SUM('Week 1'!$E27:$G27)*Inventory!$D27-((SUM('Stock Opening'!$C27:$E27)+'Week 1'!$C27)*Inventory!$D27-B27))</f>
        <v>0</v>
      </c>
      <c r="D27" s="201"/>
      <c r="E27" s="36">
        <f>IF(ISBLANK(Inventory!$A27),0,SUM('Week 2'!$E27:$G27)*Inventory!$D27-((SUM('Week 1'!$E27:$G27)+'Week 2'!$C27)*Inventory!$D27-D27))</f>
        <v>0</v>
      </c>
      <c r="F27" s="201"/>
      <c r="G27" s="36">
        <f>IF(ISBLANK(Inventory!$A27),0,SUM('Week 3'!$E27:$G27)*Inventory!$D27-((SUM('Week 2'!$E27:$G27)+'Week 3'!$C27)*Inventory!$D27-F27))</f>
        <v>0</v>
      </c>
      <c r="H27" s="201"/>
      <c r="I27" s="36">
        <f>IF(ISBLANK(Inventory!$A27),0,SUM('Week 4'!$E27:$G27)*Inventory!$D27-((SUM('Week 3'!$E27:$G27)+'Week 4'!$C27)*Inventory!$D27-H27))</f>
        <v>0</v>
      </c>
      <c r="J27" s="201"/>
      <c r="K27" s="36">
        <f>IF(ISBLANK(Inventory!$A27),0,SUM('Week 5'!$E27:$G27)*Inventory!$D27-((SUM('Week 4'!$E27:$G27)+'Week 5'!$C27)*Inventory!$D27-J27))</f>
        <v>0</v>
      </c>
      <c r="L27" s="36">
        <f>IF(ISBLANK(Inventory!A27),0,SUM(B27,D27,F27,H27,J27))</f>
        <v>0</v>
      </c>
      <c r="M27" s="36">
        <f>IF(ISBLANK(Inventory!A27),0,SUM(C27,E27,G27,I27,K27))</f>
        <v>0</v>
      </c>
      <c r="N27" s="35" t="str">
        <f>IF(OR(ISBLANK(O27),O27=0),"",Settings!$B$14)</f>
        <v/>
      </c>
      <c r="O27" s="30">
        <f>IF(ISBLANK(Inventory!A27),0,M27*Inventory!J27)</f>
        <v>0</v>
      </c>
    </row>
    <row r="28" spans="1:15" s="29" customFormat="1" ht="15" customHeight="1">
      <c r="A28" s="31" t="str">
        <f>IF(Inventory!A28&gt;0,Inventory!A28,"")</f>
        <v>Smirnoff Red</v>
      </c>
      <c r="B28" s="201"/>
      <c r="C28" s="36">
        <f>IF(ISBLANK(Inventory!$A28),0,SUM('Week 1'!$E28:$G28)*Inventory!$D28-((SUM('Stock Opening'!$C28:$E28)+'Week 1'!$C28)*Inventory!$D28-B28))</f>
        <v>0</v>
      </c>
      <c r="D28" s="201"/>
      <c r="E28" s="36">
        <f>IF(ISBLANK(Inventory!$A28),0,SUM('Week 2'!$E28:$G28)*Inventory!$D28-((SUM('Week 1'!$E28:$G28)+'Week 2'!$C28)*Inventory!$D28-D28))</f>
        <v>0</v>
      </c>
      <c r="F28" s="201"/>
      <c r="G28" s="36">
        <f>IF(ISBLANK(Inventory!$A28),0,SUM('Week 3'!$E28:$G28)*Inventory!$D28-((SUM('Week 2'!$E28:$G28)+'Week 3'!$C28)*Inventory!$D28-F28))</f>
        <v>0</v>
      </c>
      <c r="H28" s="201"/>
      <c r="I28" s="36">
        <f>IF(ISBLANK(Inventory!$A28),0,SUM('Week 4'!$E28:$G28)*Inventory!$D28-((SUM('Week 3'!$E28:$G28)+'Week 4'!$C28)*Inventory!$D28-H28))</f>
        <v>0</v>
      </c>
      <c r="J28" s="201"/>
      <c r="K28" s="36">
        <f>IF(ISBLANK(Inventory!$A28),0,SUM('Week 5'!$E28:$G28)*Inventory!$D28-((SUM('Week 4'!$E28:$G28)+'Week 5'!$C28)*Inventory!$D28-J28))</f>
        <v>0</v>
      </c>
      <c r="L28" s="36">
        <f>IF(ISBLANK(Inventory!A28),0,SUM(B28,D28,F28,H28,J28))</f>
        <v>0</v>
      </c>
      <c r="M28" s="36">
        <f>IF(ISBLANK(Inventory!A28),0,SUM(C28,E28,G28,I28,K28))</f>
        <v>0</v>
      </c>
      <c r="N28" s="35" t="str">
        <f>IF(OR(ISBLANK(O28),O28=0),"",Settings!$B$14)</f>
        <v/>
      </c>
      <c r="O28" s="30">
        <f>IF(ISBLANK(Inventory!A28),0,M28*Inventory!J28)</f>
        <v>0</v>
      </c>
    </row>
    <row r="29" spans="1:15" s="29" customFormat="1" ht="15" customHeight="1">
      <c r="A29" s="31" t="str">
        <f>IF(Inventory!A29&gt;0,Inventory!A29,"")</f>
        <v>Absolut</v>
      </c>
      <c r="B29" s="201"/>
      <c r="C29" s="36">
        <f>IF(ISBLANK(Inventory!$A29),0,SUM('Week 1'!$E29:$G29)*Inventory!$D29-((SUM('Stock Opening'!$C29:$E29)+'Week 1'!$C29)*Inventory!$D29-B29))</f>
        <v>0</v>
      </c>
      <c r="D29" s="201"/>
      <c r="E29" s="36">
        <f>IF(ISBLANK(Inventory!$A29),0,SUM('Week 2'!$E29:$G29)*Inventory!$D29-((SUM('Week 1'!$E29:$G29)+'Week 2'!$C29)*Inventory!$D29-D29))</f>
        <v>0</v>
      </c>
      <c r="F29" s="201"/>
      <c r="G29" s="36">
        <f>IF(ISBLANK(Inventory!$A29),0,SUM('Week 3'!$E29:$G29)*Inventory!$D29-((SUM('Week 2'!$E29:$G29)+'Week 3'!$C29)*Inventory!$D29-F29))</f>
        <v>0</v>
      </c>
      <c r="H29" s="201"/>
      <c r="I29" s="36">
        <f>IF(ISBLANK(Inventory!$A29),0,SUM('Week 4'!$E29:$G29)*Inventory!$D29-((SUM('Week 3'!$E29:$G29)+'Week 4'!$C29)*Inventory!$D29-H29))</f>
        <v>0</v>
      </c>
      <c r="J29" s="201"/>
      <c r="K29" s="36">
        <f>IF(ISBLANK(Inventory!$A29),0,SUM('Week 5'!$E29:$G29)*Inventory!$D29-((SUM('Week 4'!$E29:$G29)+'Week 5'!$C29)*Inventory!$D29-J29))</f>
        <v>0</v>
      </c>
      <c r="L29" s="36">
        <f>IF(ISBLANK(Inventory!A29),0,SUM(B29,D29,F29,H29,J29))</f>
        <v>0</v>
      </c>
      <c r="M29" s="36">
        <f>IF(ISBLANK(Inventory!A29),0,SUM(C29,E29,G29,I29,K29))</f>
        <v>0</v>
      </c>
      <c r="N29" s="35" t="str">
        <f>IF(OR(ISBLANK(O29),O29=0),"",Settings!$B$14)</f>
        <v/>
      </c>
      <c r="O29" s="30">
        <f>IF(ISBLANK(Inventory!A29),0,M29*Inventory!J29)</f>
        <v>0</v>
      </c>
    </row>
    <row r="30" spans="1:15" s="29" customFormat="1" ht="15" customHeight="1">
      <c r="A30" s="31" t="str">
        <f>IF(Inventory!A30&gt;0,Inventory!A30,"")</f>
        <v>Captain Morgan</v>
      </c>
      <c r="B30" s="201"/>
      <c r="C30" s="36">
        <f>IF(ISBLANK(Inventory!$A30),0,SUM('Week 1'!$E30:$G30)*Inventory!$D30-((SUM('Stock Opening'!$C30:$E30)+'Week 1'!$C30)*Inventory!$D30-B30))</f>
        <v>0</v>
      </c>
      <c r="D30" s="201"/>
      <c r="E30" s="36">
        <f>IF(ISBLANK(Inventory!$A30),0,SUM('Week 2'!$E30:$G30)*Inventory!$D30-((SUM('Week 1'!$E30:$G30)+'Week 2'!$C30)*Inventory!$D30-D30))</f>
        <v>0</v>
      </c>
      <c r="F30" s="201"/>
      <c r="G30" s="36">
        <f>IF(ISBLANK(Inventory!$A30),0,SUM('Week 3'!$E30:$G30)*Inventory!$D30-((SUM('Week 2'!$E30:$G30)+'Week 3'!$C30)*Inventory!$D30-F30))</f>
        <v>0</v>
      </c>
      <c r="H30" s="201"/>
      <c r="I30" s="36">
        <f>IF(ISBLANK(Inventory!$A30),0,SUM('Week 4'!$E30:$G30)*Inventory!$D30-((SUM('Week 3'!$E30:$G30)+'Week 4'!$C30)*Inventory!$D30-H30))</f>
        <v>0</v>
      </c>
      <c r="J30" s="201"/>
      <c r="K30" s="36">
        <f>IF(ISBLANK(Inventory!$A30),0,SUM('Week 5'!$E30:$G30)*Inventory!$D30-((SUM('Week 4'!$E30:$G30)+'Week 5'!$C30)*Inventory!$D30-J30))</f>
        <v>0</v>
      </c>
      <c r="L30" s="36">
        <f>IF(ISBLANK(Inventory!A30),0,SUM(B30,D30,F30,H30,J30))</f>
        <v>0</v>
      </c>
      <c r="M30" s="36">
        <f>IF(ISBLANK(Inventory!A30),0,SUM(C30,E30,G30,I30,K30))</f>
        <v>0</v>
      </c>
      <c r="N30" s="35" t="str">
        <f>IF(OR(ISBLANK(O30),O30=0),"",Settings!$B$14)</f>
        <v/>
      </c>
      <c r="O30" s="30">
        <f>IF(ISBLANK(Inventory!A30),0,M30*Inventory!J30)</f>
        <v>0</v>
      </c>
    </row>
    <row r="31" spans="1:15" s="29" customFormat="1" ht="15" customHeight="1">
      <c r="A31" s="31" t="str">
        <f>IF(Inventory!A31&gt;0,Inventory!A31,"")</f>
        <v>Bacardi</v>
      </c>
      <c r="B31" s="201"/>
      <c r="C31" s="36">
        <f>IF(ISBLANK(Inventory!$A31),0,SUM('Week 1'!$E31:$G31)*Inventory!$D31-((SUM('Stock Opening'!$C31:$E31)+'Week 1'!$C31)*Inventory!$D31-B31))</f>
        <v>0</v>
      </c>
      <c r="D31" s="201"/>
      <c r="E31" s="36">
        <f>IF(ISBLANK(Inventory!$A31),0,SUM('Week 2'!$E31:$G31)*Inventory!$D31-((SUM('Week 1'!$E31:$G31)+'Week 2'!$C31)*Inventory!$D31-D31))</f>
        <v>0</v>
      </c>
      <c r="F31" s="201"/>
      <c r="G31" s="36">
        <f>IF(ISBLANK(Inventory!$A31),0,SUM('Week 3'!$E31:$G31)*Inventory!$D31-((SUM('Week 2'!$E31:$G31)+'Week 3'!$C31)*Inventory!$D31-F31))</f>
        <v>0</v>
      </c>
      <c r="H31" s="201"/>
      <c r="I31" s="36">
        <f>IF(ISBLANK(Inventory!$A31),0,SUM('Week 4'!$E31:$G31)*Inventory!$D31-((SUM('Week 3'!$E31:$G31)+'Week 4'!$C31)*Inventory!$D31-H31))</f>
        <v>0</v>
      </c>
      <c r="J31" s="201"/>
      <c r="K31" s="36">
        <f>IF(ISBLANK(Inventory!$A31),0,SUM('Week 5'!$E31:$G31)*Inventory!$D31-((SUM('Week 4'!$E31:$G31)+'Week 5'!$C31)*Inventory!$D31-J31))</f>
        <v>0</v>
      </c>
      <c r="L31" s="36">
        <f>IF(ISBLANK(Inventory!A31),0,SUM(B31,D31,F31,H31,J31))</f>
        <v>0</v>
      </c>
      <c r="M31" s="36">
        <f>IF(ISBLANK(Inventory!A31),0,SUM(C31,E31,G31,I31,K31))</f>
        <v>0</v>
      </c>
      <c r="N31" s="35" t="str">
        <f>IF(OR(ISBLANK(O31),O31=0),"",Settings!$B$14)</f>
        <v/>
      </c>
      <c r="O31" s="30">
        <f>IF(ISBLANK(Inventory!A31),0,M31*Inventory!J31)</f>
        <v>0</v>
      </c>
    </row>
    <row r="32" spans="1:15" s="29" customFormat="1" ht="15" customHeight="1">
      <c r="A32" s="31" t="str">
        <f>IF(Inventory!A32&gt;0,Inventory!A32,"")</f>
        <v>Bacardi</v>
      </c>
      <c r="B32" s="201"/>
      <c r="C32" s="36">
        <f>IF(ISBLANK(Inventory!$A32),0,SUM('Week 1'!$E32:$G32)*Inventory!$D32-((SUM('Stock Opening'!$C32:$E32)+'Week 1'!$C32)*Inventory!$D32-B32))</f>
        <v>0</v>
      </c>
      <c r="D32" s="201"/>
      <c r="E32" s="36">
        <f>IF(ISBLANK(Inventory!$A32),0,SUM('Week 2'!$E32:$G32)*Inventory!$D32-((SUM('Week 1'!$E32:$G32)+'Week 2'!$C32)*Inventory!$D32-D32))</f>
        <v>0</v>
      </c>
      <c r="F32" s="201"/>
      <c r="G32" s="36">
        <f>IF(ISBLANK(Inventory!$A32),0,SUM('Week 3'!$E32:$G32)*Inventory!$D32-((SUM('Week 2'!$E32:$G32)+'Week 3'!$C32)*Inventory!$D32-F32))</f>
        <v>0</v>
      </c>
      <c r="H32" s="201"/>
      <c r="I32" s="36">
        <f>IF(ISBLANK(Inventory!$A32),0,SUM('Week 4'!$E32:$G32)*Inventory!$D32-((SUM('Week 3'!$E32:$G32)+'Week 4'!$C32)*Inventory!$D32-H32))</f>
        <v>0</v>
      </c>
      <c r="J32" s="201"/>
      <c r="K32" s="36">
        <f>IF(ISBLANK(Inventory!$A32),0,SUM('Week 5'!$E32:$G32)*Inventory!$D32-((SUM('Week 4'!$E32:$G32)+'Week 5'!$C32)*Inventory!$D32-J32))</f>
        <v>0</v>
      </c>
      <c r="L32" s="36">
        <f>IF(ISBLANK(Inventory!A32),0,SUM(B32,D32,F32,H32,J32))</f>
        <v>0</v>
      </c>
      <c r="M32" s="36">
        <f>IF(ISBLANK(Inventory!A32),0,SUM(C32,E32,G32,I32,K32))</f>
        <v>0</v>
      </c>
      <c r="N32" s="35" t="str">
        <f>IF(OR(ISBLANK(O32),O32=0),"",Settings!$B$14)</f>
        <v/>
      </c>
      <c r="O32" s="30">
        <f>IF(ISBLANK(Inventory!A32),0,M32*Inventory!J32)</f>
        <v>0</v>
      </c>
    </row>
    <row r="33" spans="1:15" s="29" customFormat="1" ht="15" customHeight="1">
      <c r="A33" s="31" t="str">
        <f>IF(Inventory!A33&gt;0,Inventory!A33,"")</f>
        <v>Martell ***</v>
      </c>
      <c r="B33" s="201"/>
      <c r="C33" s="36">
        <f>IF(ISBLANK(Inventory!$A33),0,SUM('Week 1'!$E33:$G33)*Inventory!$D33-((SUM('Stock Opening'!$C33:$E33)+'Week 1'!$C33)*Inventory!$D33-B33))</f>
        <v>0</v>
      </c>
      <c r="D33" s="201"/>
      <c r="E33" s="36">
        <f>IF(ISBLANK(Inventory!$A33),0,SUM('Week 2'!$E33:$G33)*Inventory!$D33-((SUM('Week 1'!$E33:$G33)+'Week 2'!$C33)*Inventory!$D33-D33))</f>
        <v>0</v>
      </c>
      <c r="F33" s="201"/>
      <c r="G33" s="36">
        <f>IF(ISBLANK(Inventory!$A33),0,SUM('Week 3'!$E33:$G33)*Inventory!$D33-((SUM('Week 2'!$E33:$G33)+'Week 3'!$C33)*Inventory!$D33-F33))</f>
        <v>0</v>
      </c>
      <c r="H33" s="201"/>
      <c r="I33" s="36">
        <f>IF(ISBLANK(Inventory!$A33),0,SUM('Week 4'!$E33:$G33)*Inventory!$D33-((SUM('Week 3'!$E33:$G33)+'Week 4'!$C33)*Inventory!$D33-H33))</f>
        <v>0</v>
      </c>
      <c r="J33" s="201"/>
      <c r="K33" s="36">
        <f>IF(ISBLANK(Inventory!$A33),0,SUM('Week 5'!$E33:$G33)*Inventory!$D33-((SUM('Week 4'!$E33:$G33)+'Week 5'!$C33)*Inventory!$D33-J33))</f>
        <v>0</v>
      </c>
      <c r="L33" s="36">
        <f>IF(ISBLANK(Inventory!A33),0,SUM(B33,D33,F33,H33,J33))</f>
        <v>0</v>
      </c>
      <c r="M33" s="36">
        <f>IF(ISBLANK(Inventory!A33),0,SUM(C33,E33,G33,I33,K33))</f>
        <v>0</v>
      </c>
      <c r="N33" s="35" t="str">
        <f>IF(OR(ISBLANK(O33),O33=0),"",Settings!$B$14)</f>
        <v/>
      </c>
      <c r="O33" s="30">
        <f>IF(ISBLANK(Inventory!A33),0,M33*Inventory!J33)</f>
        <v>0</v>
      </c>
    </row>
    <row r="34" spans="1:15" s="29" customFormat="1" ht="15" customHeight="1">
      <c r="A34" s="31" t="str">
        <f>IF(Inventory!A34&gt;0,Inventory!A34,"")</f>
        <v>Martell ***</v>
      </c>
      <c r="B34" s="201"/>
      <c r="C34" s="36">
        <f>IF(ISBLANK(Inventory!$A34),0,SUM('Week 1'!$E34:$G34)*Inventory!$D34-((SUM('Stock Opening'!$C34:$E34)+'Week 1'!$C34)*Inventory!$D34-B34))</f>
        <v>0</v>
      </c>
      <c r="D34" s="201"/>
      <c r="E34" s="36">
        <f>IF(ISBLANK(Inventory!$A34),0,SUM('Week 2'!$E34:$G34)*Inventory!$D34-((SUM('Week 1'!$E34:$G34)+'Week 2'!$C34)*Inventory!$D34-D34))</f>
        <v>0</v>
      </c>
      <c r="F34" s="201"/>
      <c r="G34" s="36">
        <f>IF(ISBLANK(Inventory!$A34),0,SUM('Week 3'!$E34:$G34)*Inventory!$D34-((SUM('Week 2'!$E34:$G34)+'Week 3'!$C34)*Inventory!$D34-F34))</f>
        <v>0</v>
      </c>
      <c r="H34" s="201"/>
      <c r="I34" s="36">
        <f>IF(ISBLANK(Inventory!$A34),0,SUM('Week 4'!$E34:$G34)*Inventory!$D34-((SUM('Week 3'!$E34:$G34)+'Week 4'!$C34)*Inventory!$D34-H34))</f>
        <v>0</v>
      </c>
      <c r="J34" s="201"/>
      <c r="K34" s="36">
        <f>IF(ISBLANK(Inventory!$A34),0,SUM('Week 5'!$E34:$G34)*Inventory!$D34-((SUM('Week 4'!$E34:$G34)+'Week 5'!$C34)*Inventory!$D34-J34))</f>
        <v>0</v>
      </c>
      <c r="L34" s="36">
        <f>IF(ISBLANK(Inventory!A34),0,SUM(B34,D34,F34,H34,J34))</f>
        <v>0</v>
      </c>
      <c r="M34" s="36">
        <f>IF(ISBLANK(Inventory!A34),0,SUM(C34,E34,G34,I34,K34))</f>
        <v>0</v>
      </c>
      <c r="N34" s="35" t="str">
        <f>IF(OR(ISBLANK(O34),O34=0),"",Settings!$B$14)</f>
        <v/>
      </c>
      <c r="O34" s="30">
        <f>IF(ISBLANK(Inventory!A34),0,M34*Inventory!J34)</f>
        <v>0</v>
      </c>
    </row>
    <row r="35" spans="1:15" s="29" customFormat="1" ht="15" customHeight="1">
      <c r="A35" s="31" t="str">
        <f>IF(Inventory!A35&gt;0,Inventory!A35,"")</f>
        <v>Remy Martin</v>
      </c>
      <c r="B35" s="201"/>
      <c r="C35" s="36">
        <f>IF(ISBLANK(Inventory!$A35),0,SUM('Week 1'!$E35:$G35)*Inventory!$D35-((SUM('Stock Opening'!$C35:$E35)+'Week 1'!$C35)*Inventory!$D35-B35))</f>
        <v>0</v>
      </c>
      <c r="D35" s="201"/>
      <c r="E35" s="36">
        <f>IF(ISBLANK(Inventory!$A35),0,SUM('Week 2'!$E35:$G35)*Inventory!$D35-((SUM('Week 1'!$E35:$G35)+'Week 2'!$C35)*Inventory!$D35-D35))</f>
        <v>0</v>
      </c>
      <c r="F35" s="201"/>
      <c r="G35" s="36">
        <f>IF(ISBLANK(Inventory!$A35),0,SUM('Week 3'!$E35:$G35)*Inventory!$D35-((SUM('Week 2'!$E35:$G35)+'Week 3'!$C35)*Inventory!$D35-F35))</f>
        <v>0</v>
      </c>
      <c r="H35" s="201"/>
      <c r="I35" s="36">
        <f>IF(ISBLANK(Inventory!$A35),0,SUM('Week 4'!$E35:$G35)*Inventory!$D35-((SUM('Week 3'!$E35:$G35)+'Week 4'!$C35)*Inventory!$D35-H35))</f>
        <v>0</v>
      </c>
      <c r="J35" s="201"/>
      <c r="K35" s="36">
        <f>IF(ISBLANK(Inventory!$A35),0,SUM('Week 5'!$E35:$G35)*Inventory!$D35-((SUM('Week 4'!$E35:$G35)+'Week 5'!$C35)*Inventory!$D35-J35))</f>
        <v>0</v>
      </c>
      <c r="L35" s="36">
        <f>IF(ISBLANK(Inventory!A35),0,SUM(B35,D35,F35,H35,J35))</f>
        <v>0</v>
      </c>
      <c r="M35" s="36">
        <f>IF(ISBLANK(Inventory!A35),0,SUM(C35,E35,G35,I35,K35))</f>
        <v>0</v>
      </c>
      <c r="N35" s="35" t="str">
        <f>IF(OR(ISBLANK(O35),O35=0),"",Settings!$B$14)</f>
        <v/>
      </c>
      <c r="O35" s="30">
        <f>IF(ISBLANK(Inventory!A35),0,M35*Inventory!J35)</f>
        <v>0</v>
      </c>
    </row>
    <row r="36" spans="1:15" s="29" customFormat="1" ht="15" customHeight="1">
      <c r="A36" s="31" t="str">
        <f>IF(Inventory!A36&gt;0,Inventory!A36,"")</f>
        <v>Baileys</v>
      </c>
      <c r="B36" s="201"/>
      <c r="C36" s="36">
        <f>IF(ISBLANK(Inventory!$A36),0,SUM('Week 1'!$E36:$G36)*Inventory!$D36-((SUM('Stock Opening'!$C36:$E36)+'Week 1'!$C36)*Inventory!$D36-B36))</f>
        <v>0</v>
      </c>
      <c r="D36" s="201"/>
      <c r="E36" s="36">
        <f>IF(ISBLANK(Inventory!$A36),0,SUM('Week 2'!$E36:$G36)*Inventory!$D36-((SUM('Week 1'!$E36:$G36)+'Week 2'!$C36)*Inventory!$D36-D36))</f>
        <v>0</v>
      </c>
      <c r="F36" s="201"/>
      <c r="G36" s="36">
        <f>IF(ISBLANK(Inventory!$A36),0,SUM('Week 3'!$E36:$G36)*Inventory!$D36-((SUM('Week 2'!$E36:$G36)+'Week 3'!$C36)*Inventory!$D36-F36))</f>
        <v>0</v>
      </c>
      <c r="H36" s="201"/>
      <c r="I36" s="36">
        <f>IF(ISBLANK(Inventory!$A36),0,SUM('Week 4'!$E36:$G36)*Inventory!$D36-((SUM('Week 3'!$E36:$G36)+'Week 4'!$C36)*Inventory!$D36-H36))</f>
        <v>0</v>
      </c>
      <c r="J36" s="201"/>
      <c r="K36" s="36">
        <f>IF(ISBLANK(Inventory!$A36),0,SUM('Week 5'!$E36:$G36)*Inventory!$D36-((SUM('Week 4'!$E36:$G36)+'Week 5'!$C36)*Inventory!$D36-J36))</f>
        <v>0</v>
      </c>
      <c r="L36" s="36">
        <f>IF(ISBLANK(Inventory!A36),0,SUM(B36,D36,F36,H36,J36))</f>
        <v>0</v>
      </c>
      <c r="M36" s="36">
        <f>IF(ISBLANK(Inventory!A36),0,SUM(C36,E36,G36,I36,K36))</f>
        <v>0</v>
      </c>
      <c r="N36" s="35" t="str">
        <f>IF(OR(ISBLANK(O36),O36=0),"",Settings!$B$14)</f>
        <v/>
      </c>
      <c r="O36" s="30">
        <f>IF(ISBLANK(Inventory!A36),0,M36*Inventory!J36)</f>
        <v>0</v>
      </c>
    </row>
    <row r="37" spans="1:15" s="29" customFormat="1" ht="15" customHeight="1">
      <c r="A37" s="31" t="str">
        <f>IF(Inventory!A37&gt;0,Inventory!A37,"")</f>
        <v>Baileys</v>
      </c>
      <c r="B37" s="201"/>
      <c r="C37" s="36">
        <f>IF(ISBLANK(Inventory!$A37),0,SUM('Week 1'!$E37:$G37)*Inventory!$D37-((SUM('Stock Opening'!$C37:$E37)+'Week 1'!$C37)*Inventory!$D37-B37))</f>
        <v>0</v>
      </c>
      <c r="D37" s="201"/>
      <c r="E37" s="36">
        <f>IF(ISBLANK(Inventory!$A37),0,SUM('Week 2'!$E37:$G37)*Inventory!$D37-((SUM('Week 1'!$E37:$G37)+'Week 2'!$C37)*Inventory!$D37-D37))</f>
        <v>0</v>
      </c>
      <c r="F37" s="201"/>
      <c r="G37" s="36">
        <f>IF(ISBLANK(Inventory!$A37),0,SUM('Week 3'!$E37:$G37)*Inventory!$D37-((SUM('Week 2'!$E37:$G37)+'Week 3'!$C37)*Inventory!$D37-F37))</f>
        <v>0</v>
      </c>
      <c r="H37" s="201"/>
      <c r="I37" s="36">
        <f>IF(ISBLANK(Inventory!$A37),0,SUM('Week 4'!$E37:$G37)*Inventory!$D37-((SUM('Week 3'!$E37:$G37)+'Week 4'!$C37)*Inventory!$D37-H37))</f>
        <v>0</v>
      </c>
      <c r="J37" s="201"/>
      <c r="K37" s="36">
        <f>IF(ISBLANK(Inventory!$A37),0,SUM('Week 5'!$E37:$G37)*Inventory!$D37-((SUM('Week 4'!$E37:$G37)+'Week 5'!$C37)*Inventory!$D37-J37))</f>
        <v>0</v>
      </c>
      <c r="L37" s="36">
        <f>IF(ISBLANK(Inventory!A37),0,SUM(B37,D37,F37,H37,J37))</f>
        <v>0</v>
      </c>
      <c r="M37" s="36">
        <f>IF(ISBLANK(Inventory!A37),0,SUM(C37,E37,G37,I37,K37))</f>
        <v>0</v>
      </c>
      <c r="N37" s="35" t="str">
        <f>IF(OR(ISBLANK(O37),O37=0),"",Settings!$B$14)</f>
        <v/>
      </c>
      <c r="O37" s="30">
        <f>IF(ISBLANK(Inventory!A37),0,M37*Inventory!J37)</f>
        <v>0</v>
      </c>
    </row>
    <row r="38" spans="1:15" s="29" customFormat="1" ht="15" customHeight="1">
      <c r="A38" s="31" t="str">
        <f>IF(Inventory!A38&gt;0,Inventory!A38,"")</f>
        <v>Cointreau</v>
      </c>
      <c r="B38" s="201"/>
      <c r="C38" s="36">
        <f>IF(ISBLANK(Inventory!$A38),0,SUM('Week 1'!$E38:$G38)*Inventory!$D38-((SUM('Stock Opening'!$C38:$E38)+'Week 1'!$C38)*Inventory!$D38-B38))</f>
        <v>0</v>
      </c>
      <c r="D38" s="201"/>
      <c r="E38" s="36">
        <f>IF(ISBLANK(Inventory!$A38),0,SUM('Week 2'!$E38:$G38)*Inventory!$D38-((SUM('Week 1'!$E38:$G38)+'Week 2'!$C38)*Inventory!$D38-D38))</f>
        <v>0</v>
      </c>
      <c r="F38" s="201"/>
      <c r="G38" s="36">
        <f>IF(ISBLANK(Inventory!$A38),0,SUM('Week 3'!$E38:$G38)*Inventory!$D38-((SUM('Week 2'!$E38:$G38)+'Week 3'!$C38)*Inventory!$D38-F38))</f>
        <v>0</v>
      </c>
      <c r="H38" s="201"/>
      <c r="I38" s="36">
        <f>IF(ISBLANK(Inventory!$A38),0,SUM('Week 4'!$E38:$G38)*Inventory!$D38-((SUM('Week 3'!$E38:$G38)+'Week 4'!$C38)*Inventory!$D38-H38))</f>
        <v>0</v>
      </c>
      <c r="J38" s="201"/>
      <c r="K38" s="36">
        <f>IF(ISBLANK(Inventory!$A38),0,SUM('Week 5'!$E38:$G38)*Inventory!$D38-((SUM('Week 4'!$E38:$G38)+'Week 5'!$C38)*Inventory!$D38-J38))</f>
        <v>0</v>
      </c>
      <c r="L38" s="36">
        <f>IF(ISBLANK(Inventory!A38),0,SUM(B38,D38,F38,H38,J38))</f>
        <v>0</v>
      </c>
      <c r="M38" s="36">
        <f>IF(ISBLANK(Inventory!A38),0,SUM(C38,E38,G38,I38,K38))</f>
        <v>0</v>
      </c>
      <c r="N38" s="35" t="str">
        <f>IF(OR(ISBLANK(O38),O38=0),"",Settings!$B$14)</f>
        <v/>
      </c>
      <c r="O38" s="30">
        <f>IF(ISBLANK(Inventory!A38),0,M38*Inventory!J38)</f>
        <v>0</v>
      </c>
    </row>
    <row r="39" spans="1:15" s="29" customFormat="1" ht="15" customHeight="1">
      <c r="A39" s="31" t="str">
        <f>IF(Inventory!A39&gt;0,Inventory!A39,"")</f>
        <v>Drambuie</v>
      </c>
      <c r="B39" s="201"/>
      <c r="C39" s="36">
        <f>IF(ISBLANK(Inventory!$A39),0,SUM('Week 1'!$E39:$G39)*Inventory!$D39-((SUM('Stock Opening'!$C39:$E39)+'Week 1'!$C39)*Inventory!$D39-B39))</f>
        <v>0</v>
      </c>
      <c r="D39" s="201"/>
      <c r="E39" s="36">
        <f>IF(ISBLANK(Inventory!$A39),0,SUM('Week 2'!$E39:$G39)*Inventory!$D39-((SUM('Week 1'!$E39:$G39)+'Week 2'!$C39)*Inventory!$D39-D39))</f>
        <v>0</v>
      </c>
      <c r="F39" s="201"/>
      <c r="G39" s="36">
        <f>IF(ISBLANK(Inventory!$A39),0,SUM('Week 3'!$E39:$G39)*Inventory!$D39-((SUM('Week 2'!$E39:$G39)+'Week 3'!$C39)*Inventory!$D39-F39))</f>
        <v>0</v>
      </c>
      <c r="H39" s="201"/>
      <c r="I39" s="36">
        <f>IF(ISBLANK(Inventory!$A39),0,SUM('Week 4'!$E39:$G39)*Inventory!$D39-((SUM('Week 3'!$E39:$G39)+'Week 4'!$C39)*Inventory!$D39-H39))</f>
        <v>0</v>
      </c>
      <c r="J39" s="201"/>
      <c r="K39" s="36">
        <f>IF(ISBLANK(Inventory!$A39),0,SUM('Week 5'!$E39:$G39)*Inventory!$D39-((SUM('Week 4'!$E39:$G39)+'Week 5'!$C39)*Inventory!$D39-J39))</f>
        <v>0</v>
      </c>
      <c r="L39" s="36">
        <f>IF(ISBLANK(Inventory!A39),0,SUM(B39,D39,F39,H39,J39))</f>
        <v>0</v>
      </c>
      <c r="M39" s="36">
        <f>IF(ISBLANK(Inventory!A39),0,SUM(C39,E39,G39,I39,K39))</f>
        <v>0</v>
      </c>
      <c r="N39" s="35" t="str">
        <f>IF(OR(ISBLANK(O39),O39=0),"",Settings!$B$14)</f>
        <v/>
      </c>
      <c r="O39" s="30">
        <f>IF(ISBLANK(Inventory!A39),0,M39*Inventory!J39)</f>
        <v>0</v>
      </c>
    </row>
    <row r="40" spans="1:15" s="29" customFormat="1" ht="15" customHeight="1">
      <c r="A40" s="31" t="str">
        <f>IF(Inventory!A40&gt;0,Inventory!A40,"")</f>
        <v>Malibu</v>
      </c>
      <c r="B40" s="201"/>
      <c r="C40" s="36">
        <f>IF(ISBLANK(Inventory!$A40),0,SUM('Week 1'!$E40:$G40)*Inventory!$D40-((SUM('Stock Opening'!$C40:$E40)+'Week 1'!$C40)*Inventory!$D40-B40))</f>
        <v>0</v>
      </c>
      <c r="D40" s="201"/>
      <c r="E40" s="36">
        <f>IF(ISBLANK(Inventory!$A40),0,SUM('Week 2'!$E40:$G40)*Inventory!$D40-((SUM('Week 1'!$E40:$G40)+'Week 2'!$C40)*Inventory!$D40-D40))</f>
        <v>0</v>
      </c>
      <c r="F40" s="201"/>
      <c r="G40" s="36">
        <f>IF(ISBLANK(Inventory!$A40),0,SUM('Week 3'!$E40:$G40)*Inventory!$D40-((SUM('Week 2'!$E40:$G40)+'Week 3'!$C40)*Inventory!$D40-F40))</f>
        <v>0</v>
      </c>
      <c r="H40" s="201"/>
      <c r="I40" s="36">
        <f>IF(ISBLANK(Inventory!$A40),0,SUM('Week 4'!$E40:$G40)*Inventory!$D40-((SUM('Week 3'!$E40:$G40)+'Week 4'!$C40)*Inventory!$D40-H40))</f>
        <v>0</v>
      </c>
      <c r="J40" s="201"/>
      <c r="K40" s="36">
        <f>IF(ISBLANK(Inventory!$A40),0,SUM('Week 5'!$E40:$G40)*Inventory!$D40-((SUM('Week 4'!$E40:$G40)+'Week 5'!$C40)*Inventory!$D40-J40))</f>
        <v>0</v>
      </c>
      <c r="L40" s="36">
        <f>IF(ISBLANK(Inventory!A40),0,SUM(B40,D40,F40,H40,J40))</f>
        <v>0</v>
      </c>
      <c r="M40" s="36">
        <f>IF(ISBLANK(Inventory!A40),0,SUM(C40,E40,G40,I40,K40))</f>
        <v>0</v>
      </c>
      <c r="N40" s="35" t="str">
        <f>IF(OR(ISBLANK(O40),O40=0),"",Settings!$B$14)</f>
        <v/>
      </c>
      <c r="O40" s="30">
        <f>IF(ISBLANK(Inventory!A40),0,M40*Inventory!J40)</f>
        <v>0</v>
      </c>
    </row>
    <row r="41" spans="1:15" s="29" customFormat="1" ht="15" customHeight="1">
      <c r="A41" s="31" t="str">
        <f>IF(Inventory!A41&gt;0,Inventory!A41,"")</f>
        <v>Malibu</v>
      </c>
      <c r="B41" s="201"/>
      <c r="C41" s="36">
        <f>IF(ISBLANK(Inventory!$A41),0,SUM('Week 1'!$E41:$G41)*Inventory!$D41-((SUM('Stock Opening'!$C41:$E41)+'Week 1'!$C41)*Inventory!$D41-B41))</f>
        <v>0</v>
      </c>
      <c r="D41" s="201"/>
      <c r="E41" s="36">
        <f>IF(ISBLANK(Inventory!$A41),0,SUM('Week 2'!$E41:$G41)*Inventory!$D41-((SUM('Week 1'!$E41:$G41)+'Week 2'!$C41)*Inventory!$D41-D41))</f>
        <v>0</v>
      </c>
      <c r="F41" s="201"/>
      <c r="G41" s="36">
        <f>IF(ISBLANK(Inventory!$A41),0,SUM('Week 3'!$E41:$G41)*Inventory!$D41-((SUM('Week 2'!$E41:$G41)+'Week 3'!$C41)*Inventory!$D41-F41))</f>
        <v>0</v>
      </c>
      <c r="H41" s="201"/>
      <c r="I41" s="36">
        <f>IF(ISBLANK(Inventory!$A41),0,SUM('Week 4'!$E41:$G41)*Inventory!$D41-((SUM('Week 3'!$E41:$G41)+'Week 4'!$C41)*Inventory!$D41-H41))</f>
        <v>0</v>
      </c>
      <c r="J41" s="201"/>
      <c r="K41" s="36">
        <f>IF(ISBLANK(Inventory!$A41),0,SUM('Week 5'!$E41:$G41)*Inventory!$D41-((SUM('Week 4'!$E41:$G41)+'Week 5'!$C41)*Inventory!$D41-J41))</f>
        <v>0</v>
      </c>
      <c r="L41" s="36">
        <f>IF(ISBLANK(Inventory!A41),0,SUM(B41,D41,F41,H41,J41))</f>
        <v>0</v>
      </c>
      <c r="M41" s="36">
        <f>IF(ISBLANK(Inventory!A41),0,SUM(C41,E41,G41,I41,K41))</f>
        <v>0</v>
      </c>
      <c r="N41" s="35" t="str">
        <f>IF(OR(ISBLANK(O41),O41=0),"",Settings!$B$14)</f>
        <v/>
      </c>
      <c r="O41" s="30">
        <f>IF(ISBLANK(Inventory!A41),0,M41*Inventory!J41)</f>
        <v>0</v>
      </c>
    </row>
    <row r="42" spans="1:15" s="29" customFormat="1" ht="15" customHeight="1">
      <c r="A42" s="31" t="str">
        <f>IF(Inventory!A42&gt;0,Inventory!A42,"")</f>
        <v>Archers</v>
      </c>
      <c r="B42" s="201"/>
      <c r="C42" s="36">
        <f>IF(ISBLANK(Inventory!$A42),0,SUM('Week 1'!$E42:$G42)*Inventory!$D42-((SUM('Stock Opening'!$C42:$E42)+'Week 1'!$C42)*Inventory!$D42-B42))</f>
        <v>0</v>
      </c>
      <c r="D42" s="201"/>
      <c r="E42" s="36">
        <f>IF(ISBLANK(Inventory!$A42),0,SUM('Week 2'!$E42:$G42)*Inventory!$D42-((SUM('Week 1'!$E42:$G42)+'Week 2'!$C42)*Inventory!$D42-D42))</f>
        <v>0</v>
      </c>
      <c r="F42" s="201"/>
      <c r="G42" s="36">
        <f>IF(ISBLANK(Inventory!$A42),0,SUM('Week 3'!$E42:$G42)*Inventory!$D42-((SUM('Week 2'!$E42:$G42)+'Week 3'!$C42)*Inventory!$D42-F42))</f>
        <v>0</v>
      </c>
      <c r="H42" s="201"/>
      <c r="I42" s="36">
        <f>IF(ISBLANK(Inventory!$A42),0,SUM('Week 4'!$E42:$G42)*Inventory!$D42-((SUM('Week 3'!$E42:$G42)+'Week 4'!$C42)*Inventory!$D42-H42))</f>
        <v>0</v>
      </c>
      <c r="J42" s="201"/>
      <c r="K42" s="36">
        <f>IF(ISBLANK(Inventory!$A42),0,SUM('Week 5'!$E42:$G42)*Inventory!$D42-((SUM('Week 4'!$E42:$G42)+'Week 5'!$C42)*Inventory!$D42-J42))</f>
        <v>0</v>
      </c>
      <c r="L42" s="36">
        <f>IF(ISBLANK(Inventory!A42),0,SUM(B42,D42,F42,H42,J42))</f>
        <v>0</v>
      </c>
      <c r="M42" s="36">
        <f>IF(ISBLANK(Inventory!A42),0,SUM(C42,E42,G42,I42,K42))</f>
        <v>0</v>
      </c>
      <c r="N42" s="35" t="str">
        <f>IF(OR(ISBLANK(O42),O42=0),"",Settings!$B$14)</f>
        <v/>
      </c>
      <c r="O42" s="30">
        <f>IF(ISBLANK(Inventory!A42),0,M42*Inventory!J42)</f>
        <v>0</v>
      </c>
    </row>
    <row r="43" spans="1:15" s="29" customFormat="1" ht="15" customHeight="1">
      <c r="A43" s="31" t="str">
        <f>IF(Inventory!A43&gt;0,Inventory!A43,"")</f>
        <v>Archers</v>
      </c>
      <c r="B43" s="201"/>
      <c r="C43" s="36">
        <f>IF(ISBLANK(Inventory!$A43),0,SUM('Week 1'!$E43:$G43)*Inventory!$D43-((SUM('Stock Opening'!$C43:$E43)+'Week 1'!$C43)*Inventory!$D43-B43))</f>
        <v>0</v>
      </c>
      <c r="D43" s="201"/>
      <c r="E43" s="36">
        <f>IF(ISBLANK(Inventory!$A43),0,SUM('Week 2'!$E43:$G43)*Inventory!$D43-((SUM('Week 1'!$E43:$G43)+'Week 2'!$C43)*Inventory!$D43-D43))</f>
        <v>0</v>
      </c>
      <c r="F43" s="201"/>
      <c r="G43" s="36">
        <f>IF(ISBLANK(Inventory!$A43),0,SUM('Week 3'!$E43:$G43)*Inventory!$D43-((SUM('Week 2'!$E43:$G43)+'Week 3'!$C43)*Inventory!$D43-F43))</f>
        <v>0</v>
      </c>
      <c r="H43" s="201"/>
      <c r="I43" s="36">
        <f>IF(ISBLANK(Inventory!$A43),0,SUM('Week 4'!$E43:$G43)*Inventory!$D43-((SUM('Week 3'!$E43:$G43)+'Week 4'!$C43)*Inventory!$D43-H43))</f>
        <v>0</v>
      </c>
      <c r="J43" s="201"/>
      <c r="K43" s="36">
        <f>IF(ISBLANK(Inventory!$A43),0,SUM('Week 5'!$E43:$G43)*Inventory!$D43-((SUM('Week 4'!$E43:$G43)+'Week 5'!$C43)*Inventory!$D43-J43))</f>
        <v>0</v>
      </c>
      <c r="L43" s="36">
        <f>IF(ISBLANK(Inventory!A43),0,SUM(B43,D43,F43,H43,J43))</f>
        <v>0</v>
      </c>
      <c r="M43" s="36">
        <f>IF(ISBLANK(Inventory!A43),0,SUM(C43,E43,G43,I43,K43))</f>
        <v>0</v>
      </c>
      <c r="N43" s="35" t="str">
        <f>IF(OR(ISBLANK(O43),O43=0),"",Settings!$B$14)</f>
        <v/>
      </c>
      <c r="O43" s="30">
        <f>IF(ISBLANK(Inventory!A43),0,M43*Inventory!J43)</f>
        <v>0</v>
      </c>
    </row>
    <row r="44" spans="1:15" s="29" customFormat="1" ht="15" customHeight="1">
      <c r="A44" s="31" t="str">
        <f>IF(Inventory!A44&gt;0,Inventory!A44,"")</f>
        <v>Tequila</v>
      </c>
      <c r="B44" s="201"/>
      <c r="C44" s="36">
        <f>IF(ISBLANK(Inventory!$A44),0,SUM('Week 1'!$E44:$G44)*Inventory!$D44-((SUM('Stock Opening'!$C44:$E44)+'Week 1'!$C44)*Inventory!$D44-B44))</f>
        <v>0</v>
      </c>
      <c r="D44" s="201"/>
      <c r="E44" s="36">
        <f>IF(ISBLANK(Inventory!$A44),0,SUM('Week 2'!$E44:$G44)*Inventory!$D44-((SUM('Week 1'!$E44:$G44)+'Week 2'!$C44)*Inventory!$D44-D44))</f>
        <v>0</v>
      </c>
      <c r="F44" s="201"/>
      <c r="G44" s="36">
        <f>IF(ISBLANK(Inventory!$A44),0,SUM('Week 3'!$E44:$G44)*Inventory!$D44-((SUM('Week 2'!$E44:$G44)+'Week 3'!$C44)*Inventory!$D44-F44))</f>
        <v>0</v>
      </c>
      <c r="H44" s="201"/>
      <c r="I44" s="36">
        <f>IF(ISBLANK(Inventory!$A44),0,SUM('Week 4'!$E44:$G44)*Inventory!$D44-((SUM('Week 3'!$E44:$G44)+'Week 4'!$C44)*Inventory!$D44-H44))</f>
        <v>0</v>
      </c>
      <c r="J44" s="201"/>
      <c r="K44" s="36">
        <f>IF(ISBLANK(Inventory!$A44),0,SUM('Week 5'!$E44:$G44)*Inventory!$D44-((SUM('Week 4'!$E44:$G44)+'Week 5'!$C44)*Inventory!$D44-J44))</f>
        <v>0</v>
      </c>
      <c r="L44" s="36">
        <f>IF(ISBLANK(Inventory!A44),0,SUM(B44,D44,F44,H44,J44))</f>
        <v>0</v>
      </c>
      <c r="M44" s="36">
        <f>IF(ISBLANK(Inventory!A44),0,SUM(C44,E44,G44,I44,K44))</f>
        <v>0</v>
      </c>
      <c r="N44" s="35" t="str">
        <f>IF(OR(ISBLANK(O44),O44=0),"",Settings!$B$14)</f>
        <v/>
      </c>
      <c r="O44" s="30">
        <f>IF(ISBLANK(Inventory!A44),0,M44*Inventory!J44)</f>
        <v>0</v>
      </c>
    </row>
    <row r="45" spans="1:15" s="29" customFormat="1" ht="15" customHeight="1">
      <c r="A45" s="31" t="str">
        <f>IF(Inventory!A45&gt;0,Inventory!A45,"")</f>
        <v>Luxardo Sambuca</v>
      </c>
      <c r="B45" s="201"/>
      <c r="C45" s="36">
        <f>IF(ISBLANK(Inventory!$A45),0,SUM('Week 1'!$E45:$G45)*Inventory!$D45-((SUM('Stock Opening'!$C45:$E45)+'Week 1'!$C45)*Inventory!$D45-B45))</f>
        <v>0</v>
      </c>
      <c r="D45" s="201"/>
      <c r="E45" s="36">
        <f>IF(ISBLANK(Inventory!$A45),0,SUM('Week 2'!$E45:$G45)*Inventory!$D45-((SUM('Week 1'!$E45:$G45)+'Week 2'!$C45)*Inventory!$D45-D45))</f>
        <v>0</v>
      </c>
      <c r="F45" s="201"/>
      <c r="G45" s="36">
        <f>IF(ISBLANK(Inventory!$A45),0,SUM('Week 3'!$E45:$G45)*Inventory!$D45-((SUM('Week 2'!$E45:$G45)+'Week 3'!$C45)*Inventory!$D45-F45))</f>
        <v>0</v>
      </c>
      <c r="H45" s="201"/>
      <c r="I45" s="36">
        <f>IF(ISBLANK(Inventory!$A45),0,SUM('Week 4'!$E45:$G45)*Inventory!$D45-((SUM('Week 3'!$E45:$G45)+'Week 4'!$C45)*Inventory!$D45-H45))</f>
        <v>0</v>
      </c>
      <c r="J45" s="201"/>
      <c r="K45" s="36">
        <f>IF(ISBLANK(Inventory!$A45),0,SUM('Week 5'!$E45:$G45)*Inventory!$D45-((SUM('Week 4'!$E45:$G45)+'Week 5'!$C45)*Inventory!$D45-J45))</f>
        <v>0</v>
      </c>
      <c r="L45" s="36">
        <f>IF(ISBLANK(Inventory!A45),0,SUM(B45,D45,F45,H45,J45))</f>
        <v>0</v>
      </c>
      <c r="M45" s="36">
        <f>IF(ISBLANK(Inventory!A45),0,SUM(C45,E45,G45,I45,K45))</f>
        <v>0</v>
      </c>
      <c r="N45" s="35" t="str">
        <f>IF(OR(ISBLANK(O45),O45=0),"",Settings!$B$14)</f>
        <v/>
      </c>
      <c r="O45" s="30">
        <f>IF(ISBLANK(Inventory!A45),0,M45*Inventory!J45)</f>
        <v>0</v>
      </c>
    </row>
    <row r="46" spans="1:15" s="29" customFormat="1" ht="15" customHeight="1">
      <c r="A46" s="31" t="str">
        <f>IF(Inventory!A46&gt;0,Inventory!A46,"")</f>
        <v>Tia Maria</v>
      </c>
      <c r="B46" s="201"/>
      <c r="C46" s="36">
        <f>IF(ISBLANK(Inventory!$A46),0,SUM('Week 1'!$E46:$G46)*Inventory!$D46-((SUM('Stock Opening'!$C46:$E46)+'Week 1'!$C46)*Inventory!$D46-B46))</f>
        <v>0</v>
      </c>
      <c r="D46" s="201"/>
      <c r="E46" s="36">
        <f>IF(ISBLANK(Inventory!$A46),0,SUM('Week 2'!$E46:$G46)*Inventory!$D46-((SUM('Week 1'!$E46:$G46)+'Week 2'!$C46)*Inventory!$D46-D46))</f>
        <v>0</v>
      </c>
      <c r="F46" s="201"/>
      <c r="G46" s="36">
        <f>IF(ISBLANK(Inventory!$A46),0,SUM('Week 3'!$E46:$G46)*Inventory!$D46-((SUM('Week 2'!$E46:$G46)+'Week 3'!$C46)*Inventory!$D46-F46))</f>
        <v>0</v>
      </c>
      <c r="H46" s="201"/>
      <c r="I46" s="36">
        <f>IF(ISBLANK(Inventory!$A46),0,SUM('Week 4'!$E46:$G46)*Inventory!$D46-((SUM('Week 3'!$E46:$G46)+'Week 4'!$C46)*Inventory!$D46-H46))</f>
        <v>0</v>
      </c>
      <c r="J46" s="201"/>
      <c r="K46" s="36">
        <f>IF(ISBLANK(Inventory!$A46),0,SUM('Week 5'!$E46:$G46)*Inventory!$D46-((SUM('Week 4'!$E46:$G46)+'Week 5'!$C46)*Inventory!$D46-J46))</f>
        <v>0</v>
      </c>
      <c r="L46" s="36">
        <f>IF(ISBLANK(Inventory!A46),0,SUM(B46,D46,F46,H46,J46))</f>
        <v>0</v>
      </c>
      <c r="M46" s="36">
        <f>IF(ISBLANK(Inventory!A46),0,SUM(C46,E46,G46,I46,K46))</f>
        <v>0</v>
      </c>
      <c r="N46" s="35" t="str">
        <f>IF(OR(ISBLANK(O46),O46=0),"",Settings!$B$14)</f>
        <v/>
      </c>
      <c r="O46" s="30">
        <f>IF(ISBLANK(Inventory!A46),0,M46*Inventory!J46)</f>
        <v>0</v>
      </c>
    </row>
    <row r="47" spans="1:15" s="29" customFormat="1" ht="15" customHeight="1">
      <c r="A47" s="31" t="str">
        <f>IF(Inventory!A47&gt;0,Inventory!A47,"")</f>
        <v>Tia Maria</v>
      </c>
      <c r="B47" s="201"/>
      <c r="C47" s="36">
        <f>IF(ISBLANK(Inventory!$A47),0,SUM('Week 1'!$E47:$G47)*Inventory!$D47-((SUM('Stock Opening'!$C47:$E47)+'Week 1'!$C47)*Inventory!$D47-B47))</f>
        <v>0</v>
      </c>
      <c r="D47" s="201"/>
      <c r="E47" s="36">
        <f>IF(ISBLANK(Inventory!$A47),0,SUM('Week 2'!$E47:$G47)*Inventory!$D47-((SUM('Week 1'!$E47:$G47)+'Week 2'!$C47)*Inventory!$D47-D47))</f>
        <v>0</v>
      </c>
      <c r="F47" s="201"/>
      <c r="G47" s="36">
        <f>IF(ISBLANK(Inventory!$A47),0,SUM('Week 3'!$E47:$G47)*Inventory!$D47-((SUM('Week 2'!$E47:$G47)+'Week 3'!$C47)*Inventory!$D47-F47))</f>
        <v>0</v>
      </c>
      <c r="H47" s="201"/>
      <c r="I47" s="36">
        <f>IF(ISBLANK(Inventory!$A47),0,SUM('Week 4'!$E47:$G47)*Inventory!$D47-((SUM('Week 3'!$E47:$G47)+'Week 4'!$C47)*Inventory!$D47-H47))</f>
        <v>0</v>
      </c>
      <c r="J47" s="201"/>
      <c r="K47" s="36">
        <f>IF(ISBLANK(Inventory!$A47),0,SUM('Week 5'!$E47:$G47)*Inventory!$D47-((SUM('Week 4'!$E47:$G47)+'Week 5'!$C47)*Inventory!$D47-J47))</f>
        <v>0</v>
      </c>
      <c r="L47" s="36">
        <f>IF(ISBLANK(Inventory!A47),0,SUM(B47,D47,F47,H47,J47))</f>
        <v>0</v>
      </c>
      <c r="M47" s="36">
        <f>IF(ISBLANK(Inventory!A47),0,SUM(C47,E47,G47,I47,K47))</f>
        <v>0</v>
      </c>
      <c r="N47" s="35" t="str">
        <f>IF(OR(ISBLANK(O47),O47=0),"",Settings!$B$14)</f>
        <v/>
      </c>
      <c r="O47" s="30">
        <f>IF(ISBLANK(Inventory!A47),0,M47*Inventory!J47)</f>
        <v>0</v>
      </c>
    </row>
    <row r="48" spans="1:15" s="29" customFormat="1" ht="15" customHeight="1">
      <c r="A48" s="31" t="str">
        <f>IF(Inventory!A48&gt;0,Inventory!A48,"")</f>
        <v/>
      </c>
      <c r="B48" s="201"/>
      <c r="C48" s="36">
        <f>IF(ISBLANK(Inventory!$A48),0,SUM('Week 1'!$E48:$G48)*Inventory!$D48-((SUM('Stock Opening'!$C48:$E48)+'Week 1'!$C48)*Inventory!$D48-B48))</f>
        <v>0</v>
      </c>
      <c r="D48" s="201"/>
      <c r="E48" s="36">
        <f>IF(ISBLANK(Inventory!$A48),0,SUM('Week 2'!$E48:$G48)*Inventory!$D48-((SUM('Week 1'!$E48:$G48)+'Week 2'!$C48)*Inventory!$D48-D48))</f>
        <v>0</v>
      </c>
      <c r="F48" s="201"/>
      <c r="G48" s="36">
        <f>IF(ISBLANK(Inventory!$A48),0,SUM('Week 3'!$E48:$G48)*Inventory!$D48-((SUM('Week 2'!$E48:$G48)+'Week 3'!$C48)*Inventory!$D48-F48))</f>
        <v>0</v>
      </c>
      <c r="H48" s="201"/>
      <c r="I48" s="36">
        <f>IF(ISBLANK(Inventory!$A48),0,SUM('Week 4'!$E48:$G48)*Inventory!$D48-((SUM('Week 3'!$E48:$G48)+'Week 4'!$C48)*Inventory!$D48-H48))</f>
        <v>0</v>
      </c>
      <c r="J48" s="201"/>
      <c r="K48" s="36">
        <f>IF(ISBLANK(Inventory!$A48),0,SUM('Week 5'!$E48:$G48)*Inventory!$D48-((SUM('Week 4'!$E48:$G48)+'Week 5'!$C48)*Inventory!$D48-J48))</f>
        <v>0</v>
      </c>
      <c r="L48" s="36">
        <f>IF(ISBLANK(Inventory!A48),0,SUM(B48,D48,F48,H48,J48))</f>
        <v>0</v>
      </c>
      <c r="M48" s="36">
        <f>IF(ISBLANK(Inventory!A48),0,SUM(C48,E48,G48,I48,K48))</f>
        <v>0</v>
      </c>
      <c r="N48" s="35" t="str">
        <f>IF(OR(ISBLANK(O48),O48=0),"",Settings!$B$14)</f>
        <v/>
      </c>
      <c r="O48" s="30">
        <f>IF(ISBLANK(Inventory!A48),0,M48*Inventory!J48)</f>
        <v>0</v>
      </c>
    </row>
    <row r="49" spans="1:15" s="29" customFormat="1" ht="15" customHeight="1">
      <c r="A49" s="31" t="str">
        <f>IF(Inventory!A49&gt;0,Inventory!A49,"")</f>
        <v/>
      </c>
      <c r="B49" s="201"/>
      <c r="C49" s="36">
        <f>IF(ISBLANK(Inventory!$A49),0,SUM('Week 1'!$E49:$G49)*Inventory!$D49-((SUM('Stock Opening'!$C49:$E49)+'Week 1'!$C49)*Inventory!$D49-B49))</f>
        <v>0</v>
      </c>
      <c r="D49" s="201"/>
      <c r="E49" s="36">
        <f>IF(ISBLANK(Inventory!$A49),0,SUM('Week 2'!$E49:$G49)*Inventory!$D49-((SUM('Week 1'!$E49:$G49)+'Week 2'!$C49)*Inventory!$D49-D49))</f>
        <v>0</v>
      </c>
      <c r="F49" s="201"/>
      <c r="G49" s="36">
        <f>IF(ISBLANK(Inventory!$A49),0,SUM('Week 3'!$E49:$G49)*Inventory!$D49-((SUM('Week 2'!$E49:$G49)+'Week 3'!$C49)*Inventory!$D49-F49))</f>
        <v>0</v>
      </c>
      <c r="H49" s="201"/>
      <c r="I49" s="36">
        <f>IF(ISBLANK(Inventory!$A49),0,SUM('Week 4'!$E49:$G49)*Inventory!$D49-((SUM('Week 3'!$E49:$G49)+'Week 4'!$C49)*Inventory!$D49-H49))</f>
        <v>0</v>
      </c>
      <c r="J49" s="201"/>
      <c r="K49" s="36">
        <f>IF(ISBLANK(Inventory!$A49),0,SUM('Week 5'!$E49:$G49)*Inventory!$D49-((SUM('Week 4'!$E49:$G49)+'Week 5'!$C49)*Inventory!$D49-J49))</f>
        <v>0</v>
      </c>
      <c r="L49" s="36">
        <f>IF(ISBLANK(Inventory!A49),0,SUM(B49,D49,F49,H49,J49))</f>
        <v>0</v>
      </c>
      <c r="M49" s="36">
        <f>IF(ISBLANK(Inventory!A49),0,SUM(C49,E49,G49,I49,K49))</f>
        <v>0</v>
      </c>
      <c r="N49" s="35" t="str">
        <f>IF(OR(ISBLANK(O49),O49=0),"",Settings!$B$14)</f>
        <v/>
      </c>
      <c r="O49" s="30">
        <f>IF(ISBLANK(Inventory!A49),0,M49*Inventory!J49)</f>
        <v>0</v>
      </c>
    </row>
    <row r="50" spans="1:15" s="29" customFormat="1" ht="15" customHeight="1">
      <c r="A50" s="31" t="str">
        <f>IF(Inventory!A50&gt;0,Inventory!A50,"")</f>
        <v/>
      </c>
      <c r="B50" s="201"/>
      <c r="C50" s="36">
        <f>IF(ISBLANK(Inventory!$A50),0,SUM('Week 1'!$E50:$G50)*Inventory!$D50-((SUM('Stock Opening'!$C50:$E50)+'Week 1'!$C50)*Inventory!$D50-B50))</f>
        <v>0</v>
      </c>
      <c r="D50" s="201"/>
      <c r="E50" s="36">
        <f>IF(ISBLANK(Inventory!$A50),0,SUM('Week 2'!$E50:$G50)*Inventory!$D50-((SUM('Week 1'!$E50:$G50)+'Week 2'!$C50)*Inventory!$D50-D50))</f>
        <v>0</v>
      </c>
      <c r="F50" s="201"/>
      <c r="G50" s="36">
        <f>IF(ISBLANK(Inventory!$A50),0,SUM('Week 3'!$E50:$G50)*Inventory!$D50-((SUM('Week 2'!$E50:$G50)+'Week 3'!$C50)*Inventory!$D50-F50))</f>
        <v>0</v>
      </c>
      <c r="H50" s="201"/>
      <c r="I50" s="36">
        <f>IF(ISBLANK(Inventory!$A50),0,SUM('Week 4'!$E50:$G50)*Inventory!$D50-((SUM('Week 3'!$E50:$G50)+'Week 4'!$C50)*Inventory!$D50-H50))</f>
        <v>0</v>
      </c>
      <c r="J50" s="201"/>
      <c r="K50" s="36">
        <f>IF(ISBLANK(Inventory!$A50),0,SUM('Week 5'!$E50:$G50)*Inventory!$D50-((SUM('Week 4'!$E50:$G50)+'Week 5'!$C50)*Inventory!$D50-J50))</f>
        <v>0</v>
      </c>
      <c r="L50" s="36">
        <f>IF(ISBLANK(Inventory!A50),0,SUM(B50,D50,F50,H50,J50))</f>
        <v>0</v>
      </c>
      <c r="M50" s="36">
        <f>IF(ISBLANK(Inventory!A50),0,SUM(C50,E50,G50,I50,K50))</f>
        <v>0</v>
      </c>
      <c r="N50" s="35" t="str">
        <f>IF(OR(ISBLANK(O50),O50=0),"",Settings!$B$14)</f>
        <v/>
      </c>
      <c r="O50" s="30">
        <f>IF(ISBLANK(Inventory!A50),0,M50*Inventory!J50)</f>
        <v>0</v>
      </c>
    </row>
    <row r="51" spans="1:15" s="29" customFormat="1" ht="15" customHeight="1">
      <c r="A51" s="31" t="str">
        <f>IF(Inventory!A51&gt;0,Inventory!A51,"")</f>
        <v/>
      </c>
      <c r="B51" s="201"/>
      <c r="C51" s="36">
        <f>IF(ISBLANK(Inventory!$A51),0,SUM('Week 1'!$E51:$G51)*Inventory!$D51-((SUM('Stock Opening'!$C51:$E51)+'Week 1'!$C51)*Inventory!$D51-B51))</f>
        <v>0</v>
      </c>
      <c r="D51" s="201"/>
      <c r="E51" s="36">
        <f>IF(ISBLANK(Inventory!$A51),0,SUM('Week 2'!$E51:$G51)*Inventory!$D51-((SUM('Week 1'!$E51:$G51)+'Week 2'!$C51)*Inventory!$D51-D51))</f>
        <v>0</v>
      </c>
      <c r="F51" s="201"/>
      <c r="G51" s="36">
        <f>IF(ISBLANK(Inventory!$A51),0,SUM('Week 3'!$E51:$G51)*Inventory!$D51-((SUM('Week 2'!$E51:$G51)+'Week 3'!$C51)*Inventory!$D51-F51))</f>
        <v>0</v>
      </c>
      <c r="H51" s="201"/>
      <c r="I51" s="36">
        <f>IF(ISBLANK(Inventory!$A51),0,SUM('Week 4'!$E51:$G51)*Inventory!$D51-((SUM('Week 3'!$E51:$G51)+'Week 4'!$C51)*Inventory!$D51-H51))</f>
        <v>0</v>
      </c>
      <c r="J51" s="201"/>
      <c r="K51" s="36">
        <f>IF(ISBLANK(Inventory!$A51),0,SUM('Week 5'!$E51:$G51)*Inventory!$D51-((SUM('Week 4'!$E51:$G51)+'Week 5'!$C51)*Inventory!$D51-J51))</f>
        <v>0</v>
      </c>
      <c r="L51" s="36">
        <f>IF(ISBLANK(Inventory!A51),0,SUM(B51,D51,F51,H51,J51))</f>
        <v>0</v>
      </c>
      <c r="M51" s="36">
        <f>IF(ISBLANK(Inventory!A51),0,SUM(C51,E51,G51,I51,K51))</f>
        <v>0</v>
      </c>
      <c r="N51" s="35" t="str">
        <f>IF(OR(ISBLANK(O51),O51=0),"",Settings!$B$14)</f>
        <v/>
      </c>
      <c r="O51" s="30">
        <f>IF(ISBLANK(Inventory!A51),0,M51*Inventory!J51)</f>
        <v>0</v>
      </c>
    </row>
    <row r="52" spans="1:15" s="29" customFormat="1" ht="15" customHeight="1">
      <c r="A52" s="31" t="str">
        <f>IF(Inventory!A52&gt;0,Inventory!A52,"")</f>
        <v/>
      </c>
      <c r="B52" s="201"/>
      <c r="C52" s="36">
        <f>IF(ISBLANK(Inventory!$A52),0,SUM('Week 1'!$E52:$G52)*Inventory!$D52-((SUM('Stock Opening'!$C52:$E52)+'Week 1'!$C52)*Inventory!$D52-B52))</f>
        <v>0</v>
      </c>
      <c r="D52" s="201"/>
      <c r="E52" s="36">
        <f>IF(ISBLANK(Inventory!$A52),0,SUM('Week 2'!$E52:$G52)*Inventory!$D52-((SUM('Week 1'!$E52:$G52)+'Week 2'!$C52)*Inventory!$D52-D52))</f>
        <v>0</v>
      </c>
      <c r="F52" s="201"/>
      <c r="G52" s="36">
        <f>IF(ISBLANK(Inventory!$A52),0,SUM('Week 3'!$E52:$G52)*Inventory!$D52-((SUM('Week 2'!$E52:$G52)+'Week 3'!$C52)*Inventory!$D52-F52))</f>
        <v>0</v>
      </c>
      <c r="H52" s="201"/>
      <c r="I52" s="36">
        <f>IF(ISBLANK(Inventory!$A52),0,SUM('Week 4'!$E52:$G52)*Inventory!$D52-((SUM('Week 3'!$E52:$G52)+'Week 4'!$C52)*Inventory!$D52-H52))</f>
        <v>0</v>
      </c>
      <c r="J52" s="201"/>
      <c r="K52" s="36">
        <f>IF(ISBLANK(Inventory!$A52),0,SUM('Week 5'!$E52:$G52)*Inventory!$D52-((SUM('Week 4'!$E52:$G52)+'Week 5'!$C52)*Inventory!$D52-J52))</f>
        <v>0</v>
      </c>
      <c r="L52" s="36">
        <f>IF(ISBLANK(Inventory!A52),0,SUM(B52,D52,F52,H52,J52))</f>
        <v>0</v>
      </c>
      <c r="M52" s="36">
        <f>IF(ISBLANK(Inventory!A52),0,SUM(C52,E52,G52,I52,K52))</f>
        <v>0</v>
      </c>
      <c r="N52" s="35" t="str">
        <f>IF(OR(ISBLANK(O52),O52=0),"",Settings!$B$14)</f>
        <v/>
      </c>
      <c r="O52" s="30">
        <f>IF(ISBLANK(Inventory!A52),0,M52*Inventory!J52)</f>
        <v>0</v>
      </c>
    </row>
    <row r="53" spans="1:15" s="29" customFormat="1" ht="15" customHeight="1">
      <c r="A53" s="31" t="str">
        <f>IF(Inventory!A53&gt;0,Inventory!A53,"")</f>
        <v/>
      </c>
      <c r="B53" s="201"/>
      <c r="C53" s="36">
        <f>IF(ISBLANK(Inventory!$A53),0,SUM('Week 1'!$E53:$G53)*Inventory!$D53-((SUM('Stock Opening'!$C53:$E53)+'Week 1'!$C53)*Inventory!$D53-B53))</f>
        <v>0</v>
      </c>
      <c r="D53" s="201"/>
      <c r="E53" s="36">
        <f>IF(ISBLANK(Inventory!$A53),0,SUM('Week 2'!$E53:$G53)*Inventory!$D53-((SUM('Week 1'!$E53:$G53)+'Week 2'!$C53)*Inventory!$D53-D53))</f>
        <v>0</v>
      </c>
      <c r="F53" s="201"/>
      <c r="G53" s="36">
        <f>IF(ISBLANK(Inventory!$A53),0,SUM('Week 3'!$E53:$G53)*Inventory!$D53-((SUM('Week 2'!$E53:$G53)+'Week 3'!$C53)*Inventory!$D53-F53))</f>
        <v>0</v>
      </c>
      <c r="H53" s="201"/>
      <c r="I53" s="36">
        <f>IF(ISBLANK(Inventory!$A53),0,SUM('Week 4'!$E53:$G53)*Inventory!$D53-((SUM('Week 3'!$E53:$G53)+'Week 4'!$C53)*Inventory!$D53-H53))</f>
        <v>0</v>
      </c>
      <c r="J53" s="201"/>
      <c r="K53" s="36">
        <f>IF(ISBLANK(Inventory!$A53),0,SUM('Week 5'!$E53:$G53)*Inventory!$D53-((SUM('Week 4'!$E53:$G53)+'Week 5'!$C53)*Inventory!$D53-J53))</f>
        <v>0</v>
      </c>
      <c r="L53" s="36">
        <f>IF(ISBLANK(Inventory!A53),0,SUM(B53,D53,F53,H53,J53))</f>
        <v>0</v>
      </c>
      <c r="M53" s="36">
        <f>IF(ISBLANK(Inventory!A53),0,SUM(C53,E53,G53,I53,K53))</f>
        <v>0</v>
      </c>
      <c r="N53" s="35" t="str">
        <f>IF(OR(ISBLANK(O53),O53=0),"",Settings!$B$14)</f>
        <v/>
      </c>
      <c r="O53" s="30">
        <f>IF(ISBLANK(Inventory!A53),0,M53*Inventory!J53)</f>
        <v>0</v>
      </c>
    </row>
    <row r="54" spans="1:15" s="29" customFormat="1" ht="15" customHeight="1">
      <c r="A54" s="31" t="str">
        <f>IF(Inventory!A54&gt;0,Inventory!A54,"")</f>
        <v/>
      </c>
      <c r="B54" s="201"/>
      <c r="C54" s="36">
        <f>IF(ISBLANK(Inventory!$A54),0,SUM('Week 1'!$E54:$G54)*Inventory!$D54-((SUM('Stock Opening'!$C54:$E54)+'Week 1'!$C54)*Inventory!$D54-B54))</f>
        <v>0</v>
      </c>
      <c r="D54" s="201"/>
      <c r="E54" s="36">
        <f>IF(ISBLANK(Inventory!$A54),0,SUM('Week 2'!$E54:$G54)*Inventory!$D54-((SUM('Week 1'!$E54:$G54)+'Week 2'!$C54)*Inventory!$D54-D54))</f>
        <v>0</v>
      </c>
      <c r="F54" s="201"/>
      <c r="G54" s="36">
        <f>IF(ISBLANK(Inventory!$A54),0,SUM('Week 3'!$E54:$G54)*Inventory!$D54-((SUM('Week 2'!$E54:$G54)+'Week 3'!$C54)*Inventory!$D54-F54))</f>
        <v>0</v>
      </c>
      <c r="H54" s="201"/>
      <c r="I54" s="36">
        <f>IF(ISBLANK(Inventory!$A54),0,SUM('Week 4'!$E54:$G54)*Inventory!$D54-((SUM('Week 3'!$E54:$G54)+'Week 4'!$C54)*Inventory!$D54-H54))</f>
        <v>0</v>
      </c>
      <c r="J54" s="201"/>
      <c r="K54" s="36">
        <f>IF(ISBLANK(Inventory!$A54),0,SUM('Week 5'!$E54:$G54)*Inventory!$D54-((SUM('Week 4'!$E54:$G54)+'Week 5'!$C54)*Inventory!$D54-J54))</f>
        <v>0</v>
      </c>
      <c r="L54" s="36">
        <f>IF(ISBLANK(Inventory!A54),0,SUM(B54,D54,F54,H54,J54))</f>
        <v>0</v>
      </c>
      <c r="M54" s="36">
        <f>IF(ISBLANK(Inventory!A54),0,SUM(C54,E54,G54,I54,K54))</f>
        <v>0</v>
      </c>
      <c r="N54" s="35" t="str">
        <f>IF(OR(ISBLANK(O54),O54=0),"",Settings!$B$14)</f>
        <v/>
      </c>
      <c r="O54" s="30">
        <f>IF(ISBLANK(Inventory!A54),0,M54*Inventory!J54)</f>
        <v>0</v>
      </c>
    </row>
    <row r="55" spans="1:15" s="29" customFormat="1" ht="15" customHeight="1">
      <c r="A55" s="31" t="str">
        <f>IF(Inventory!A55&gt;0,Inventory!A55,"")</f>
        <v/>
      </c>
      <c r="B55" s="201"/>
      <c r="C55" s="36">
        <f>IF(ISBLANK(Inventory!$A55),0,SUM('Week 1'!$E55:$G55)*Inventory!$D55-((SUM('Stock Opening'!$C55:$E55)+'Week 1'!$C55)*Inventory!$D55-B55))</f>
        <v>0</v>
      </c>
      <c r="D55" s="201"/>
      <c r="E55" s="36">
        <f>IF(ISBLANK(Inventory!$A55),0,SUM('Week 2'!$E55:$G55)*Inventory!$D55-((SUM('Week 1'!$E55:$G55)+'Week 2'!$C55)*Inventory!$D55-D55))</f>
        <v>0</v>
      </c>
      <c r="F55" s="201"/>
      <c r="G55" s="36">
        <f>IF(ISBLANK(Inventory!$A55),0,SUM('Week 3'!$E55:$G55)*Inventory!$D55-((SUM('Week 2'!$E55:$G55)+'Week 3'!$C55)*Inventory!$D55-F55))</f>
        <v>0</v>
      </c>
      <c r="H55" s="201"/>
      <c r="I55" s="36">
        <f>IF(ISBLANK(Inventory!$A55),0,SUM('Week 4'!$E55:$G55)*Inventory!$D55-((SUM('Week 3'!$E55:$G55)+'Week 4'!$C55)*Inventory!$D55-H55))</f>
        <v>0</v>
      </c>
      <c r="J55" s="201"/>
      <c r="K55" s="36">
        <f>IF(ISBLANK(Inventory!$A55),0,SUM('Week 5'!$E55:$G55)*Inventory!$D55-((SUM('Week 4'!$E55:$G55)+'Week 5'!$C55)*Inventory!$D55-J55))</f>
        <v>0</v>
      </c>
      <c r="L55" s="36">
        <f>IF(ISBLANK(Inventory!A55),0,SUM(B55,D55,F55,H55,J55))</f>
        <v>0</v>
      </c>
      <c r="M55" s="36">
        <f>IF(ISBLANK(Inventory!A55),0,SUM(C55,E55,G55,I55,K55))</f>
        <v>0</v>
      </c>
      <c r="N55" s="35" t="str">
        <f>IF(OR(ISBLANK(O55),O55=0),"",Settings!$B$14)</f>
        <v/>
      </c>
      <c r="O55" s="30">
        <f>IF(ISBLANK(Inventory!A55),0,M55*Inventory!J55)</f>
        <v>0</v>
      </c>
    </row>
    <row r="56" spans="1:15" ht="6.95" customHeight="1">
      <c r="A56" s="24"/>
      <c r="B56" s="69"/>
      <c r="C56" s="69"/>
      <c r="D56" s="69"/>
      <c r="E56" s="69"/>
      <c r="F56" s="69"/>
      <c r="G56" s="69"/>
      <c r="H56" s="69"/>
      <c r="I56" s="69"/>
      <c r="J56" s="69"/>
      <c r="K56" s="69"/>
      <c r="L56" s="69"/>
      <c r="M56" s="69"/>
      <c r="N56" s="69"/>
      <c r="O56" s="70"/>
    </row>
    <row r="57" spans="1:15" s="50" customFormat="1" ht="18" customHeight="1" thickBot="1">
      <c r="A57" s="78" t="str">
        <f>Inventory!A57</f>
        <v>FORTIFIED WINES</v>
      </c>
      <c r="B57" s="253" t="s">
        <v>125</v>
      </c>
      <c r="C57" s="253"/>
      <c r="D57" s="253" t="s">
        <v>125</v>
      </c>
      <c r="E57" s="253"/>
      <c r="F57" s="253" t="s">
        <v>125</v>
      </c>
      <c r="G57" s="253"/>
      <c r="H57" s="253" t="s">
        <v>125</v>
      </c>
      <c r="I57" s="253"/>
      <c r="J57" s="253" t="s">
        <v>125</v>
      </c>
      <c r="K57" s="253"/>
      <c r="L57" s="253" t="s">
        <v>125</v>
      </c>
      <c r="M57" s="253"/>
      <c r="N57" s="81"/>
      <c r="O57" s="82"/>
    </row>
    <row r="58" spans="1:15" ht="6.95" customHeight="1" thickTop="1">
      <c r="A58" s="76"/>
      <c r="B58" s="71"/>
      <c r="C58" s="71"/>
      <c r="D58" s="71"/>
      <c r="E58" s="71"/>
      <c r="F58" s="71"/>
      <c r="G58" s="71"/>
      <c r="H58" s="71"/>
      <c r="I58" s="71"/>
      <c r="J58" s="71"/>
      <c r="K58" s="71"/>
      <c r="L58" s="71"/>
      <c r="M58" s="71"/>
      <c r="N58" s="71"/>
      <c r="O58" s="68"/>
    </row>
    <row r="59" spans="1:15" s="29" customFormat="1" ht="15" customHeight="1">
      <c r="A59" s="31" t="str">
        <f>IF(Inventory!A59&gt;0,Inventory!A59,"")</f>
        <v>Cinzano Bianco</v>
      </c>
      <c r="B59" s="201"/>
      <c r="C59" s="36">
        <f>IF(ISBLANK(Inventory!$A59),0,SUM('Week 1'!$E59:$G59)*Inventory!$D59-((SUM('Stock Opening'!$C59:$E59)+'Week 1'!$C59)*Inventory!$D59-B59))</f>
        <v>-3</v>
      </c>
      <c r="D59" s="201"/>
      <c r="E59" s="36">
        <f>IF(ISBLANK(Inventory!$A59),0,SUM('Week 2'!$E59:$G59)*Inventory!$D59-((SUM('Week 1'!$E59:$G59)+'Week 2'!$C59)*Inventory!$D59-D59))</f>
        <v>0</v>
      </c>
      <c r="F59" s="201"/>
      <c r="G59" s="36">
        <f>IF(ISBLANK(Inventory!$A59),0,SUM('Week 3'!$E59:$G59)*Inventory!$D59-((SUM('Week 2'!$E59:$G59)+'Week 3'!$C59)*Inventory!$D59-F59))</f>
        <v>-15</v>
      </c>
      <c r="H59" s="201"/>
      <c r="I59" s="36">
        <f>IF(ISBLANK(Inventory!$A59),0,SUM('Week 4'!$E59:$G59)*Inventory!$D59-((SUM('Week 3'!$E59:$G59)+'Week 4'!$C59)*Inventory!$D59-H59))</f>
        <v>-4.5</v>
      </c>
      <c r="J59" s="201"/>
      <c r="K59" s="36">
        <f>IF(ISBLANK(Inventory!$A59),0,SUM('Week 5'!$E59:$G59)*Inventory!$D59-((SUM('Week 4'!$E59:$G59)+'Week 5'!$C59)*Inventory!$D59-J59))</f>
        <v>-3</v>
      </c>
      <c r="L59" s="36">
        <f>IF(ISBLANK(Inventory!A59),0,SUM(B59,D59,F59,H59,J59))</f>
        <v>0</v>
      </c>
      <c r="M59" s="36">
        <f>IF(ISBLANK(Inventory!A59),0,SUM(C59,E59,G59,I59,K59))</f>
        <v>-25.5</v>
      </c>
      <c r="N59" s="35" t="str">
        <f>IF(OR(ISBLANK(O59),O59=0),"",Settings!$B$14)</f>
        <v>$</v>
      </c>
      <c r="O59" s="30">
        <f>IF(ISBLANK(Inventory!A59),0,M59*Inventory!J59)</f>
        <v>-48.195</v>
      </c>
    </row>
    <row r="60" spans="1:15" s="29" customFormat="1" ht="15" customHeight="1">
      <c r="A60" s="31" t="str">
        <f>IF(Inventory!A60&gt;0,Inventory!A60,"")</f>
        <v>Martini Dry</v>
      </c>
      <c r="B60" s="201"/>
      <c r="C60" s="36">
        <f>IF(ISBLANK(Inventory!$A60),0,SUM('Week 1'!$E60:$G60)*Inventory!$D60-((SUM('Stock Opening'!$C60:$E60)+'Week 1'!$C60)*Inventory!$D60-B60))</f>
        <v>0</v>
      </c>
      <c r="D60" s="201"/>
      <c r="E60" s="36">
        <f>IF(ISBLANK(Inventory!$A60),0,SUM('Week 2'!$E60:$G60)*Inventory!$D60-((SUM('Week 1'!$E60:$G60)+'Week 2'!$C60)*Inventory!$D60-D60))</f>
        <v>0</v>
      </c>
      <c r="F60" s="201"/>
      <c r="G60" s="36">
        <f>IF(ISBLANK(Inventory!$A60),0,SUM('Week 3'!$E60:$G60)*Inventory!$D60-((SUM('Week 2'!$E60:$G60)+'Week 3'!$C60)*Inventory!$D60-F60))</f>
        <v>0</v>
      </c>
      <c r="H60" s="201"/>
      <c r="I60" s="36">
        <f>IF(ISBLANK(Inventory!$A60),0,SUM('Week 4'!$E60:$G60)*Inventory!$D60-((SUM('Week 3'!$E60:$G60)+'Week 4'!$C60)*Inventory!$D60-H60))</f>
        <v>0</v>
      </c>
      <c r="J60" s="201"/>
      <c r="K60" s="36">
        <f>IF(ISBLANK(Inventory!$A60),0,SUM('Week 5'!$E60:$G60)*Inventory!$D60-((SUM('Week 4'!$E60:$G60)+'Week 5'!$C60)*Inventory!$D60-J60))</f>
        <v>0</v>
      </c>
      <c r="L60" s="36">
        <f>IF(ISBLANK(Inventory!A60),0,SUM(B60,D60,F60,H60,J60))</f>
        <v>0</v>
      </c>
      <c r="M60" s="36">
        <f>IF(ISBLANK(Inventory!A60),0,SUM(C60,E60,G60,I60,K60))</f>
        <v>0</v>
      </c>
      <c r="N60" s="35" t="str">
        <f>IF(OR(ISBLANK(O60),O60=0),"",Settings!$B$14)</f>
        <v/>
      </c>
      <c r="O60" s="30">
        <f>IF(ISBLANK(Inventory!A60),0,M60*Inventory!J60)</f>
        <v>0</v>
      </c>
    </row>
    <row r="61" spans="1:15" s="29" customFormat="1" ht="15" customHeight="1">
      <c r="A61" s="31" t="str">
        <f>IF(Inventory!A61&gt;0,Inventory!A61,"")</f>
        <v>Martini Rosso</v>
      </c>
      <c r="B61" s="201"/>
      <c r="C61" s="36">
        <f>IF(ISBLANK(Inventory!$A61),0,SUM('Week 1'!$E61:$G61)*Inventory!$D61-((SUM('Stock Opening'!$C61:$E61)+'Week 1'!$C61)*Inventory!$D61-B61))</f>
        <v>0</v>
      </c>
      <c r="D61" s="201"/>
      <c r="E61" s="36">
        <f>IF(ISBLANK(Inventory!$A61),0,SUM('Week 2'!$E61:$G61)*Inventory!$D61-((SUM('Week 1'!$E61:$G61)+'Week 2'!$C61)*Inventory!$D61-D61))</f>
        <v>0</v>
      </c>
      <c r="F61" s="201"/>
      <c r="G61" s="36">
        <f>IF(ISBLANK(Inventory!$A61),0,SUM('Week 3'!$E61:$G61)*Inventory!$D61-((SUM('Week 2'!$E61:$G61)+'Week 3'!$C61)*Inventory!$D61-F61))</f>
        <v>0</v>
      </c>
      <c r="H61" s="201"/>
      <c r="I61" s="36">
        <f>IF(ISBLANK(Inventory!$A61),0,SUM('Week 4'!$E61:$G61)*Inventory!$D61-((SUM('Week 3'!$E61:$G61)+'Week 4'!$C61)*Inventory!$D61-H61))</f>
        <v>0</v>
      </c>
      <c r="J61" s="201"/>
      <c r="K61" s="36">
        <f>IF(ISBLANK(Inventory!$A61),0,SUM('Week 5'!$E61:$G61)*Inventory!$D61-((SUM('Week 4'!$E61:$G61)+'Week 5'!$C61)*Inventory!$D61-J61))</f>
        <v>0</v>
      </c>
      <c r="L61" s="36">
        <f>IF(ISBLANK(Inventory!A61),0,SUM(B61,D61,F61,H61,J61))</f>
        <v>0</v>
      </c>
      <c r="M61" s="36">
        <f>IF(ISBLANK(Inventory!A61),0,SUM(C61,E61,G61,I61,K61))</f>
        <v>0</v>
      </c>
      <c r="N61" s="35" t="str">
        <f>IF(OR(ISBLANK(O61),O61=0),"",Settings!$B$14)</f>
        <v/>
      </c>
      <c r="O61" s="30">
        <f>IF(ISBLANK(Inventory!A61),0,M61*Inventory!J61)</f>
        <v>0</v>
      </c>
    </row>
    <row r="62" spans="1:15" s="29" customFormat="1" ht="15" customHeight="1">
      <c r="A62" s="31" t="str">
        <f>IF(Inventory!A62&gt;0,Inventory!A62,"")</f>
        <v>Campari</v>
      </c>
      <c r="B62" s="201"/>
      <c r="C62" s="36">
        <f>IF(ISBLANK(Inventory!$A62),0,SUM('Week 1'!$E62:$G62)*Inventory!$D62-((SUM('Stock Opening'!$C62:$E62)+'Week 1'!$C62)*Inventory!$D62-B62))</f>
        <v>0</v>
      </c>
      <c r="D62" s="201"/>
      <c r="E62" s="36">
        <f>IF(ISBLANK(Inventory!$A62),0,SUM('Week 2'!$E62:$G62)*Inventory!$D62-((SUM('Week 1'!$E62:$G62)+'Week 2'!$C62)*Inventory!$D62-D62))</f>
        <v>0</v>
      </c>
      <c r="F62" s="201"/>
      <c r="G62" s="36">
        <f>IF(ISBLANK(Inventory!$A62),0,SUM('Week 3'!$E62:$G62)*Inventory!$D62-((SUM('Week 2'!$E62:$G62)+'Week 3'!$C62)*Inventory!$D62-F62))</f>
        <v>0</v>
      </c>
      <c r="H62" s="201"/>
      <c r="I62" s="36">
        <f>IF(ISBLANK(Inventory!$A62),0,SUM('Week 4'!$E62:$G62)*Inventory!$D62-((SUM('Week 3'!$E62:$G62)+'Week 4'!$C62)*Inventory!$D62-H62))</f>
        <v>0</v>
      </c>
      <c r="J62" s="201"/>
      <c r="K62" s="36">
        <f>IF(ISBLANK(Inventory!$A62),0,SUM('Week 5'!$E62:$G62)*Inventory!$D62-((SUM('Week 4'!$E62:$G62)+'Week 5'!$C62)*Inventory!$D62-J62))</f>
        <v>0</v>
      </c>
      <c r="L62" s="36">
        <f>IF(ISBLANK(Inventory!A62),0,SUM(B62,D62,F62,H62,J62))</f>
        <v>0</v>
      </c>
      <c r="M62" s="36">
        <f>IF(ISBLANK(Inventory!A62),0,SUM(C62,E62,G62,I62,K62))</f>
        <v>0</v>
      </c>
      <c r="N62" s="35" t="str">
        <f>IF(OR(ISBLANK(O62),O62=0),"",Settings!$B$14)</f>
        <v/>
      </c>
      <c r="O62" s="30">
        <f>IF(ISBLANK(Inventory!A62),0,M62*Inventory!J62)</f>
        <v>0</v>
      </c>
    </row>
    <row r="63" spans="1:15" s="29" customFormat="1" ht="15" customHeight="1">
      <c r="A63" s="31" t="str">
        <f>IF(Inventory!A63&gt;0,Inventory!A63,"")</f>
        <v>Cockburns Ruby</v>
      </c>
      <c r="B63" s="201"/>
      <c r="C63" s="36">
        <f>IF(ISBLANK(Inventory!$A63),0,SUM('Week 1'!$E63:$G63)*Inventory!$D63-((SUM('Stock Opening'!$C63:$E63)+'Week 1'!$C63)*Inventory!$D63-B63))</f>
        <v>0</v>
      </c>
      <c r="D63" s="201"/>
      <c r="E63" s="36">
        <f>IF(ISBLANK(Inventory!$A63),0,SUM('Week 2'!$E63:$G63)*Inventory!$D63-((SUM('Week 1'!$E63:$G63)+'Week 2'!$C63)*Inventory!$D63-D63))</f>
        <v>0</v>
      </c>
      <c r="F63" s="201"/>
      <c r="G63" s="36">
        <f>IF(ISBLANK(Inventory!$A63),0,SUM('Week 3'!$E63:$G63)*Inventory!$D63-((SUM('Week 2'!$E63:$G63)+'Week 3'!$C63)*Inventory!$D63-F63))</f>
        <v>0</v>
      </c>
      <c r="H63" s="201"/>
      <c r="I63" s="36">
        <f>IF(ISBLANK(Inventory!$A63),0,SUM('Week 4'!$E63:$G63)*Inventory!$D63-((SUM('Week 3'!$E63:$G63)+'Week 4'!$C63)*Inventory!$D63-H63))</f>
        <v>0</v>
      </c>
      <c r="J63" s="201"/>
      <c r="K63" s="36">
        <f>IF(ISBLANK(Inventory!$A63),0,SUM('Week 5'!$E63:$G63)*Inventory!$D63-((SUM('Week 4'!$E63:$G63)+'Week 5'!$C63)*Inventory!$D63-J63))</f>
        <v>0</v>
      </c>
      <c r="L63" s="36">
        <f>IF(ISBLANK(Inventory!A63),0,SUM(B63,D63,F63,H63,J63))</f>
        <v>0</v>
      </c>
      <c r="M63" s="36">
        <f>IF(ISBLANK(Inventory!A63),0,SUM(C63,E63,G63,I63,K63))</f>
        <v>0</v>
      </c>
      <c r="N63" s="35" t="str">
        <f>IF(OR(ISBLANK(O63),O63=0),"",Settings!$B$14)</f>
        <v/>
      </c>
      <c r="O63" s="30">
        <f>IF(ISBLANK(Inventory!A63),0,M63*Inventory!J63)</f>
        <v>0</v>
      </c>
    </row>
    <row r="64" spans="1:15" s="29" customFormat="1" ht="15" customHeight="1">
      <c r="A64" s="31" t="str">
        <f>IF(Inventory!A64&gt;0,Inventory!A64,"")</f>
        <v>Bristol Cream</v>
      </c>
      <c r="B64" s="201"/>
      <c r="C64" s="36">
        <f>IF(ISBLANK(Inventory!$A64),0,SUM('Week 1'!$E64:$G64)*Inventory!$D64-((SUM('Stock Opening'!$C64:$E64)+'Week 1'!$C64)*Inventory!$D64-B64))</f>
        <v>0</v>
      </c>
      <c r="D64" s="201"/>
      <c r="E64" s="36">
        <f>IF(ISBLANK(Inventory!$A64),0,SUM('Week 2'!$E64:$G64)*Inventory!$D64-((SUM('Week 1'!$E64:$G64)+'Week 2'!$C64)*Inventory!$D64-D64))</f>
        <v>0</v>
      </c>
      <c r="F64" s="201"/>
      <c r="G64" s="36">
        <f>IF(ISBLANK(Inventory!$A64),0,SUM('Week 3'!$E64:$G64)*Inventory!$D64-((SUM('Week 2'!$E64:$G64)+'Week 3'!$C64)*Inventory!$D64-F64))</f>
        <v>0</v>
      </c>
      <c r="H64" s="201"/>
      <c r="I64" s="36">
        <f>IF(ISBLANK(Inventory!$A64),0,SUM('Week 4'!$E64:$G64)*Inventory!$D64-((SUM('Week 3'!$E64:$G64)+'Week 4'!$C64)*Inventory!$D64-H64))</f>
        <v>0</v>
      </c>
      <c r="J64" s="201"/>
      <c r="K64" s="36">
        <f>IF(ISBLANK(Inventory!$A64),0,SUM('Week 5'!$E64:$G64)*Inventory!$D64-((SUM('Week 4'!$E64:$G64)+'Week 5'!$C64)*Inventory!$D64-J64))</f>
        <v>0</v>
      </c>
      <c r="L64" s="36">
        <f>IF(ISBLANK(Inventory!A64),0,SUM(B64,D64,F64,H64,J64))</f>
        <v>0</v>
      </c>
      <c r="M64" s="36">
        <f>IF(ISBLANK(Inventory!A64),0,SUM(C64,E64,G64,I64,K64))</f>
        <v>0</v>
      </c>
      <c r="N64" s="35" t="str">
        <f>IF(OR(ISBLANK(O64),O64=0),"",Settings!$B$14)</f>
        <v/>
      </c>
      <c r="O64" s="30">
        <f>IF(ISBLANK(Inventory!A64),0,M64*Inventory!J64)</f>
        <v>0</v>
      </c>
    </row>
    <row r="65" spans="1:15" s="29" customFormat="1" ht="15" customHeight="1">
      <c r="A65" s="31" t="str">
        <f>IF(Inventory!A65&gt;0,Inventory!A65,"")</f>
        <v>Club Classic</v>
      </c>
      <c r="B65" s="201"/>
      <c r="C65" s="36">
        <f>IF(ISBLANK(Inventory!$A65),0,SUM('Week 1'!$E65:$G65)*Inventory!$D65-((SUM('Stock Opening'!$C65:$E65)+'Week 1'!$C65)*Inventory!$D65-B65))</f>
        <v>0</v>
      </c>
      <c r="D65" s="201"/>
      <c r="E65" s="36">
        <f>IF(ISBLANK(Inventory!$A65),0,SUM('Week 2'!$E65:$G65)*Inventory!$D65-((SUM('Week 1'!$E65:$G65)+'Week 2'!$C65)*Inventory!$D65-D65))</f>
        <v>0</v>
      </c>
      <c r="F65" s="201"/>
      <c r="G65" s="36">
        <f>IF(ISBLANK(Inventory!$A65),0,SUM('Week 3'!$E65:$G65)*Inventory!$D65-((SUM('Week 2'!$E65:$G65)+'Week 3'!$C65)*Inventory!$D65-F65))</f>
        <v>0</v>
      </c>
      <c r="H65" s="201"/>
      <c r="I65" s="36">
        <f>IF(ISBLANK(Inventory!$A65),0,SUM('Week 4'!$E65:$G65)*Inventory!$D65-((SUM('Week 3'!$E65:$G65)+'Week 4'!$C65)*Inventory!$D65-H65))</f>
        <v>0</v>
      </c>
      <c r="J65" s="201"/>
      <c r="K65" s="36">
        <f>IF(ISBLANK(Inventory!$A65),0,SUM('Week 5'!$E65:$G65)*Inventory!$D65-((SUM('Week 4'!$E65:$G65)+'Week 5'!$C65)*Inventory!$D65-J65))</f>
        <v>0</v>
      </c>
      <c r="L65" s="36">
        <f>IF(ISBLANK(Inventory!A65),0,SUM(B65,D65,F65,H65,J65))</f>
        <v>0</v>
      </c>
      <c r="M65" s="36">
        <f>IF(ISBLANK(Inventory!A65),0,SUM(C65,E65,G65,I65,K65))</f>
        <v>0</v>
      </c>
      <c r="N65" s="35" t="str">
        <f>IF(OR(ISBLANK(O65),O65=0),"",Settings!$B$14)</f>
        <v/>
      </c>
      <c r="O65" s="30">
        <f>IF(ISBLANK(Inventory!A65),0,M65*Inventory!J65)</f>
        <v>0</v>
      </c>
    </row>
    <row r="66" spans="1:15" s="29" customFormat="1" ht="15" customHeight="1">
      <c r="A66" s="31" t="str">
        <f>IF(Inventory!A66&gt;0,Inventory!A66,"")</f>
        <v>Harveys Dune</v>
      </c>
      <c r="B66" s="201"/>
      <c r="C66" s="36">
        <f>IF(ISBLANK(Inventory!$A66),0,SUM('Week 1'!$E66:$G66)*Inventory!$D66-((SUM('Stock Opening'!$C66:$E66)+'Week 1'!$C66)*Inventory!$D66-B66))</f>
        <v>0</v>
      </c>
      <c r="D66" s="201"/>
      <c r="E66" s="36">
        <f>IF(ISBLANK(Inventory!$A66),0,SUM('Week 2'!$E66:$G66)*Inventory!$D66-((SUM('Week 1'!$E66:$G66)+'Week 2'!$C66)*Inventory!$D66-D66))</f>
        <v>0</v>
      </c>
      <c r="F66" s="201"/>
      <c r="G66" s="36">
        <f>IF(ISBLANK(Inventory!$A66),0,SUM('Week 3'!$E66:$G66)*Inventory!$D66-((SUM('Week 2'!$E66:$G66)+'Week 3'!$C66)*Inventory!$D66-F66))</f>
        <v>0</v>
      </c>
      <c r="H66" s="201"/>
      <c r="I66" s="36">
        <f>IF(ISBLANK(Inventory!$A66),0,SUM('Week 4'!$E66:$G66)*Inventory!$D66-((SUM('Week 3'!$E66:$G66)+'Week 4'!$C66)*Inventory!$D66-H66))</f>
        <v>0</v>
      </c>
      <c r="J66" s="201"/>
      <c r="K66" s="36">
        <f>IF(ISBLANK(Inventory!$A66),0,SUM('Week 5'!$E66:$G66)*Inventory!$D66-((SUM('Week 4'!$E66:$G66)+'Week 5'!$C66)*Inventory!$D66-J66))</f>
        <v>0</v>
      </c>
      <c r="L66" s="36">
        <f>IF(ISBLANK(Inventory!A66),0,SUM(B66,D66,F66,H66,J66))</f>
        <v>0</v>
      </c>
      <c r="M66" s="36">
        <f>IF(ISBLANK(Inventory!A66),0,SUM(C66,E66,G66,I66,K66))</f>
        <v>0</v>
      </c>
      <c r="N66" s="35" t="str">
        <f>IF(OR(ISBLANK(O66),O66=0),"",Settings!$B$14)</f>
        <v/>
      </c>
      <c r="O66" s="30">
        <f>IF(ISBLANK(Inventory!A66),0,M66*Inventory!J66)</f>
        <v>0</v>
      </c>
    </row>
    <row r="67" spans="1:15" s="29" customFormat="1" ht="15" customHeight="1">
      <c r="A67" s="31" t="str">
        <f>IF(Inventory!A67&gt;0,Inventory!A67,"")</f>
        <v/>
      </c>
      <c r="B67" s="201"/>
      <c r="C67" s="36">
        <f>IF(ISBLANK(Inventory!$A67),0,SUM('Week 1'!$E67:$G67)*Inventory!$D67-((SUM('Stock Opening'!$C67:$E67)+'Week 1'!$C67)*Inventory!$D67-B67))</f>
        <v>0</v>
      </c>
      <c r="D67" s="201"/>
      <c r="E67" s="36">
        <f>IF(ISBLANK(Inventory!$A67),0,SUM('Week 2'!$E67:$G67)*Inventory!$D67-((SUM('Week 1'!$E67:$G67)+'Week 2'!$C67)*Inventory!$D67-D67))</f>
        <v>0</v>
      </c>
      <c r="F67" s="201"/>
      <c r="G67" s="36">
        <f>IF(ISBLANK(Inventory!$A67),0,SUM('Week 3'!$E67:$G67)*Inventory!$D67-((SUM('Week 2'!$E67:$G67)+'Week 3'!$C67)*Inventory!$D67-F67))</f>
        <v>0</v>
      </c>
      <c r="H67" s="201"/>
      <c r="I67" s="36">
        <f>IF(ISBLANK(Inventory!$A67),0,SUM('Week 4'!$E67:$G67)*Inventory!$D67-((SUM('Week 3'!$E67:$G67)+'Week 4'!$C67)*Inventory!$D67-H67))</f>
        <v>0</v>
      </c>
      <c r="J67" s="201"/>
      <c r="K67" s="36">
        <f>IF(ISBLANK(Inventory!$A67),0,SUM('Week 5'!$E67:$G67)*Inventory!$D67-((SUM('Week 4'!$E67:$G67)+'Week 5'!$C67)*Inventory!$D67-J67))</f>
        <v>0</v>
      </c>
      <c r="L67" s="36">
        <f>IF(ISBLANK(Inventory!A67),0,SUM(B67,D67,F67,H67,J67))</f>
        <v>0</v>
      </c>
      <c r="M67" s="36">
        <f>IF(ISBLANK(Inventory!A67),0,SUM(C67,E67,G67,I67,K67))</f>
        <v>0</v>
      </c>
      <c r="N67" s="35" t="str">
        <f>IF(OR(ISBLANK(O67),O67=0),"",Settings!$B$14)</f>
        <v/>
      </c>
      <c r="O67" s="30">
        <f>IF(ISBLANK(Inventory!A67),0,M67*Inventory!J67)</f>
        <v>0</v>
      </c>
    </row>
    <row r="68" spans="1:15" s="29" customFormat="1" ht="15" customHeight="1">
      <c r="A68" s="31" t="str">
        <f>IF(Inventory!A68&gt;0,Inventory!A68,"")</f>
        <v/>
      </c>
      <c r="B68" s="201"/>
      <c r="C68" s="36">
        <f>IF(ISBLANK(Inventory!$A68),0,SUM('Week 1'!$E68:$G68)*Inventory!$D68-((SUM('Stock Opening'!$C68:$E68)+'Week 1'!$C68)*Inventory!$D68-B68))</f>
        <v>0</v>
      </c>
      <c r="D68" s="201"/>
      <c r="E68" s="36">
        <f>IF(ISBLANK(Inventory!$A68),0,SUM('Week 2'!$E68:$G68)*Inventory!$D68-((SUM('Week 1'!$E68:$G68)+'Week 2'!$C68)*Inventory!$D68-D68))</f>
        <v>0</v>
      </c>
      <c r="F68" s="201"/>
      <c r="G68" s="36">
        <f>IF(ISBLANK(Inventory!$A68),0,SUM('Week 3'!$E68:$G68)*Inventory!$D68-((SUM('Week 2'!$E68:$G68)+'Week 3'!$C68)*Inventory!$D68-F68))</f>
        <v>0</v>
      </c>
      <c r="H68" s="201"/>
      <c r="I68" s="36">
        <f>IF(ISBLANK(Inventory!$A68),0,SUM('Week 4'!$E68:$G68)*Inventory!$D68-((SUM('Week 3'!$E68:$G68)+'Week 4'!$C68)*Inventory!$D68-H68))</f>
        <v>0</v>
      </c>
      <c r="J68" s="201"/>
      <c r="K68" s="36">
        <f>IF(ISBLANK(Inventory!$A68),0,SUM('Week 5'!$E68:$G68)*Inventory!$D68-((SUM('Week 4'!$E68:$G68)+'Week 5'!$C68)*Inventory!$D68-J68))</f>
        <v>0</v>
      </c>
      <c r="L68" s="36">
        <f>IF(ISBLANK(Inventory!A68),0,SUM(B68,D68,F68,H68,J68))</f>
        <v>0</v>
      </c>
      <c r="M68" s="36">
        <f>IF(ISBLANK(Inventory!A68),0,SUM(C68,E68,G68,I68,K68))</f>
        <v>0</v>
      </c>
      <c r="N68" s="35" t="str">
        <f>IF(OR(ISBLANK(O68),O68=0),"",Settings!$B$14)</f>
        <v/>
      </c>
      <c r="O68" s="30">
        <f>IF(ISBLANK(Inventory!A68),0,M68*Inventory!J68)</f>
        <v>0</v>
      </c>
    </row>
    <row r="69" spans="1:15" s="29" customFormat="1" ht="15" customHeight="1">
      <c r="A69" s="31" t="str">
        <f>IF(Inventory!A69&gt;0,Inventory!A69,"")</f>
        <v/>
      </c>
      <c r="B69" s="201"/>
      <c r="C69" s="36">
        <f>IF(ISBLANK(Inventory!$A69),0,SUM('Week 1'!$E69:$G69)*Inventory!$D69-((SUM('Stock Opening'!$C69:$E69)+'Week 1'!$C69)*Inventory!$D69-B69))</f>
        <v>0</v>
      </c>
      <c r="D69" s="201"/>
      <c r="E69" s="36">
        <f>IF(ISBLANK(Inventory!$A69),0,SUM('Week 2'!$E69:$G69)*Inventory!$D69-((SUM('Week 1'!$E69:$G69)+'Week 2'!$C69)*Inventory!$D69-D69))</f>
        <v>0</v>
      </c>
      <c r="F69" s="201"/>
      <c r="G69" s="36">
        <f>IF(ISBLANK(Inventory!$A69),0,SUM('Week 3'!$E69:$G69)*Inventory!$D69-((SUM('Week 2'!$E69:$G69)+'Week 3'!$C69)*Inventory!$D69-F69))</f>
        <v>0</v>
      </c>
      <c r="H69" s="201"/>
      <c r="I69" s="36">
        <f>IF(ISBLANK(Inventory!$A69),0,SUM('Week 4'!$E69:$G69)*Inventory!$D69-((SUM('Week 3'!$E69:$G69)+'Week 4'!$C69)*Inventory!$D69-H69))</f>
        <v>0</v>
      </c>
      <c r="J69" s="201"/>
      <c r="K69" s="36">
        <f>IF(ISBLANK(Inventory!$A69),0,SUM('Week 5'!$E69:$G69)*Inventory!$D69-((SUM('Week 4'!$E69:$G69)+'Week 5'!$C69)*Inventory!$D69-J69))</f>
        <v>0</v>
      </c>
      <c r="L69" s="36">
        <f>IF(ISBLANK(Inventory!A69),0,SUM(B69,D69,F69,H69,J69))</f>
        <v>0</v>
      </c>
      <c r="M69" s="36">
        <f>IF(ISBLANK(Inventory!A69),0,SUM(C69,E69,G69,I69,K69))</f>
        <v>0</v>
      </c>
      <c r="N69" s="35" t="str">
        <f>IF(OR(ISBLANK(O69),O69=0),"",Settings!$B$14)</f>
        <v/>
      </c>
      <c r="O69" s="30">
        <f>IF(ISBLANK(Inventory!A69),0,M69*Inventory!J69)</f>
        <v>0</v>
      </c>
    </row>
    <row r="70" spans="1:15" s="29" customFormat="1" ht="15" customHeight="1">
      <c r="A70" s="31" t="str">
        <f>IF(Inventory!A70&gt;0,Inventory!A70,"")</f>
        <v/>
      </c>
      <c r="B70" s="201"/>
      <c r="C70" s="36">
        <f>IF(ISBLANK(Inventory!$A70),0,SUM('Week 1'!$E70:$G70)*Inventory!$D70-((SUM('Stock Opening'!$C70:$E70)+'Week 1'!$C70)*Inventory!$D70-B70))</f>
        <v>0</v>
      </c>
      <c r="D70" s="201"/>
      <c r="E70" s="36">
        <f>IF(ISBLANK(Inventory!$A70),0,SUM('Week 2'!$E70:$G70)*Inventory!$D70-((SUM('Week 1'!$E70:$G70)+'Week 2'!$C70)*Inventory!$D70-D70))</f>
        <v>0</v>
      </c>
      <c r="F70" s="201"/>
      <c r="G70" s="36">
        <f>IF(ISBLANK(Inventory!$A70),0,SUM('Week 3'!$E70:$G70)*Inventory!$D70-((SUM('Week 2'!$E70:$G70)+'Week 3'!$C70)*Inventory!$D70-F70))</f>
        <v>0</v>
      </c>
      <c r="H70" s="201"/>
      <c r="I70" s="36">
        <f>IF(ISBLANK(Inventory!$A70),0,SUM('Week 4'!$E70:$G70)*Inventory!$D70-((SUM('Week 3'!$E70:$G70)+'Week 4'!$C70)*Inventory!$D70-H70))</f>
        <v>0</v>
      </c>
      <c r="J70" s="201"/>
      <c r="K70" s="36">
        <f>IF(ISBLANK(Inventory!$A70),0,SUM('Week 5'!$E70:$G70)*Inventory!$D70-((SUM('Week 4'!$E70:$G70)+'Week 5'!$C70)*Inventory!$D70-J70))</f>
        <v>0</v>
      </c>
      <c r="L70" s="36">
        <f>IF(ISBLANK(Inventory!A70),0,SUM(B70,D70,F70,H70,J70))</f>
        <v>0</v>
      </c>
      <c r="M70" s="36">
        <f>IF(ISBLANK(Inventory!A70),0,SUM(C70,E70,G70,I70,K70))</f>
        <v>0</v>
      </c>
      <c r="N70" s="35" t="str">
        <f>IF(OR(ISBLANK(O70),O70=0),"",Settings!$B$14)</f>
        <v/>
      </c>
      <c r="O70" s="30">
        <f>IF(ISBLANK(Inventory!A70),0,M70*Inventory!J70)</f>
        <v>0</v>
      </c>
    </row>
    <row r="71" spans="1:15" s="29" customFormat="1" ht="15" customHeight="1">
      <c r="A71" s="31" t="str">
        <f>IF(Inventory!A71&gt;0,Inventory!A71,"")</f>
        <v/>
      </c>
      <c r="B71" s="201"/>
      <c r="C71" s="36">
        <f>IF(ISBLANK(Inventory!$A71),0,SUM('Week 1'!$E71:$G71)*Inventory!$D71-((SUM('Stock Opening'!$C71:$E71)+'Week 1'!$C71)*Inventory!$D71-B71))</f>
        <v>0</v>
      </c>
      <c r="D71" s="201"/>
      <c r="E71" s="36">
        <f>IF(ISBLANK(Inventory!$A71),0,SUM('Week 2'!$E71:$G71)*Inventory!$D71-((SUM('Week 1'!$E71:$G71)+'Week 2'!$C71)*Inventory!$D71-D71))</f>
        <v>0</v>
      </c>
      <c r="F71" s="201"/>
      <c r="G71" s="36">
        <f>IF(ISBLANK(Inventory!$A71),0,SUM('Week 3'!$E71:$G71)*Inventory!$D71-((SUM('Week 2'!$E71:$G71)+'Week 3'!$C71)*Inventory!$D71-F71))</f>
        <v>0</v>
      </c>
      <c r="H71" s="201"/>
      <c r="I71" s="36">
        <f>IF(ISBLANK(Inventory!$A71),0,SUM('Week 4'!$E71:$G71)*Inventory!$D71-((SUM('Week 3'!$E71:$G71)+'Week 4'!$C71)*Inventory!$D71-H71))</f>
        <v>0</v>
      </c>
      <c r="J71" s="201"/>
      <c r="K71" s="36">
        <f>IF(ISBLANK(Inventory!$A71),0,SUM('Week 5'!$E71:$G71)*Inventory!$D71-((SUM('Week 4'!$E71:$G71)+'Week 5'!$C71)*Inventory!$D71-J71))</f>
        <v>0</v>
      </c>
      <c r="L71" s="36">
        <f>IF(ISBLANK(Inventory!A71),0,SUM(B71,D71,F71,H71,J71))</f>
        <v>0</v>
      </c>
      <c r="M71" s="36">
        <f>IF(ISBLANK(Inventory!A71),0,SUM(C71,E71,G71,I71,K71))</f>
        <v>0</v>
      </c>
      <c r="N71" s="35" t="str">
        <f>IF(OR(ISBLANK(O71),O71=0),"",Settings!$B$14)</f>
        <v/>
      </c>
      <c r="O71" s="30">
        <f>IF(ISBLANK(Inventory!A71),0,M71*Inventory!J71)</f>
        <v>0</v>
      </c>
    </row>
    <row r="72" spans="1:15" s="29" customFormat="1" ht="15" customHeight="1">
      <c r="A72" s="31" t="str">
        <f>IF(Inventory!A72&gt;0,Inventory!A72,"")</f>
        <v/>
      </c>
      <c r="B72" s="201"/>
      <c r="C72" s="36">
        <f>IF(ISBLANK(Inventory!$A72),0,SUM('Week 1'!$E72:$G72)*Inventory!$D72-((SUM('Stock Opening'!$C72:$E72)+'Week 1'!$C72)*Inventory!$D72-B72))</f>
        <v>0</v>
      </c>
      <c r="D72" s="201"/>
      <c r="E72" s="36">
        <f>IF(ISBLANK(Inventory!$A72),0,SUM('Week 2'!$E72:$G72)*Inventory!$D72-((SUM('Week 1'!$E72:$G72)+'Week 2'!$C72)*Inventory!$D72-D72))</f>
        <v>0</v>
      </c>
      <c r="F72" s="201"/>
      <c r="G72" s="36">
        <f>IF(ISBLANK(Inventory!$A72),0,SUM('Week 3'!$E72:$G72)*Inventory!$D72-((SUM('Week 2'!$E72:$G72)+'Week 3'!$C72)*Inventory!$D72-F72))</f>
        <v>0</v>
      </c>
      <c r="H72" s="201"/>
      <c r="I72" s="36">
        <f>IF(ISBLANK(Inventory!$A72),0,SUM('Week 4'!$E72:$G72)*Inventory!$D72-((SUM('Week 3'!$E72:$G72)+'Week 4'!$C72)*Inventory!$D72-H72))</f>
        <v>0</v>
      </c>
      <c r="J72" s="201"/>
      <c r="K72" s="36">
        <f>IF(ISBLANK(Inventory!$A72),0,SUM('Week 5'!$E72:$G72)*Inventory!$D72-((SUM('Week 4'!$E72:$G72)+'Week 5'!$C72)*Inventory!$D72-J72))</f>
        <v>0</v>
      </c>
      <c r="L72" s="36">
        <f>IF(ISBLANK(Inventory!A72),0,SUM(B72,D72,F72,H72,J72))</f>
        <v>0</v>
      </c>
      <c r="M72" s="36">
        <f>IF(ISBLANK(Inventory!A72),0,SUM(C72,E72,G72,I72,K72))</f>
        <v>0</v>
      </c>
      <c r="N72" s="35" t="str">
        <f>IF(OR(ISBLANK(O72),O72=0),"",Settings!$B$14)</f>
        <v/>
      </c>
      <c r="O72" s="30">
        <f>IF(ISBLANK(Inventory!A72),0,M72*Inventory!J72)</f>
        <v>0</v>
      </c>
    </row>
    <row r="73" spans="1:15" ht="6.95" customHeight="1">
      <c r="A73" s="24"/>
      <c r="B73" s="69"/>
      <c r="C73" s="69"/>
      <c r="D73" s="69"/>
      <c r="E73" s="69"/>
      <c r="F73" s="69"/>
      <c r="G73" s="69"/>
      <c r="H73" s="69"/>
      <c r="I73" s="69"/>
      <c r="J73" s="69"/>
      <c r="K73" s="69"/>
      <c r="L73" s="69"/>
      <c r="M73" s="69"/>
      <c r="N73" s="69"/>
      <c r="O73" s="70"/>
    </row>
    <row r="74" spans="1:15" s="50" customFormat="1" ht="18" customHeight="1" thickBot="1">
      <c r="A74" s="78" t="str">
        <f>Inventory!A74</f>
        <v>TABLE WINES</v>
      </c>
      <c r="B74" s="253" t="s">
        <v>3</v>
      </c>
      <c r="C74" s="253"/>
      <c r="D74" s="253" t="s">
        <v>3</v>
      </c>
      <c r="E74" s="253"/>
      <c r="F74" s="253" t="s">
        <v>3</v>
      </c>
      <c r="G74" s="253"/>
      <c r="H74" s="253" t="s">
        <v>3</v>
      </c>
      <c r="I74" s="253"/>
      <c r="J74" s="253" t="s">
        <v>3</v>
      </c>
      <c r="K74" s="253"/>
      <c r="L74" s="253" t="s">
        <v>3</v>
      </c>
      <c r="M74" s="253"/>
      <c r="N74" s="79"/>
      <c r="O74" s="80"/>
    </row>
    <row r="75" spans="1:15" ht="6.95" customHeight="1" thickTop="1">
      <c r="A75" s="76"/>
      <c r="B75" s="71"/>
      <c r="C75" s="71"/>
      <c r="D75" s="71"/>
      <c r="E75" s="71"/>
      <c r="F75" s="71"/>
      <c r="G75" s="71"/>
      <c r="H75" s="71"/>
      <c r="I75" s="71"/>
      <c r="J75" s="71"/>
      <c r="K75" s="71"/>
      <c r="L75" s="71"/>
      <c r="M75" s="71"/>
      <c r="N75" s="71"/>
      <c r="O75" s="68"/>
    </row>
    <row r="76" spans="1:15" s="29" customFormat="1" ht="15" customHeight="1">
      <c r="A76" s="31" t="str">
        <f>IF(Inventory!A76&gt;0,Inventory!A76,"")</f>
        <v>35º South Red</v>
      </c>
      <c r="B76" s="201"/>
      <c r="C76" s="36">
        <f>IF(ISBLANK(Inventory!$A76),0,SUM('Week 1'!$E76:$G76)-((SUM('Stock Opening'!$C76:$E76)+'Week 1'!$C76)-B76))</f>
        <v>0</v>
      </c>
      <c r="D76" s="201"/>
      <c r="E76" s="36">
        <f>IF(ISBLANK(Inventory!$A76),0,SUM('Week 2'!$E76:$G76)-((SUM('Week 1'!$E76:$G76)+'Week 2'!$C76)-D76))</f>
        <v>0</v>
      </c>
      <c r="F76" s="201"/>
      <c r="G76" s="36">
        <f>IF(ISBLANK(Inventory!$A76),0,SUM('Week 3'!$E76:$G76)-((SUM('Week 2'!$E76:$G76)+'Week 3'!$C76)-F76))</f>
        <v>0</v>
      </c>
      <c r="H76" s="201"/>
      <c r="I76" s="36">
        <f>IF(ISBLANK(Inventory!$A76),0,SUM('Week 4'!$E76:$G76)-((SUM('Week 3'!$E76:$G76)+'Week 4'!$C76)-H76))</f>
        <v>0</v>
      </c>
      <c r="J76" s="201"/>
      <c r="K76" s="36">
        <f>IF(ISBLANK(Inventory!$A76),0,SUM('Week 5'!$E76:$G76)-((SUM('Week 4'!$E76:$G76)+'Week 5'!$C76)-J76))</f>
        <v>0</v>
      </c>
      <c r="L76" s="36">
        <f>IF(ISBLANK(Inventory!A76),0,SUM(B76,D76,F76,H76,J76))</f>
        <v>0</v>
      </c>
      <c r="M76" s="36">
        <f>IF(ISBLANK(Inventory!A76),0,SUM(C76,E76,G76,I76,K76))</f>
        <v>0</v>
      </c>
      <c r="N76" s="35" t="str">
        <f>IF(OR(ISBLANK(O76),O76=0),"",Settings!$B$14)</f>
        <v/>
      </c>
      <c r="O76" s="30">
        <f>IF(ISBLANK(Inventory!A76),0,M76*Inventory!J76)</f>
        <v>0</v>
      </c>
    </row>
    <row r="77" spans="1:15" s="29" customFormat="1" ht="15" customHeight="1">
      <c r="A77" s="31" t="str">
        <f>IF(Inventory!A77&gt;0,Inventory!A77,"")</f>
        <v>Lindemans' Chardonnay</v>
      </c>
      <c r="B77" s="201"/>
      <c r="C77" s="36">
        <f>IF(ISBLANK(Inventory!$A77),0,SUM('Week 1'!$E77:$G77)-((SUM('Stock Opening'!$C77:$E77)+'Week 1'!$C77)-B77))</f>
        <v>0</v>
      </c>
      <c r="D77" s="201"/>
      <c r="E77" s="36">
        <f>IF(ISBLANK(Inventory!$A77),0,SUM('Week 2'!$E77:$G77)-((SUM('Week 1'!$E77:$G77)+'Week 2'!$C77)-D77))</f>
        <v>0</v>
      </c>
      <c r="F77" s="201"/>
      <c r="G77" s="36">
        <f>IF(ISBLANK(Inventory!$A77),0,SUM('Week 3'!$E77:$G77)-((SUM('Week 2'!$E77:$G77)+'Week 3'!$C77)-F77))</f>
        <v>0</v>
      </c>
      <c r="H77" s="201"/>
      <c r="I77" s="36">
        <f>IF(ISBLANK(Inventory!$A77),0,SUM('Week 4'!$E77:$G77)-((SUM('Week 3'!$E77:$G77)+'Week 4'!$C77)-H77))</f>
        <v>0</v>
      </c>
      <c r="J77" s="201"/>
      <c r="K77" s="36">
        <f>IF(ISBLANK(Inventory!$A77),0,SUM('Week 5'!$E77:$G77)-((SUM('Week 4'!$E77:$G77)+'Week 5'!$C77)-J77))</f>
        <v>0</v>
      </c>
      <c r="L77" s="36">
        <f>IF(ISBLANK(Inventory!A77),0,SUM(B77,D77,F77,H77,J77))</f>
        <v>0</v>
      </c>
      <c r="M77" s="36">
        <f>IF(ISBLANK(Inventory!A77),0,SUM(C77,E77,G77,I77,K77))</f>
        <v>0</v>
      </c>
      <c r="N77" s="35" t="str">
        <f>IF(OR(ISBLANK(O77),O77=0),"",Settings!$B$14)</f>
        <v/>
      </c>
      <c r="O77" s="30">
        <f>IF(ISBLANK(Inventory!A77),0,M77*Inventory!J77)</f>
        <v>0</v>
      </c>
    </row>
    <row r="78" spans="1:15" s="29" customFormat="1" ht="15" customHeight="1">
      <c r="A78" s="31" t="str">
        <f>IF(Inventory!A78&gt;0,Inventory!A78,"")</f>
        <v>Arniston Bay</v>
      </c>
      <c r="B78" s="201"/>
      <c r="C78" s="36">
        <f>IF(ISBLANK(Inventory!$A78),0,SUM('Week 1'!$E78:$G78)-((SUM('Stock Opening'!$C78:$E78)+'Week 1'!$C78)-B78))</f>
        <v>0</v>
      </c>
      <c r="D78" s="201"/>
      <c r="E78" s="36">
        <f>IF(ISBLANK(Inventory!$A78),0,SUM('Week 2'!$E78:$G78)-((SUM('Week 1'!$E78:$G78)+'Week 2'!$C78)-D78))</f>
        <v>0</v>
      </c>
      <c r="F78" s="201"/>
      <c r="G78" s="36">
        <f>IF(ISBLANK(Inventory!$A78),0,SUM('Week 3'!$E78:$G78)-((SUM('Week 2'!$E78:$G78)+'Week 3'!$C78)-F78))</f>
        <v>0</v>
      </c>
      <c r="H78" s="201"/>
      <c r="I78" s="36">
        <f>IF(ISBLANK(Inventory!$A78),0,SUM('Week 4'!$E78:$G78)-((SUM('Week 3'!$E78:$G78)+'Week 4'!$C78)-H78))</f>
        <v>0</v>
      </c>
      <c r="J78" s="201"/>
      <c r="K78" s="36">
        <f>IF(ISBLANK(Inventory!$A78),0,SUM('Week 5'!$E78:$G78)-((SUM('Week 4'!$E78:$G78)+'Week 5'!$C78)-J78))</f>
        <v>0</v>
      </c>
      <c r="L78" s="36">
        <f>IF(ISBLANK(Inventory!A78),0,SUM(B78,D78,F78,H78,J78))</f>
        <v>0</v>
      </c>
      <c r="M78" s="36">
        <f>IF(ISBLANK(Inventory!A78),0,SUM(C78,E78,G78,I78,K78))</f>
        <v>0</v>
      </c>
      <c r="N78" s="35" t="str">
        <f>IF(OR(ISBLANK(O78),O78=0),"",Settings!$B$14)</f>
        <v/>
      </c>
      <c r="O78" s="30">
        <f>IF(ISBLANK(Inventory!A78),0,M78*Inventory!J78)</f>
        <v>0</v>
      </c>
    </row>
    <row r="79" spans="1:15" s="29" customFormat="1" ht="15" customHeight="1">
      <c r="A79" s="31" t="str">
        <f>IF(Inventory!A79&gt;0,Inventory!A79,"")</f>
        <v>Côtes du Rhône</v>
      </c>
      <c r="B79" s="201"/>
      <c r="C79" s="36">
        <f>IF(ISBLANK(Inventory!$A79),0,SUM('Week 1'!$E79:$G79)-((SUM('Stock Opening'!$C79:$E79)+'Week 1'!$C79)-B79))</f>
        <v>0</v>
      </c>
      <c r="D79" s="201"/>
      <c r="E79" s="36">
        <f>IF(ISBLANK(Inventory!$A79),0,SUM('Week 2'!$E79:$G79)-((SUM('Week 1'!$E79:$G79)+'Week 2'!$C79)-D79))</f>
        <v>0</v>
      </c>
      <c r="F79" s="201"/>
      <c r="G79" s="36">
        <f>IF(ISBLANK(Inventory!$A79),0,SUM('Week 3'!$E79:$G79)-((SUM('Week 2'!$E79:$G79)+'Week 3'!$C79)-F79))</f>
        <v>0</v>
      </c>
      <c r="H79" s="201"/>
      <c r="I79" s="36">
        <f>IF(ISBLANK(Inventory!$A79),0,SUM('Week 4'!$E79:$G79)-((SUM('Week 3'!$E79:$G79)+'Week 4'!$C79)-H79))</f>
        <v>0</v>
      </c>
      <c r="J79" s="201"/>
      <c r="K79" s="36">
        <f>IF(ISBLANK(Inventory!$A79),0,SUM('Week 5'!$E79:$G79)-((SUM('Week 4'!$E79:$G79)+'Week 5'!$C79)-J79))</f>
        <v>0</v>
      </c>
      <c r="L79" s="36">
        <f>IF(ISBLANK(Inventory!A79),0,SUM(B79,D79,F79,H79,J79))</f>
        <v>0</v>
      </c>
      <c r="M79" s="36">
        <f>IF(ISBLANK(Inventory!A79),0,SUM(C79,E79,G79,I79,K79))</f>
        <v>0</v>
      </c>
      <c r="N79" s="35" t="str">
        <f>IF(OR(ISBLANK(O79),O79=0),"",Settings!$B$14)</f>
        <v/>
      </c>
      <c r="O79" s="30">
        <f>IF(ISBLANK(Inventory!A79),0,M79*Inventory!J79)</f>
        <v>0</v>
      </c>
    </row>
    <row r="80" spans="1:15" s="29" customFormat="1" ht="15" customHeight="1">
      <c r="A80" s="31" t="str">
        <f>IF(Inventory!A80&gt;0,Inventory!A80,"")</f>
        <v>Jacobs Creek</v>
      </c>
      <c r="B80" s="201"/>
      <c r="C80" s="36">
        <f>IF(ISBLANK(Inventory!$A80),0,SUM('Week 1'!$E80:$G80)-((SUM('Stock Opening'!$C80:$E80)+'Week 1'!$C80)-B80))</f>
        <v>0</v>
      </c>
      <c r="D80" s="201"/>
      <c r="E80" s="36">
        <f>IF(ISBLANK(Inventory!$A80),0,SUM('Week 2'!$E80:$G80)-((SUM('Week 1'!$E80:$G80)+'Week 2'!$C80)-D80))</f>
        <v>0</v>
      </c>
      <c r="F80" s="201"/>
      <c r="G80" s="36">
        <f>IF(ISBLANK(Inventory!$A80),0,SUM('Week 3'!$E80:$G80)-((SUM('Week 2'!$E80:$G80)+'Week 3'!$C80)-F80))</f>
        <v>0</v>
      </c>
      <c r="H80" s="201"/>
      <c r="I80" s="36">
        <f>IF(ISBLANK(Inventory!$A80),0,SUM('Week 4'!$E80:$G80)-((SUM('Week 3'!$E80:$G80)+'Week 4'!$C80)-H80))</f>
        <v>0</v>
      </c>
      <c r="J80" s="201"/>
      <c r="K80" s="36">
        <f>IF(ISBLANK(Inventory!$A80),0,SUM('Week 5'!$E80:$G80)-((SUM('Week 4'!$E80:$G80)+'Week 5'!$C80)-J80))</f>
        <v>0</v>
      </c>
      <c r="L80" s="36">
        <f>IF(ISBLANK(Inventory!A80),0,SUM(B80,D80,F80,H80,J80))</f>
        <v>0</v>
      </c>
      <c r="M80" s="36">
        <f>IF(ISBLANK(Inventory!A80),0,SUM(C80,E80,G80,I80,K80))</f>
        <v>0</v>
      </c>
      <c r="N80" s="35" t="str">
        <f>IF(OR(ISBLANK(O80),O80=0),"",Settings!$B$14)</f>
        <v/>
      </c>
      <c r="O80" s="30">
        <f>IF(ISBLANK(Inventory!A80),0,M80*Inventory!J80)</f>
        <v>0</v>
      </c>
    </row>
    <row r="81" spans="1:15" s="29" customFormat="1" ht="15" customHeight="1">
      <c r="A81" s="31" t="str">
        <f>IF(Inventory!A81&gt;0,Inventory!A81,"")</f>
        <v>Louis Raymond</v>
      </c>
      <c r="B81" s="201"/>
      <c r="C81" s="36">
        <f>IF(ISBLANK(Inventory!$A81),0,SUM('Week 1'!$E81:$G81)-((SUM('Stock Opening'!$C81:$E81)+'Week 1'!$C81)-B81))</f>
        <v>0</v>
      </c>
      <c r="D81" s="201"/>
      <c r="E81" s="36">
        <f>IF(ISBLANK(Inventory!$A81),0,SUM('Week 2'!$E81:$G81)-((SUM('Week 1'!$E81:$G81)+'Week 2'!$C81)-D81))</f>
        <v>0</v>
      </c>
      <c r="F81" s="201"/>
      <c r="G81" s="36">
        <f>IF(ISBLANK(Inventory!$A81),0,SUM('Week 3'!$E81:$G81)-((SUM('Week 2'!$E81:$G81)+'Week 3'!$C81)-F81))</f>
        <v>0</v>
      </c>
      <c r="H81" s="201"/>
      <c r="I81" s="36">
        <f>IF(ISBLANK(Inventory!$A81),0,SUM('Week 4'!$E81:$G81)-((SUM('Week 3'!$E81:$G81)+'Week 4'!$C81)-H81))</f>
        <v>0</v>
      </c>
      <c r="J81" s="201"/>
      <c r="K81" s="36">
        <f>IF(ISBLANK(Inventory!$A81),0,SUM('Week 5'!$E81:$G81)-((SUM('Week 4'!$E81:$G81)+'Week 5'!$C81)-J81))</f>
        <v>0</v>
      </c>
      <c r="L81" s="36">
        <f>IF(ISBLANK(Inventory!A81),0,SUM(B81,D81,F81,H81,J81))</f>
        <v>0</v>
      </c>
      <c r="M81" s="36">
        <f>IF(ISBLANK(Inventory!A81),0,SUM(C81,E81,G81,I81,K81))</f>
        <v>0</v>
      </c>
      <c r="N81" s="35" t="str">
        <f>IF(OR(ISBLANK(O81),O81=0),"",Settings!$B$14)</f>
        <v/>
      </c>
      <c r="O81" s="30">
        <f>IF(ISBLANK(Inventory!A81),0,M81*Inventory!J81)</f>
        <v>0</v>
      </c>
    </row>
    <row r="82" spans="1:15" s="29" customFormat="1" ht="15" customHeight="1">
      <c r="A82" s="31" t="str">
        <f>IF(Inventory!A82&gt;0,Inventory!A82,"")</f>
        <v>Castletorre</v>
      </c>
      <c r="B82" s="201"/>
      <c r="C82" s="36">
        <f>IF(ISBLANK(Inventory!$A82),0,SUM('Week 1'!$E82:$G82)-((SUM('Stock Opening'!$C82:$E82)+'Week 1'!$C82)-B82))</f>
        <v>0</v>
      </c>
      <c r="D82" s="201"/>
      <c r="E82" s="36">
        <f>IF(ISBLANK(Inventory!$A82),0,SUM('Week 2'!$E82:$G82)-((SUM('Week 1'!$E82:$G82)+'Week 2'!$C82)-D82))</f>
        <v>0</v>
      </c>
      <c r="F82" s="201"/>
      <c r="G82" s="36">
        <f>IF(ISBLANK(Inventory!$A82),0,SUM('Week 3'!$E82:$G82)-((SUM('Week 2'!$E82:$G82)+'Week 3'!$C82)-F82))</f>
        <v>0</v>
      </c>
      <c r="H82" s="201"/>
      <c r="I82" s="36">
        <f>IF(ISBLANK(Inventory!$A82),0,SUM('Week 4'!$E82:$G82)-((SUM('Week 3'!$E82:$G82)+'Week 4'!$C82)-H82))</f>
        <v>0</v>
      </c>
      <c r="J82" s="201"/>
      <c r="K82" s="36">
        <f>IF(ISBLANK(Inventory!$A82),0,SUM('Week 5'!$E82:$G82)-((SUM('Week 4'!$E82:$G82)+'Week 5'!$C82)-J82))</f>
        <v>0</v>
      </c>
      <c r="L82" s="36">
        <f>IF(ISBLANK(Inventory!A82),0,SUM(B82,D82,F82,H82,J82))</f>
        <v>0</v>
      </c>
      <c r="M82" s="36">
        <f>IF(ISBLANK(Inventory!A82),0,SUM(C82,E82,G82,I82,K82))</f>
        <v>0</v>
      </c>
      <c r="N82" s="35" t="str">
        <f>IF(OR(ISBLANK(O82),O82=0),"",Settings!$B$14)</f>
        <v/>
      </c>
      <c r="O82" s="30">
        <f>IF(ISBLANK(Inventory!A82),0,M82*Inventory!J82)</f>
        <v>0</v>
      </c>
    </row>
    <row r="83" spans="1:15" s="29" customFormat="1" ht="15" customHeight="1">
      <c r="A83" s="31" t="str">
        <f>IF(Inventory!A83&gt;0,Inventory!A83,"")</f>
        <v>Muscadet</v>
      </c>
      <c r="B83" s="201"/>
      <c r="C83" s="36">
        <f>IF(ISBLANK(Inventory!$A83),0,SUM('Week 1'!$E83:$G83)-((SUM('Stock Opening'!$C83:$E83)+'Week 1'!$C83)-B83))</f>
        <v>0</v>
      </c>
      <c r="D83" s="201"/>
      <c r="E83" s="36">
        <f>IF(ISBLANK(Inventory!$A83),0,SUM('Week 2'!$E83:$G83)-((SUM('Week 1'!$E83:$G83)+'Week 2'!$C83)-D83))</f>
        <v>0</v>
      </c>
      <c r="F83" s="201"/>
      <c r="G83" s="36">
        <f>IF(ISBLANK(Inventory!$A83),0,SUM('Week 3'!$E83:$G83)-((SUM('Week 2'!$E83:$G83)+'Week 3'!$C83)-F83))</f>
        <v>0</v>
      </c>
      <c r="H83" s="201"/>
      <c r="I83" s="36">
        <f>IF(ISBLANK(Inventory!$A83),0,SUM('Week 4'!$E83:$G83)-((SUM('Week 3'!$E83:$G83)+'Week 4'!$C83)-H83))</f>
        <v>0</v>
      </c>
      <c r="J83" s="201"/>
      <c r="K83" s="36">
        <f>IF(ISBLANK(Inventory!$A83),0,SUM('Week 5'!$E83:$G83)-((SUM('Week 4'!$E83:$G83)+'Week 5'!$C83)-J83))</f>
        <v>0</v>
      </c>
      <c r="L83" s="36">
        <f>IF(ISBLANK(Inventory!A83),0,SUM(B83,D83,F83,H83,J83))</f>
        <v>0</v>
      </c>
      <c r="M83" s="36">
        <f>IF(ISBLANK(Inventory!A83),0,SUM(C83,E83,G83,I83,K83))</f>
        <v>0</v>
      </c>
      <c r="N83" s="35" t="str">
        <f>IF(OR(ISBLANK(O83),O83=0),"",Settings!$B$14)</f>
        <v/>
      </c>
      <c r="O83" s="30">
        <f>IF(ISBLANK(Inventory!A83),0,M83*Inventory!J83)</f>
        <v>0</v>
      </c>
    </row>
    <row r="84" spans="1:15" s="29" customFormat="1" ht="15" customHeight="1">
      <c r="A84" s="31" t="str">
        <f>IF(Inventory!A84&gt;0,Inventory!A84,"")</f>
        <v>Piesporter</v>
      </c>
      <c r="B84" s="201"/>
      <c r="C84" s="36">
        <f>IF(ISBLANK(Inventory!$A84),0,SUM('Week 1'!$E84:$G84)-((SUM('Stock Opening'!$C84:$E84)+'Week 1'!$C84)-B84))</f>
        <v>0</v>
      </c>
      <c r="D84" s="201"/>
      <c r="E84" s="36">
        <f>IF(ISBLANK(Inventory!$A84),0,SUM('Week 2'!$E84:$G84)-((SUM('Week 1'!$E84:$G84)+'Week 2'!$C84)-D84))</f>
        <v>0</v>
      </c>
      <c r="F84" s="201"/>
      <c r="G84" s="36">
        <f>IF(ISBLANK(Inventory!$A84),0,SUM('Week 3'!$E84:$G84)-((SUM('Week 2'!$E84:$G84)+'Week 3'!$C84)-F84))</f>
        <v>0</v>
      </c>
      <c r="H84" s="201"/>
      <c r="I84" s="36">
        <f>IF(ISBLANK(Inventory!$A84),0,SUM('Week 4'!$E84:$G84)-((SUM('Week 3'!$E84:$G84)+'Week 4'!$C84)-H84))</f>
        <v>0</v>
      </c>
      <c r="J84" s="201"/>
      <c r="K84" s="36">
        <f>IF(ISBLANK(Inventory!$A84),0,SUM('Week 5'!$E84:$G84)-((SUM('Week 4'!$E84:$G84)+'Week 5'!$C84)-J84))</f>
        <v>0</v>
      </c>
      <c r="L84" s="36">
        <f>IF(ISBLANK(Inventory!A84),0,SUM(B84,D84,F84,H84,J84))</f>
        <v>0</v>
      </c>
      <c r="M84" s="36">
        <f>IF(ISBLANK(Inventory!A84),0,SUM(C84,E84,G84,I84,K84))</f>
        <v>0</v>
      </c>
      <c r="N84" s="35" t="str">
        <f>IF(OR(ISBLANK(O84),O84=0),"",Settings!$B$14)</f>
        <v/>
      </c>
      <c r="O84" s="30">
        <f>IF(ISBLANK(Inventory!A84),0,M84*Inventory!J84)</f>
        <v>0</v>
      </c>
    </row>
    <row r="85" spans="1:15" s="29" customFormat="1" ht="15" customHeight="1">
      <c r="A85" s="31" t="str">
        <f>IF(Inventory!A85&gt;0,Inventory!A85,"")</f>
        <v>Piesporter (Small)</v>
      </c>
      <c r="B85" s="201"/>
      <c r="C85" s="36">
        <f>IF(ISBLANK(Inventory!$A85),0,SUM('Week 1'!$E85:$G85)-((SUM('Stock Opening'!$C85:$E85)+'Week 1'!$C85)-B85))</f>
        <v>0</v>
      </c>
      <c r="D85" s="201"/>
      <c r="E85" s="36">
        <f>IF(ISBLANK(Inventory!$A85),0,SUM('Week 2'!$E85:$G85)-((SUM('Week 1'!$E85:$G85)+'Week 2'!$C85)-D85))</f>
        <v>0</v>
      </c>
      <c r="F85" s="201"/>
      <c r="G85" s="36">
        <f>IF(ISBLANK(Inventory!$A85),0,SUM('Week 3'!$E85:$G85)-((SUM('Week 2'!$E85:$G85)+'Week 3'!$C85)-F85))</f>
        <v>0</v>
      </c>
      <c r="H85" s="201"/>
      <c r="I85" s="36">
        <f>IF(ISBLANK(Inventory!$A85),0,SUM('Week 4'!$E85:$G85)-((SUM('Week 3'!$E85:$G85)+'Week 4'!$C85)-H85))</f>
        <v>0</v>
      </c>
      <c r="J85" s="201"/>
      <c r="K85" s="36">
        <f>IF(ISBLANK(Inventory!$A85),0,SUM('Week 5'!$E85:$G85)-((SUM('Week 4'!$E85:$G85)+'Week 5'!$C85)-J85))</f>
        <v>0</v>
      </c>
      <c r="L85" s="36">
        <f>IF(ISBLANK(Inventory!A85),0,SUM(B85,D85,F85,H85,J85))</f>
        <v>0</v>
      </c>
      <c r="M85" s="36">
        <f>IF(ISBLANK(Inventory!A85),0,SUM(C85,E85,G85,I85,K85))</f>
        <v>0</v>
      </c>
      <c r="N85" s="35" t="str">
        <f>IF(OR(ISBLANK(O85),O85=0),"",Settings!$B$14)</f>
        <v/>
      </c>
      <c r="O85" s="30">
        <f>IF(ISBLANK(Inventory!A85),0,M85*Inventory!J85)</f>
        <v>0</v>
      </c>
    </row>
    <row r="86" spans="1:15" s="29" customFormat="1" ht="15" customHeight="1">
      <c r="A86" s="31" t="str">
        <f>IF(Inventory!A86&gt;0,Inventory!A86,"")</f>
        <v>Pinot Grigio</v>
      </c>
      <c r="B86" s="201"/>
      <c r="C86" s="36">
        <f>IF(ISBLANK(Inventory!$A86),0,SUM('Week 1'!$E86:$G86)-((SUM('Stock Opening'!$C86:$E86)+'Week 1'!$C86)-B86))</f>
        <v>0</v>
      </c>
      <c r="D86" s="201"/>
      <c r="E86" s="36">
        <f>IF(ISBLANK(Inventory!$A86),0,SUM('Week 2'!$E86:$G86)-((SUM('Week 1'!$E86:$G86)+'Week 2'!$C86)-D86))</f>
        <v>0</v>
      </c>
      <c r="F86" s="201"/>
      <c r="G86" s="36">
        <f>IF(ISBLANK(Inventory!$A86),0,SUM('Week 3'!$E86:$G86)-((SUM('Week 2'!$E86:$G86)+'Week 3'!$C86)-F86))</f>
        <v>0</v>
      </c>
      <c r="H86" s="201"/>
      <c r="I86" s="36">
        <f>IF(ISBLANK(Inventory!$A86),0,SUM('Week 4'!$E86:$G86)-((SUM('Week 3'!$E86:$G86)+'Week 4'!$C86)-H86))</f>
        <v>0</v>
      </c>
      <c r="J86" s="201"/>
      <c r="K86" s="36">
        <f>IF(ISBLANK(Inventory!$A86),0,SUM('Week 5'!$E86:$G86)-((SUM('Week 4'!$E86:$G86)+'Week 5'!$C86)-J86))</f>
        <v>0</v>
      </c>
      <c r="L86" s="36">
        <f>IF(ISBLANK(Inventory!A86),0,SUM(B86,D86,F86,H86,J86))</f>
        <v>0</v>
      </c>
      <c r="M86" s="36">
        <f>IF(ISBLANK(Inventory!A86),0,SUM(C86,E86,G86,I86,K86))</f>
        <v>0</v>
      </c>
      <c r="N86" s="35" t="str">
        <f>IF(OR(ISBLANK(O86),O86=0),"",Settings!$B$14)</f>
        <v/>
      </c>
      <c r="O86" s="30">
        <f>IF(ISBLANK(Inventory!A86),0,M86*Inventory!J86)</f>
        <v>0</v>
      </c>
    </row>
    <row r="87" spans="1:15" s="29" customFormat="1" ht="15" customHeight="1">
      <c r="A87" s="31" t="str">
        <f>IF(Inventory!A87&gt;0,Inventory!A87,"")</f>
        <v>Faustino Crianza</v>
      </c>
      <c r="B87" s="201"/>
      <c r="C87" s="36">
        <f>IF(ISBLANK(Inventory!$A87),0,SUM('Week 1'!$E87:$G87)-((SUM('Stock Opening'!$C87:$E87)+'Week 1'!$C87)-B87))</f>
        <v>0</v>
      </c>
      <c r="D87" s="201"/>
      <c r="E87" s="36">
        <f>IF(ISBLANK(Inventory!$A87),0,SUM('Week 2'!$E87:$G87)-((SUM('Week 1'!$E87:$G87)+'Week 2'!$C87)-D87))</f>
        <v>0</v>
      </c>
      <c r="F87" s="201"/>
      <c r="G87" s="36">
        <f>IF(ISBLANK(Inventory!$A87),0,SUM('Week 3'!$E87:$G87)-((SUM('Week 2'!$E87:$G87)+'Week 3'!$C87)-F87))</f>
        <v>0</v>
      </c>
      <c r="H87" s="201"/>
      <c r="I87" s="36">
        <f>IF(ISBLANK(Inventory!$A87),0,SUM('Week 4'!$E87:$G87)-((SUM('Week 3'!$E87:$G87)+'Week 4'!$C87)-H87))</f>
        <v>0</v>
      </c>
      <c r="J87" s="201"/>
      <c r="K87" s="36">
        <f>IF(ISBLANK(Inventory!$A87),0,SUM('Week 5'!$E87:$G87)-((SUM('Week 4'!$E87:$G87)+'Week 5'!$C87)-J87))</f>
        <v>0</v>
      </c>
      <c r="L87" s="36">
        <f>IF(ISBLANK(Inventory!A87),0,SUM(B87,D87,F87,H87,J87))</f>
        <v>0</v>
      </c>
      <c r="M87" s="36">
        <f>IF(ISBLANK(Inventory!A87),0,SUM(C87,E87,G87,I87,K87))</f>
        <v>0</v>
      </c>
      <c r="N87" s="35" t="str">
        <f>IF(OR(ISBLANK(O87),O87=0),"",Settings!$B$14)</f>
        <v/>
      </c>
      <c r="O87" s="30">
        <f>IF(ISBLANK(Inventory!A87),0,M87*Inventory!J87)</f>
        <v>0</v>
      </c>
    </row>
    <row r="88" spans="1:15" s="29" customFormat="1" ht="15" customHeight="1">
      <c r="A88" s="31" t="str">
        <f>IF(Inventory!A88&gt;0,Inventory!A88,"")</f>
        <v>35º South White</v>
      </c>
      <c r="B88" s="201"/>
      <c r="C88" s="36">
        <f>IF(ISBLANK(Inventory!$A88),0,SUM('Week 1'!$E88:$G88)-((SUM('Stock Opening'!$C88:$E88)+'Week 1'!$C88)-B88))</f>
        <v>0</v>
      </c>
      <c r="D88" s="201"/>
      <c r="E88" s="36">
        <f>IF(ISBLANK(Inventory!$A88),0,SUM('Week 2'!$E88:$G88)-((SUM('Week 1'!$E88:$G88)+'Week 2'!$C88)-D88))</f>
        <v>0</v>
      </c>
      <c r="F88" s="201"/>
      <c r="G88" s="36">
        <f>IF(ISBLANK(Inventory!$A88),0,SUM('Week 3'!$E88:$G88)-((SUM('Week 2'!$E88:$G88)+'Week 3'!$C88)-F88))</f>
        <v>0</v>
      </c>
      <c r="H88" s="201"/>
      <c r="I88" s="36">
        <f>IF(ISBLANK(Inventory!$A88),0,SUM('Week 4'!$E88:$G88)-((SUM('Week 3'!$E88:$G88)+'Week 4'!$C88)-H88))</f>
        <v>0</v>
      </c>
      <c r="J88" s="201"/>
      <c r="K88" s="36">
        <f>IF(ISBLANK(Inventory!$A88),0,SUM('Week 5'!$E88:$G88)-((SUM('Week 4'!$E88:$G88)+'Week 5'!$C88)-J88))</f>
        <v>0</v>
      </c>
      <c r="L88" s="36">
        <f>IF(ISBLANK(Inventory!A88),0,SUM(B88,D88,F88,H88,J88))</f>
        <v>0</v>
      </c>
      <c r="M88" s="36">
        <f>IF(ISBLANK(Inventory!A88),0,SUM(C88,E88,G88,I88,K88))</f>
        <v>0</v>
      </c>
      <c r="N88" s="35" t="str">
        <f>IF(OR(ISBLANK(O88),O88=0),"",Settings!$B$14)</f>
        <v/>
      </c>
      <c r="O88" s="30">
        <f>IF(ISBLANK(Inventory!A88),0,M88*Inventory!J88)</f>
        <v>0</v>
      </c>
    </row>
    <row r="89" spans="1:15" s="29" customFormat="1" ht="15" customHeight="1">
      <c r="A89" s="31" t="str">
        <f>IF(Inventory!A89&gt;0,Inventory!A89,"")</f>
        <v/>
      </c>
      <c r="B89" s="201"/>
      <c r="C89" s="36">
        <f>IF(ISBLANK(Inventory!$A89),0,SUM('Week 1'!$E89:$G89)-((SUM('Stock Opening'!$C89:$E89)+'Week 1'!$C89)-B89))</f>
        <v>0</v>
      </c>
      <c r="D89" s="201"/>
      <c r="E89" s="36">
        <f>IF(ISBLANK(Inventory!$A89),0,SUM('Week 2'!$E89:$G89)-((SUM('Week 1'!$E89:$G89)+'Week 2'!$C89)-D89))</f>
        <v>0</v>
      </c>
      <c r="F89" s="201"/>
      <c r="G89" s="36">
        <f>IF(ISBLANK(Inventory!$A89),0,SUM('Week 3'!$E89:$G89)-((SUM('Week 2'!$E89:$G89)+'Week 3'!$C89)-F89))</f>
        <v>0</v>
      </c>
      <c r="H89" s="201"/>
      <c r="I89" s="36">
        <f>IF(ISBLANK(Inventory!$A89),0,SUM('Week 4'!$E89:$G89)-((SUM('Week 3'!$E89:$G89)+'Week 4'!$C89)-H89))</f>
        <v>0</v>
      </c>
      <c r="J89" s="201"/>
      <c r="K89" s="36">
        <f>IF(ISBLANK(Inventory!$A89),0,SUM('Week 5'!$E89:$G89)-((SUM('Week 4'!$E89:$G89)+'Week 5'!$C89)-J89))</f>
        <v>0</v>
      </c>
      <c r="L89" s="36">
        <f>IF(ISBLANK(Inventory!A89),0,SUM(B89,D89,F89,H89,J89))</f>
        <v>0</v>
      </c>
      <c r="M89" s="36">
        <f>IF(ISBLANK(Inventory!A89),0,SUM(C89,E89,G89,I89,K89))</f>
        <v>0</v>
      </c>
      <c r="N89" s="35" t="str">
        <f>IF(OR(ISBLANK(O89),O89=0),"",Settings!$B$14)</f>
        <v/>
      </c>
      <c r="O89" s="30">
        <f>IF(ISBLANK(Inventory!A89),0,M89*Inventory!J89)</f>
        <v>0</v>
      </c>
    </row>
    <row r="90" spans="1:15" s="29" customFormat="1" ht="15" customHeight="1">
      <c r="A90" s="31" t="str">
        <f>IF(Inventory!A90&gt;0,Inventory!A90,"")</f>
        <v/>
      </c>
      <c r="B90" s="201"/>
      <c r="C90" s="36">
        <f>IF(ISBLANK(Inventory!$A90),0,SUM('Week 1'!$E90:$G90)-((SUM('Stock Opening'!$C90:$E90)+'Week 1'!$C90)-B90))</f>
        <v>0</v>
      </c>
      <c r="D90" s="201"/>
      <c r="E90" s="36">
        <f>IF(ISBLANK(Inventory!$A90),0,SUM('Week 2'!$E90:$G90)-((SUM('Week 1'!$E90:$G90)+'Week 2'!$C90)-D90))</f>
        <v>0</v>
      </c>
      <c r="F90" s="201"/>
      <c r="G90" s="36">
        <f>IF(ISBLANK(Inventory!$A90),0,SUM('Week 3'!$E90:$G90)-((SUM('Week 2'!$E90:$G90)+'Week 3'!$C90)-F90))</f>
        <v>0</v>
      </c>
      <c r="H90" s="201"/>
      <c r="I90" s="36">
        <f>IF(ISBLANK(Inventory!$A90),0,SUM('Week 4'!$E90:$G90)-((SUM('Week 3'!$E90:$G90)+'Week 4'!$C90)-H90))</f>
        <v>0</v>
      </c>
      <c r="J90" s="201"/>
      <c r="K90" s="36">
        <f>IF(ISBLANK(Inventory!$A90),0,SUM('Week 5'!$E90:$G90)-((SUM('Week 4'!$E90:$G90)+'Week 5'!$C90)-J90))</f>
        <v>0</v>
      </c>
      <c r="L90" s="36">
        <f>IF(ISBLANK(Inventory!A90),0,SUM(B90,D90,F90,H90,J90))</f>
        <v>0</v>
      </c>
      <c r="M90" s="36">
        <f>IF(ISBLANK(Inventory!A90),0,SUM(C90,E90,G90,I90,K90))</f>
        <v>0</v>
      </c>
      <c r="N90" s="35" t="str">
        <f>IF(OR(ISBLANK(O90),O90=0),"",Settings!$B$14)</f>
        <v/>
      </c>
      <c r="O90" s="30">
        <f>IF(ISBLANK(Inventory!A90),0,M90*Inventory!J90)</f>
        <v>0</v>
      </c>
    </row>
    <row r="91" spans="1:15" s="29" customFormat="1" ht="15" customHeight="1">
      <c r="A91" s="31" t="str">
        <f>IF(Inventory!A91&gt;0,Inventory!A91,"")</f>
        <v/>
      </c>
      <c r="B91" s="201"/>
      <c r="C91" s="36">
        <f>IF(ISBLANK(Inventory!$A91),0,SUM('Week 1'!$E91:$G91)-((SUM('Stock Opening'!$C91:$E91)+'Week 1'!$C91)-B91))</f>
        <v>0</v>
      </c>
      <c r="D91" s="201"/>
      <c r="E91" s="36">
        <f>IF(ISBLANK(Inventory!$A91),0,SUM('Week 2'!$E91:$G91)-((SUM('Week 1'!$E91:$G91)+'Week 2'!$C91)-D91))</f>
        <v>0</v>
      </c>
      <c r="F91" s="201"/>
      <c r="G91" s="36">
        <f>IF(ISBLANK(Inventory!$A91),0,SUM('Week 3'!$E91:$G91)-((SUM('Week 2'!$E91:$G91)+'Week 3'!$C91)-F91))</f>
        <v>0</v>
      </c>
      <c r="H91" s="201"/>
      <c r="I91" s="36">
        <f>IF(ISBLANK(Inventory!$A91),0,SUM('Week 4'!$E91:$G91)-((SUM('Week 3'!$E91:$G91)+'Week 4'!$C91)-H91))</f>
        <v>0</v>
      </c>
      <c r="J91" s="201"/>
      <c r="K91" s="36">
        <f>IF(ISBLANK(Inventory!$A91),0,SUM('Week 5'!$E91:$G91)-((SUM('Week 4'!$E91:$G91)+'Week 5'!$C91)-J91))</f>
        <v>0</v>
      </c>
      <c r="L91" s="36">
        <f>IF(ISBLANK(Inventory!A91),0,SUM(B91,D91,F91,H91,J91))</f>
        <v>0</v>
      </c>
      <c r="M91" s="36">
        <f>IF(ISBLANK(Inventory!A91),0,SUM(C91,E91,G91,I91,K91))</f>
        <v>0</v>
      </c>
      <c r="N91" s="35" t="str">
        <f>IF(OR(ISBLANK(O91),O91=0),"",Settings!$B$14)</f>
        <v/>
      </c>
      <c r="O91" s="30">
        <f>IF(ISBLANK(Inventory!A91),0,M91*Inventory!J91)</f>
        <v>0</v>
      </c>
    </row>
    <row r="92" spans="1:15" s="29" customFormat="1" ht="15" customHeight="1">
      <c r="A92" s="31" t="str">
        <f>IF(Inventory!A92&gt;0,Inventory!A92,"")</f>
        <v/>
      </c>
      <c r="B92" s="201"/>
      <c r="C92" s="36">
        <f>IF(ISBLANK(Inventory!$A92),0,SUM('Week 1'!$E92:$G92)-((SUM('Stock Opening'!$C92:$E92)+'Week 1'!$C92)-B92))</f>
        <v>0</v>
      </c>
      <c r="D92" s="201"/>
      <c r="E92" s="36">
        <f>IF(ISBLANK(Inventory!$A92),0,SUM('Week 2'!$E92:$G92)-((SUM('Week 1'!$E92:$G92)+'Week 2'!$C92)-D92))</f>
        <v>0</v>
      </c>
      <c r="F92" s="201"/>
      <c r="G92" s="36">
        <f>IF(ISBLANK(Inventory!$A92),0,SUM('Week 3'!$E92:$G92)-((SUM('Week 2'!$E92:$G92)+'Week 3'!$C92)-F92))</f>
        <v>0</v>
      </c>
      <c r="H92" s="201"/>
      <c r="I92" s="36">
        <f>IF(ISBLANK(Inventory!$A92),0,SUM('Week 4'!$E92:$G92)-((SUM('Week 3'!$E92:$G92)+'Week 4'!$C92)-H92))</f>
        <v>0</v>
      </c>
      <c r="J92" s="201"/>
      <c r="K92" s="36">
        <f>IF(ISBLANK(Inventory!$A92),0,SUM('Week 5'!$E92:$G92)-((SUM('Week 4'!$E92:$G92)+'Week 5'!$C92)-J92))</f>
        <v>0</v>
      </c>
      <c r="L92" s="36">
        <f>IF(ISBLANK(Inventory!A92),0,SUM(B92,D92,F92,H92,J92))</f>
        <v>0</v>
      </c>
      <c r="M92" s="36">
        <f>IF(ISBLANK(Inventory!A92),0,SUM(C92,E92,G92,I92,K92))</f>
        <v>0</v>
      </c>
      <c r="N92" s="35" t="str">
        <f>IF(OR(ISBLANK(O92),O92=0),"",Settings!$B$14)</f>
        <v/>
      </c>
      <c r="O92" s="30">
        <f>IF(ISBLANK(Inventory!A92),0,M92*Inventory!J92)</f>
        <v>0</v>
      </c>
    </row>
    <row r="93" spans="1:15" s="29" customFormat="1" ht="15" customHeight="1">
      <c r="A93" s="31" t="str">
        <f>IF(Inventory!A93&gt;0,Inventory!A93,"")</f>
        <v/>
      </c>
      <c r="B93" s="201"/>
      <c r="C93" s="36">
        <f>IF(ISBLANK(Inventory!$A93),0,SUM('Week 1'!$E93:$G93)-((SUM('Stock Opening'!$C93:$E93)+'Week 1'!$C93)-B93))</f>
        <v>0</v>
      </c>
      <c r="D93" s="201"/>
      <c r="E93" s="36">
        <f>IF(ISBLANK(Inventory!$A93),0,SUM('Week 2'!$E93:$G93)-((SUM('Week 1'!$E93:$G93)+'Week 2'!$C93)-D93))</f>
        <v>0</v>
      </c>
      <c r="F93" s="201"/>
      <c r="G93" s="36">
        <f>IF(ISBLANK(Inventory!$A93),0,SUM('Week 3'!$E93:$G93)-((SUM('Week 2'!$E93:$G93)+'Week 3'!$C93)-F93))</f>
        <v>0</v>
      </c>
      <c r="H93" s="201"/>
      <c r="I93" s="36">
        <f>IF(ISBLANK(Inventory!$A93),0,SUM('Week 4'!$E93:$G93)-((SUM('Week 3'!$E93:$G93)+'Week 4'!$C93)-H93))</f>
        <v>0</v>
      </c>
      <c r="J93" s="201"/>
      <c r="K93" s="36">
        <f>IF(ISBLANK(Inventory!$A93),0,SUM('Week 5'!$E93:$G93)-((SUM('Week 4'!$E93:$G93)+'Week 5'!$C93)-J93))</f>
        <v>0</v>
      </c>
      <c r="L93" s="36">
        <f>IF(ISBLANK(Inventory!A93),0,SUM(B93,D93,F93,H93,J93))</f>
        <v>0</v>
      </c>
      <c r="M93" s="36">
        <f>IF(ISBLANK(Inventory!A93),0,SUM(C93,E93,G93,I93,K93))</f>
        <v>0</v>
      </c>
      <c r="N93" s="35" t="str">
        <f>IF(OR(ISBLANK(O93),O93=0),"",Settings!$B$14)</f>
        <v/>
      </c>
      <c r="O93" s="30">
        <f>IF(ISBLANK(Inventory!A93),0,M93*Inventory!J93)</f>
        <v>0</v>
      </c>
    </row>
    <row r="94" spans="1:15" s="29" customFormat="1" ht="15" customHeight="1">
      <c r="A94" s="31" t="str">
        <f>IF(Inventory!A94&gt;0,Inventory!A94,"")</f>
        <v/>
      </c>
      <c r="B94" s="201"/>
      <c r="C94" s="36">
        <f>IF(ISBLANK(Inventory!$A94),0,SUM('Week 1'!$E94:$G94)-((SUM('Stock Opening'!$C94:$E94)+'Week 1'!$C94)-B94))</f>
        <v>0</v>
      </c>
      <c r="D94" s="201"/>
      <c r="E94" s="36">
        <f>IF(ISBLANK(Inventory!$A94),0,SUM('Week 2'!$E94:$G94)-((SUM('Week 1'!$E94:$G94)+'Week 2'!$C94)-D94))</f>
        <v>0</v>
      </c>
      <c r="F94" s="201"/>
      <c r="G94" s="36">
        <f>IF(ISBLANK(Inventory!$A94),0,SUM('Week 3'!$E94:$G94)-((SUM('Week 2'!$E94:$G94)+'Week 3'!$C94)-F94))</f>
        <v>0</v>
      </c>
      <c r="H94" s="201"/>
      <c r="I94" s="36">
        <f>IF(ISBLANK(Inventory!$A94),0,SUM('Week 4'!$E94:$G94)-((SUM('Week 3'!$E94:$G94)+'Week 4'!$C94)-H94))</f>
        <v>0</v>
      </c>
      <c r="J94" s="201"/>
      <c r="K94" s="36">
        <f>IF(ISBLANK(Inventory!$A94),0,SUM('Week 5'!$E94:$G94)-((SUM('Week 4'!$E94:$G94)+'Week 5'!$C94)-J94))</f>
        <v>0</v>
      </c>
      <c r="L94" s="36">
        <f>IF(ISBLANK(Inventory!A94),0,SUM(B94,D94,F94,H94,J94))</f>
        <v>0</v>
      </c>
      <c r="M94" s="36">
        <f>IF(ISBLANK(Inventory!A94),0,SUM(C94,E94,G94,I94,K94))</f>
        <v>0</v>
      </c>
      <c r="N94" s="35" t="str">
        <f>IF(OR(ISBLANK(O94),O94=0),"",Settings!$B$14)</f>
        <v/>
      </c>
      <c r="O94" s="30">
        <f>IF(ISBLANK(Inventory!A94),0,M94*Inventory!J94)</f>
        <v>0</v>
      </c>
    </row>
    <row r="95" spans="1:15" s="29" customFormat="1" ht="15" customHeight="1">
      <c r="A95" s="31" t="str">
        <f>IF(Inventory!A95&gt;0,Inventory!A95,"")</f>
        <v/>
      </c>
      <c r="B95" s="201"/>
      <c r="C95" s="36">
        <f>IF(ISBLANK(Inventory!$A95),0,SUM('Week 1'!$E95:$G95)-((SUM('Stock Opening'!$C95:$E95)+'Week 1'!$C95)-B95))</f>
        <v>0</v>
      </c>
      <c r="D95" s="201"/>
      <c r="E95" s="36">
        <f>IF(ISBLANK(Inventory!$A95),0,SUM('Week 2'!$E95:$G95)-((SUM('Week 1'!$E95:$G95)+'Week 2'!$C95)-D95))</f>
        <v>0</v>
      </c>
      <c r="F95" s="201"/>
      <c r="G95" s="36">
        <f>IF(ISBLANK(Inventory!$A95),0,SUM('Week 3'!$E95:$G95)-((SUM('Week 2'!$E95:$G95)+'Week 3'!$C95)-F95))</f>
        <v>0</v>
      </c>
      <c r="H95" s="201"/>
      <c r="I95" s="36">
        <f>IF(ISBLANK(Inventory!$A95),0,SUM('Week 4'!$E95:$G95)-((SUM('Week 3'!$E95:$G95)+'Week 4'!$C95)-H95))</f>
        <v>0</v>
      </c>
      <c r="J95" s="201"/>
      <c r="K95" s="36">
        <f>IF(ISBLANK(Inventory!$A95),0,SUM('Week 5'!$E95:$G95)-((SUM('Week 4'!$E95:$G95)+'Week 5'!$C95)-J95))</f>
        <v>0</v>
      </c>
      <c r="L95" s="36">
        <f>IF(ISBLANK(Inventory!A95),0,SUM(B95,D95,F95,H95,J95))</f>
        <v>0</v>
      </c>
      <c r="M95" s="36">
        <f>IF(ISBLANK(Inventory!A95),0,SUM(C95,E95,G95,I95,K95))</f>
        <v>0</v>
      </c>
      <c r="N95" s="35" t="str">
        <f>IF(OR(ISBLANK(O95),O95=0),"",Settings!$B$14)</f>
        <v/>
      </c>
      <c r="O95" s="30">
        <f>IF(ISBLANK(Inventory!A95),0,M95*Inventory!J95)</f>
        <v>0</v>
      </c>
    </row>
    <row r="96" spans="1:15" s="29" customFormat="1" ht="15" customHeight="1">
      <c r="A96" s="31" t="str">
        <f>IF(Inventory!A96&gt;0,Inventory!A96,"")</f>
        <v/>
      </c>
      <c r="B96" s="201"/>
      <c r="C96" s="36">
        <f>IF(ISBLANK(Inventory!$A96),0,SUM('Week 1'!$E96:$G96)-((SUM('Stock Opening'!$C96:$E96)+'Week 1'!$C96)-B96))</f>
        <v>0</v>
      </c>
      <c r="D96" s="201"/>
      <c r="E96" s="36">
        <f>IF(ISBLANK(Inventory!$A96),0,SUM('Week 2'!$E96:$G96)-((SUM('Week 1'!$E96:$G96)+'Week 2'!$C96)-D96))</f>
        <v>0</v>
      </c>
      <c r="F96" s="201"/>
      <c r="G96" s="36">
        <f>IF(ISBLANK(Inventory!$A96),0,SUM('Week 3'!$E96:$G96)-((SUM('Week 2'!$E96:$G96)+'Week 3'!$C96)-F96))</f>
        <v>0</v>
      </c>
      <c r="H96" s="201"/>
      <c r="I96" s="36">
        <f>IF(ISBLANK(Inventory!$A96),0,SUM('Week 4'!$E96:$G96)-((SUM('Week 3'!$E96:$G96)+'Week 4'!$C96)-H96))</f>
        <v>0</v>
      </c>
      <c r="J96" s="201"/>
      <c r="K96" s="36">
        <f>IF(ISBLANK(Inventory!$A96),0,SUM('Week 5'!$E96:$G96)-((SUM('Week 4'!$E96:$G96)+'Week 5'!$C96)-J96))</f>
        <v>0</v>
      </c>
      <c r="L96" s="36">
        <f>IF(ISBLANK(Inventory!A96),0,SUM(B96,D96,F96,H96,J96))</f>
        <v>0</v>
      </c>
      <c r="M96" s="36">
        <f>IF(ISBLANK(Inventory!A96),0,SUM(C96,E96,G96,I96,K96))</f>
        <v>0</v>
      </c>
      <c r="N96" s="35" t="str">
        <f>IF(OR(ISBLANK(O96),O96=0),"",Settings!$B$14)</f>
        <v/>
      </c>
      <c r="O96" s="30">
        <f>IF(ISBLANK(Inventory!A96),0,M96*Inventory!J96)</f>
        <v>0</v>
      </c>
    </row>
    <row r="97" spans="1:15" s="29" customFormat="1" ht="15" customHeight="1">
      <c r="A97" s="31" t="str">
        <f>IF(Inventory!A97&gt;0,Inventory!A97,"")</f>
        <v/>
      </c>
      <c r="B97" s="201"/>
      <c r="C97" s="36">
        <f>IF(ISBLANK(Inventory!$A97),0,SUM('Week 1'!$E97:$G97)-((SUM('Stock Opening'!$C97:$E97)+'Week 1'!$C97)-B97))</f>
        <v>0</v>
      </c>
      <c r="D97" s="201"/>
      <c r="E97" s="36">
        <f>IF(ISBLANK(Inventory!$A97),0,SUM('Week 2'!$E97:$G97)-((SUM('Week 1'!$E97:$G97)+'Week 2'!$C97)-D97))</f>
        <v>0</v>
      </c>
      <c r="F97" s="201"/>
      <c r="G97" s="36">
        <f>IF(ISBLANK(Inventory!$A97),0,SUM('Week 3'!$E97:$G97)-((SUM('Week 2'!$E97:$G97)+'Week 3'!$C97)-F97))</f>
        <v>0</v>
      </c>
      <c r="H97" s="201"/>
      <c r="I97" s="36">
        <f>IF(ISBLANK(Inventory!$A97),0,SUM('Week 4'!$E97:$G97)-((SUM('Week 3'!$E97:$G97)+'Week 4'!$C97)-H97))</f>
        <v>0</v>
      </c>
      <c r="J97" s="201"/>
      <c r="K97" s="36">
        <f>IF(ISBLANK(Inventory!$A97),0,SUM('Week 5'!$E97:$G97)-((SUM('Week 4'!$E97:$G97)+'Week 5'!$C97)-J97))</f>
        <v>0</v>
      </c>
      <c r="L97" s="36">
        <f>IF(ISBLANK(Inventory!A97),0,SUM(B97,D97,F97,H97,J97))</f>
        <v>0</v>
      </c>
      <c r="M97" s="36">
        <f>IF(ISBLANK(Inventory!A97),0,SUM(C97,E97,G97,I97,K97))</f>
        <v>0</v>
      </c>
      <c r="N97" s="35" t="str">
        <f>IF(OR(ISBLANK(O97),O97=0),"",Settings!$B$14)</f>
        <v/>
      </c>
      <c r="O97" s="30">
        <f>IF(ISBLANK(Inventory!A97),0,M97*Inventory!J97)</f>
        <v>0</v>
      </c>
    </row>
    <row r="98" spans="1:15" ht="6.95" customHeight="1">
      <c r="A98" s="24"/>
      <c r="B98" s="69"/>
      <c r="C98" s="69"/>
      <c r="D98" s="69"/>
      <c r="E98" s="69"/>
      <c r="F98" s="69"/>
      <c r="G98" s="69"/>
      <c r="H98" s="69"/>
      <c r="I98" s="69"/>
      <c r="J98" s="69"/>
      <c r="K98" s="69"/>
      <c r="L98" s="69"/>
      <c r="M98" s="69"/>
      <c r="N98" s="69"/>
      <c r="O98" s="70"/>
    </row>
    <row r="99" spans="1:15" s="50" customFormat="1" ht="18" customHeight="1" thickBot="1">
      <c r="A99" s="78" t="str">
        <f>Inventory!A99</f>
        <v>DRAUGHT BEER</v>
      </c>
      <c r="B99" s="253" t="s">
        <v>170</v>
      </c>
      <c r="C99" s="253"/>
      <c r="D99" s="253" t="s">
        <v>170</v>
      </c>
      <c r="E99" s="253"/>
      <c r="F99" s="253" t="s">
        <v>170</v>
      </c>
      <c r="G99" s="253"/>
      <c r="H99" s="253" t="s">
        <v>170</v>
      </c>
      <c r="I99" s="253"/>
      <c r="J99" s="253" t="s">
        <v>170</v>
      </c>
      <c r="K99" s="253"/>
      <c r="L99" s="253" t="s">
        <v>170</v>
      </c>
      <c r="M99" s="253"/>
      <c r="N99" s="79"/>
      <c r="O99" s="80"/>
    </row>
    <row r="100" spans="1:15" ht="6.95" customHeight="1" thickTop="1">
      <c r="A100" s="76"/>
      <c r="B100" s="71"/>
      <c r="C100" s="71"/>
      <c r="D100" s="71"/>
      <c r="E100" s="71"/>
      <c r="F100" s="71"/>
      <c r="G100" s="71"/>
      <c r="H100" s="71"/>
      <c r="I100" s="71"/>
      <c r="J100" s="71"/>
      <c r="K100" s="71"/>
      <c r="L100" s="71"/>
      <c r="M100" s="71"/>
      <c r="N100" s="71"/>
      <c r="O100" s="68"/>
    </row>
    <row r="101" spans="1:15" s="29" customFormat="1" ht="15" customHeight="1">
      <c r="A101" s="31" t="str">
        <f>IF(Inventory!A101&gt;0,Inventory!A101,"")</f>
        <v>Boddingtons</v>
      </c>
      <c r="B101" s="201"/>
      <c r="C101" s="36">
        <f>IF(ISBLANK(Inventory!$A101),0,SUM('Week 1'!$E101:$G101)*Inventory!$D101-((SUM('Stock Opening'!$C101:$E101)+'Week 1'!$C101)*Inventory!$D101-B101))</f>
        <v>-176</v>
      </c>
      <c r="D101" s="201"/>
      <c r="E101" s="36">
        <f>IF(ISBLANK(Inventory!$A101),0,SUM('Week 2'!$E101:$G101)*Inventory!$D101-((SUM('Week 1'!$E101:$G101)+'Week 2'!$C101)*Inventory!$D101-D101))</f>
        <v>-176</v>
      </c>
      <c r="F101" s="201"/>
      <c r="G101" s="36">
        <f>IF(ISBLANK(Inventory!$A101),0,SUM('Week 3'!$E101:$G101)*Inventory!$D101-((SUM('Week 2'!$E101:$G101)+'Week 3'!$C101)*Inventory!$D101-F101))</f>
        <v>-176</v>
      </c>
      <c r="H101" s="201"/>
      <c r="I101" s="36">
        <f>IF(ISBLANK(Inventory!$A101),0,SUM('Week 4'!$E101:$G101)*Inventory!$D101-((SUM('Week 3'!$E101:$G101)+'Week 4'!$C101)*Inventory!$D101-H101))</f>
        <v>-176</v>
      </c>
      <c r="J101" s="201"/>
      <c r="K101" s="36">
        <f>IF(ISBLANK(Inventory!$A101),0,SUM('Week 5'!$E101:$G101)*Inventory!$D101-((SUM('Week 4'!$E101:$G101)+'Week 5'!$C101)*Inventory!$D101-J101))</f>
        <v>-176</v>
      </c>
      <c r="L101" s="36">
        <f>IF(ISBLANK(Inventory!A101),0,SUM(B101,D101,F101,H101,J101))</f>
        <v>0</v>
      </c>
      <c r="M101" s="36">
        <f>IF(ISBLANK(Inventory!A101),0,SUM(C101,E101,G101,I101,K101))</f>
        <v>-880</v>
      </c>
      <c r="N101" s="35" t="str">
        <f>IF(OR(ISBLANK(O101),O101=0),"",Settings!$B$14)</f>
        <v>$</v>
      </c>
      <c r="O101" s="30">
        <f>IF(ISBLANK(Inventory!A101),0,M101*Inventory!J101)</f>
        <v>-2358.4</v>
      </c>
    </row>
    <row r="102" spans="1:15" s="29" customFormat="1" ht="15" customHeight="1">
      <c r="A102" s="31" t="str">
        <f>IF(Inventory!A102&gt;0,Inventory!A102,"")</f>
        <v>Murphy's</v>
      </c>
      <c r="B102" s="201"/>
      <c r="C102" s="36">
        <f>IF(ISBLANK(Inventory!$A102),0,SUM('Week 1'!$E102:$G102)*Inventory!$D102-((SUM('Stock Opening'!$C102:$E102)+'Week 1'!$C102)*Inventory!$D102-B102))</f>
        <v>-56</v>
      </c>
      <c r="D102" s="201"/>
      <c r="E102" s="36">
        <f>IF(ISBLANK(Inventory!$A102),0,SUM('Week 2'!$E102:$G102)*Inventory!$D102-((SUM('Week 1'!$E102:$G102)+'Week 2'!$C102)*Inventory!$D102-D102))</f>
        <v>-16</v>
      </c>
      <c r="F102" s="201"/>
      <c r="G102" s="36">
        <f>IF(ISBLANK(Inventory!$A102),0,SUM('Week 3'!$E102:$G102)*Inventory!$D102-((SUM('Week 2'!$E102:$G102)+'Week 3'!$C102)*Inventory!$D102-F102))</f>
        <v>-80</v>
      </c>
      <c r="H102" s="201"/>
      <c r="I102" s="36">
        <f>IF(ISBLANK(Inventory!$A102),0,SUM('Week 4'!$E102:$G102)*Inventory!$D102-((SUM('Week 3'!$E102:$G102)+'Week 4'!$C102)*Inventory!$D102-H102))</f>
        <v>-80</v>
      </c>
      <c r="J102" s="201"/>
      <c r="K102" s="36">
        <f>IF(ISBLANK(Inventory!$A102),0,SUM('Week 5'!$E102:$G102)*Inventory!$D102-((SUM('Week 4'!$E102:$G102)+'Week 5'!$C102)*Inventory!$D102-J102))</f>
        <v>-80</v>
      </c>
      <c r="L102" s="36">
        <f>IF(ISBLANK(Inventory!A102),0,SUM(B102,D102,F102,H102,J102))</f>
        <v>0</v>
      </c>
      <c r="M102" s="36">
        <f>IF(ISBLANK(Inventory!A102),0,SUM(C102,E102,G102,I102,K102))</f>
        <v>-312</v>
      </c>
      <c r="N102" s="35" t="str">
        <f>IF(OR(ISBLANK(O102),O102=0),"",Settings!$B$14)</f>
        <v>$</v>
      </c>
      <c r="O102" s="30">
        <f>IF(ISBLANK(Inventory!A102),0,M102*Inventory!J102)</f>
        <v>-911.04</v>
      </c>
    </row>
    <row r="103" spans="1:15" s="29" customFormat="1" ht="15" customHeight="1">
      <c r="A103" s="31" t="str">
        <f>IF(Inventory!A103&gt;0,Inventory!A103,"")</f>
        <v/>
      </c>
      <c r="B103" s="201"/>
      <c r="C103" s="36">
        <f>IF(ISBLANK(Inventory!$A103),0,SUM('Week 1'!$E103:$G103)*Inventory!$D103-((SUM('Stock Opening'!$C103:$E103)+'Week 1'!$C103)*Inventory!$D103-B103))</f>
        <v>0</v>
      </c>
      <c r="D103" s="201"/>
      <c r="E103" s="36">
        <f>IF(ISBLANK(Inventory!$A103),0,SUM('Week 2'!$E103:$G103)*Inventory!$D103-((SUM('Week 1'!$E103:$G103)+'Week 2'!$C103)*Inventory!$D103-D103))</f>
        <v>0</v>
      </c>
      <c r="F103" s="201"/>
      <c r="G103" s="36">
        <f>IF(ISBLANK(Inventory!$A103),0,SUM('Week 3'!$E103:$G103)*Inventory!$D103-((SUM('Week 2'!$E103:$G103)+'Week 3'!$C103)*Inventory!$D103-F103))</f>
        <v>0</v>
      </c>
      <c r="H103" s="201"/>
      <c r="I103" s="36">
        <f>IF(ISBLANK(Inventory!$A103),0,SUM('Week 4'!$E103:$G103)*Inventory!$D103-((SUM('Week 3'!$E103:$G103)+'Week 4'!$C103)*Inventory!$D103-H103))</f>
        <v>0</v>
      </c>
      <c r="J103" s="201"/>
      <c r="K103" s="36">
        <f>IF(ISBLANK(Inventory!$A103),0,SUM('Week 5'!$E103:$G103)*Inventory!$D103-((SUM('Week 4'!$E103:$G103)+'Week 5'!$C103)*Inventory!$D103-J103))</f>
        <v>0</v>
      </c>
      <c r="L103" s="36">
        <f>IF(ISBLANK(Inventory!A103),0,SUM(B103,D103,F103,H103,J103))</f>
        <v>0</v>
      </c>
      <c r="M103" s="36">
        <f>IF(ISBLANK(Inventory!A103),0,SUM(C103,E103,G103,I103,K103))</f>
        <v>0</v>
      </c>
      <c r="N103" s="35" t="str">
        <f>IF(OR(ISBLANK(O103),O103=0),"",Settings!$B$14)</f>
        <v/>
      </c>
      <c r="O103" s="30">
        <f>IF(ISBLANK(Inventory!A103),0,M103*Inventory!J103)</f>
        <v>0</v>
      </c>
    </row>
    <row r="104" spans="1:15" s="29" customFormat="1" ht="15" customHeight="1">
      <c r="A104" s="31" t="str">
        <f>IF(Inventory!A104&gt;0,Inventory!A104,"")</f>
        <v/>
      </c>
      <c r="B104" s="201"/>
      <c r="C104" s="36">
        <f>IF(ISBLANK(Inventory!$A104),0,SUM('Week 1'!$E104:$G104)*Inventory!$D104-((SUM('Stock Opening'!$C104:$E104)+'Week 1'!$C104)*Inventory!$D104-B104))</f>
        <v>0</v>
      </c>
      <c r="D104" s="201"/>
      <c r="E104" s="36">
        <f>IF(ISBLANK(Inventory!$A104),0,SUM('Week 2'!$E104:$G104)*Inventory!$D104-((SUM('Week 1'!$E104:$G104)+'Week 2'!$C104)*Inventory!$D104-D104))</f>
        <v>0</v>
      </c>
      <c r="F104" s="201"/>
      <c r="G104" s="36">
        <f>IF(ISBLANK(Inventory!$A104),0,SUM('Week 3'!$E104:$G104)*Inventory!$D104-((SUM('Week 2'!$E104:$G104)+'Week 3'!$C104)*Inventory!$D104-F104))</f>
        <v>0</v>
      </c>
      <c r="H104" s="201"/>
      <c r="I104" s="36">
        <f>IF(ISBLANK(Inventory!$A104),0,SUM('Week 4'!$E104:$G104)*Inventory!$D104-((SUM('Week 3'!$E104:$G104)+'Week 4'!$C104)*Inventory!$D104-H104))</f>
        <v>0</v>
      </c>
      <c r="J104" s="201"/>
      <c r="K104" s="36">
        <f>IF(ISBLANK(Inventory!$A104),0,SUM('Week 5'!$E104:$G104)*Inventory!$D104-((SUM('Week 4'!$E104:$G104)+'Week 5'!$C104)*Inventory!$D104-J104))</f>
        <v>0</v>
      </c>
      <c r="L104" s="36">
        <f>IF(ISBLANK(Inventory!A104),0,SUM(B104,D104,F104,H104,J104))</f>
        <v>0</v>
      </c>
      <c r="M104" s="36">
        <f>IF(ISBLANK(Inventory!A104),0,SUM(C104,E104,G104,I104,K104))</f>
        <v>0</v>
      </c>
      <c r="N104" s="35" t="str">
        <f>IF(OR(ISBLANK(O104),O104=0),"",Settings!$B$14)</f>
        <v/>
      </c>
      <c r="O104" s="30">
        <f>IF(ISBLANK(Inventory!A104),0,M104*Inventory!J104)</f>
        <v>0</v>
      </c>
    </row>
    <row r="105" spans="1:15" s="29" customFormat="1" ht="15" customHeight="1">
      <c r="A105" s="31" t="str">
        <f>IF(Inventory!A105&gt;0,Inventory!A105,"")</f>
        <v/>
      </c>
      <c r="B105" s="201"/>
      <c r="C105" s="36">
        <f>IF(ISBLANK(Inventory!$A105),0,SUM('Week 1'!$E105:$G105)*Inventory!$D105-((SUM('Stock Opening'!$C105:$E105)+'Week 1'!$C105)*Inventory!$D105-B105))</f>
        <v>0</v>
      </c>
      <c r="D105" s="201"/>
      <c r="E105" s="36">
        <f>IF(ISBLANK(Inventory!$A105),0,SUM('Week 2'!$E105:$G105)*Inventory!$D105-((SUM('Week 1'!$E105:$G105)+'Week 2'!$C105)*Inventory!$D105-D105))</f>
        <v>0</v>
      </c>
      <c r="F105" s="201"/>
      <c r="G105" s="36">
        <f>IF(ISBLANK(Inventory!$A105),0,SUM('Week 3'!$E105:$G105)*Inventory!$D105-((SUM('Week 2'!$E105:$G105)+'Week 3'!$C105)*Inventory!$D105-F105))</f>
        <v>0</v>
      </c>
      <c r="H105" s="201"/>
      <c r="I105" s="36">
        <f>IF(ISBLANK(Inventory!$A105),0,SUM('Week 4'!$E105:$G105)*Inventory!$D105-((SUM('Week 3'!$E105:$G105)+'Week 4'!$C105)*Inventory!$D105-H105))</f>
        <v>0</v>
      </c>
      <c r="J105" s="201"/>
      <c r="K105" s="36">
        <f>IF(ISBLANK(Inventory!$A105),0,SUM('Week 5'!$E105:$G105)*Inventory!$D105-((SUM('Week 4'!$E105:$G105)+'Week 5'!$C105)*Inventory!$D105-J105))</f>
        <v>0</v>
      </c>
      <c r="L105" s="36">
        <f>IF(ISBLANK(Inventory!A105),0,SUM(B105,D105,F105,H105,J105))</f>
        <v>0</v>
      </c>
      <c r="M105" s="36">
        <f>IF(ISBLANK(Inventory!A105),0,SUM(C105,E105,G105,I105,K105))</f>
        <v>0</v>
      </c>
      <c r="N105" s="35" t="str">
        <f>IF(OR(ISBLANK(O105),O105=0),"",Settings!$B$14)</f>
        <v/>
      </c>
      <c r="O105" s="30">
        <f>IF(ISBLANK(Inventory!A105),0,M105*Inventory!J105)</f>
        <v>0</v>
      </c>
    </row>
    <row r="106" spans="1:15" s="29" customFormat="1" ht="15" customHeight="1">
      <c r="A106" s="31" t="str">
        <f>IF(Inventory!A106&gt;0,Inventory!A106,"")</f>
        <v/>
      </c>
      <c r="B106" s="201"/>
      <c r="C106" s="36">
        <f>IF(ISBLANK(Inventory!$A106),0,SUM('Week 1'!$E106:$G106)*Inventory!$D106-((SUM('Stock Opening'!$C106:$E106)+'Week 1'!$C106)*Inventory!$D106-B106))</f>
        <v>0</v>
      </c>
      <c r="D106" s="201"/>
      <c r="E106" s="36">
        <f>IF(ISBLANK(Inventory!$A106),0,SUM('Week 2'!$E106:$G106)*Inventory!$D106-((SUM('Week 1'!$E106:$G106)+'Week 2'!$C106)*Inventory!$D106-D106))</f>
        <v>0</v>
      </c>
      <c r="F106" s="201"/>
      <c r="G106" s="36">
        <f>IF(ISBLANK(Inventory!$A106),0,SUM('Week 3'!$E106:$G106)*Inventory!$D106-((SUM('Week 2'!$E106:$G106)+'Week 3'!$C106)*Inventory!$D106-F106))</f>
        <v>0</v>
      </c>
      <c r="H106" s="201"/>
      <c r="I106" s="36">
        <f>IF(ISBLANK(Inventory!$A106),0,SUM('Week 4'!$E106:$G106)*Inventory!$D106-((SUM('Week 3'!$E106:$G106)+'Week 4'!$C106)*Inventory!$D106-H106))</f>
        <v>0</v>
      </c>
      <c r="J106" s="201"/>
      <c r="K106" s="36">
        <f>IF(ISBLANK(Inventory!$A106),0,SUM('Week 5'!$E106:$G106)*Inventory!$D106-((SUM('Week 4'!$E106:$G106)+'Week 5'!$C106)*Inventory!$D106-J106))</f>
        <v>0</v>
      </c>
      <c r="L106" s="36">
        <f>IF(ISBLANK(Inventory!A106),0,SUM(B106,D106,F106,H106,J106))</f>
        <v>0</v>
      </c>
      <c r="M106" s="36">
        <f>IF(ISBLANK(Inventory!A106),0,SUM(C106,E106,G106,I106,K106))</f>
        <v>0</v>
      </c>
      <c r="N106" s="35" t="str">
        <f>IF(OR(ISBLANK(O106),O106=0),"",Settings!$B$14)</f>
        <v/>
      </c>
      <c r="O106" s="30">
        <f>IF(ISBLANK(Inventory!A106),0,M106*Inventory!J106)</f>
        <v>0</v>
      </c>
    </row>
    <row r="107" spans="1:15" ht="6.95" customHeight="1">
      <c r="A107" s="24"/>
      <c r="B107" s="69"/>
      <c r="C107" s="1"/>
      <c r="D107" s="69"/>
      <c r="E107" s="69"/>
      <c r="F107" s="69"/>
      <c r="G107" s="69"/>
      <c r="H107" s="69"/>
      <c r="I107" s="69"/>
      <c r="J107" s="69"/>
      <c r="K107" s="69"/>
      <c r="L107" s="69"/>
      <c r="M107" s="69"/>
      <c r="N107" s="69"/>
      <c r="O107" s="70"/>
    </row>
    <row r="108" spans="1:15" s="50" customFormat="1" ht="18" customHeight="1" thickBot="1">
      <c r="A108" s="78" t="str">
        <f>Inventory!A108</f>
        <v>DRAUGHT LAGER</v>
      </c>
      <c r="B108" s="253" t="s">
        <v>170</v>
      </c>
      <c r="C108" s="253"/>
      <c r="D108" s="253" t="s">
        <v>170</v>
      </c>
      <c r="E108" s="253"/>
      <c r="F108" s="253" t="s">
        <v>170</v>
      </c>
      <c r="G108" s="253"/>
      <c r="H108" s="253" t="s">
        <v>170</v>
      </c>
      <c r="I108" s="253"/>
      <c r="J108" s="253" t="s">
        <v>170</v>
      </c>
      <c r="K108" s="253"/>
      <c r="L108" s="253" t="s">
        <v>170</v>
      </c>
      <c r="M108" s="253"/>
      <c r="N108" s="79"/>
      <c r="O108" s="80"/>
    </row>
    <row r="109" spans="1:15" ht="6.95" customHeight="1" thickTop="1">
      <c r="A109" s="76"/>
      <c r="B109" s="71"/>
      <c r="C109" s="71"/>
      <c r="D109" s="71"/>
      <c r="E109" s="71"/>
      <c r="F109" s="71"/>
      <c r="G109" s="71"/>
      <c r="H109" s="71"/>
      <c r="I109" s="71"/>
      <c r="J109" s="71"/>
      <c r="K109" s="71"/>
      <c r="L109" s="71"/>
      <c r="M109" s="71"/>
      <c r="N109" s="71"/>
      <c r="O109" s="68"/>
    </row>
    <row r="110" spans="1:15" s="29" customFormat="1" ht="15" customHeight="1">
      <c r="A110" s="31" t="str">
        <f>IF(Inventory!A110&gt;0,Inventory!A110,"")</f>
        <v>Hoegaarden</v>
      </c>
      <c r="B110" s="201"/>
      <c r="C110" s="36">
        <f>IF(ISBLANK(Inventory!$A110),0,SUM('Week 1'!$E110:$G110)*Inventory!$D110-((SUM('Stock Opening'!$C110:$E110)+'Week 1'!$C110)*Inventory!$D110-B110))</f>
        <v>-22.720000000000013</v>
      </c>
      <c r="D110" s="201"/>
      <c r="E110" s="36">
        <f>IF(ISBLANK(Inventory!$A110),0,SUM('Week 2'!$E110:$G110)*Inventory!$D110-((SUM('Week 1'!$E110:$G110)+'Week 2'!$C110)*Inventory!$D110-D110))</f>
        <v>0</v>
      </c>
      <c r="F110" s="201"/>
      <c r="G110" s="36">
        <f>IF(ISBLANK(Inventory!$A110),0,SUM('Week 3'!$E110:$G110)*Inventory!$D110-((SUM('Week 2'!$E110:$G110)+'Week 3'!$C110)*Inventory!$D110-F110))</f>
        <v>0</v>
      </c>
      <c r="H110" s="201"/>
      <c r="I110" s="36">
        <f>IF(ISBLANK(Inventory!$A110),0,SUM('Week 4'!$E110:$G110)*Inventory!$D110-((SUM('Week 3'!$E110:$G110)+'Week 4'!$C110)*Inventory!$D110-H110))</f>
        <v>0</v>
      </c>
      <c r="J110" s="201"/>
      <c r="K110" s="36">
        <f>IF(ISBLANK(Inventory!$A110),0,SUM('Week 5'!$E110:$G110)*Inventory!$D110-((SUM('Week 4'!$E110:$G110)+'Week 5'!$C110)*Inventory!$D110-J110))</f>
        <v>0</v>
      </c>
      <c r="L110" s="36">
        <f>IF(ISBLANK(Inventory!A110),0,SUM(B110,D110,F110,H110,J110))</f>
        <v>0</v>
      </c>
      <c r="M110" s="36">
        <f>IF(ISBLANK(Inventory!A110),0,SUM(C110,E110,G110,I110,K110))</f>
        <v>-22.720000000000013</v>
      </c>
      <c r="N110" s="35" t="str">
        <f>IF(OR(ISBLANK(O110),O110=0),"",Settings!$B$14)</f>
        <v>$</v>
      </c>
      <c r="O110" s="30">
        <f>IF(ISBLANK(Inventory!A110),0,M110*Inventory!J110)</f>
        <v>-57.936000000000028</v>
      </c>
    </row>
    <row r="111" spans="1:15" s="29" customFormat="1" ht="15" customHeight="1">
      <c r="A111" s="31" t="str">
        <f>IF(Inventory!A111&gt;0,Inventory!A111,"")</f>
        <v>Stella Artois</v>
      </c>
      <c r="B111" s="201"/>
      <c r="C111" s="36">
        <f>IF(ISBLANK(Inventory!$A111),0,SUM('Week 1'!$E111:$G111)*Inventory!$D111-((SUM('Stock Opening'!$C111:$E111)+'Week 1'!$C111)*Inventory!$D111-B111))</f>
        <v>0</v>
      </c>
      <c r="D111" s="201"/>
      <c r="E111" s="36">
        <f>IF(ISBLANK(Inventory!$A111),0,SUM('Week 2'!$E111:$G111)*Inventory!$D111-((SUM('Week 1'!$E111:$G111)+'Week 2'!$C111)*Inventory!$D111-D111))</f>
        <v>0</v>
      </c>
      <c r="F111" s="201"/>
      <c r="G111" s="36">
        <f>IF(ISBLANK(Inventory!$A111),0,SUM('Week 3'!$E111:$G111)*Inventory!$D111-((SUM('Week 2'!$E111:$G111)+'Week 3'!$C111)*Inventory!$D111-F111))</f>
        <v>0</v>
      </c>
      <c r="H111" s="201"/>
      <c r="I111" s="36">
        <f>IF(ISBLANK(Inventory!$A111),0,SUM('Week 4'!$E111:$G111)*Inventory!$D111-((SUM('Week 3'!$E111:$G111)+'Week 4'!$C111)*Inventory!$D111-H111))</f>
        <v>0</v>
      </c>
      <c r="J111" s="201"/>
      <c r="K111" s="36">
        <f>IF(ISBLANK(Inventory!$A111),0,SUM('Week 5'!$E111:$G111)*Inventory!$D111-((SUM('Week 4'!$E111:$G111)+'Week 5'!$C111)*Inventory!$D111-J111))</f>
        <v>0</v>
      </c>
      <c r="L111" s="36">
        <f>IF(ISBLANK(Inventory!A111),0,SUM(B111,D111,F111,H111,J111))</f>
        <v>0</v>
      </c>
      <c r="M111" s="36">
        <f>IF(ISBLANK(Inventory!A111),0,SUM(C111,E111,G111,I111,K111))</f>
        <v>0</v>
      </c>
      <c r="N111" s="35" t="str">
        <f>IF(OR(ISBLANK(O111),O111=0),"",Settings!$B$14)</f>
        <v/>
      </c>
      <c r="O111" s="30">
        <f>IF(ISBLANK(Inventory!A111),0,M111*Inventory!J111)</f>
        <v>0</v>
      </c>
    </row>
    <row r="112" spans="1:15" s="29" customFormat="1" ht="15" customHeight="1">
      <c r="A112" s="31" t="str">
        <f>IF(Inventory!A112&gt;0,Inventory!A112,"")</f>
        <v>Stella Artois</v>
      </c>
      <c r="B112" s="201"/>
      <c r="C112" s="36">
        <f>IF(ISBLANK(Inventory!$A112),0,SUM('Week 1'!$E112:$G112)*Inventory!$D112-((SUM('Stock Opening'!$C112:$E112)+'Week 1'!$C112)*Inventory!$D112-B112))</f>
        <v>0</v>
      </c>
      <c r="D112" s="201"/>
      <c r="E112" s="36">
        <f>IF(ISBLANK(Inventory!$A112),0,SUM('Week 2'!$E112:$G112)*Inventory!$D112-((SUM('Week 1'!$E112:$G112)+'Week 2'!$C112)*Inventory!$D112-D112))</f>
        <v>0</v>
      </c>
      <c r="F112" s="201"/>
      <c r="G112" s="36">
        <f>IF(ISBLANK(Inventory!$A112),0,SUM('Week 3'!$E112:$G112)*Inventory!$D112-((SUM('Week 2'!$E112:$G112)+'Week 3'!$C112)*Inventory!$D112-F112))</f>
        <v>0</v>
      </c>
      <c r="H112" s="201"/>
      <c r="I112" s="36">
        <f>IF(ISBLANK(Inventory!$A112),0,SUM('Week 4'!$E112:$G112)*Inventory!$D112-((SUM('Week 3'!$E112:$G112)+'Week 4'!$C112)*Inventory!$D112-H112))</f>
        <v>0</v>
      </c>
      <c r="J112" s="201"/>
      <c r="K112" s="36">
        <f>IF(ISBLANK(Inventory!$A112),0,SUM('Week 5'!$E112:$G112)*Inventory!$D112-((SUM('Week 4'!$E112:$G112)+'Week 5'!$C112)*Inventory!$D112-J112))</f>
        <v>0</v>
      </c>
      <c r="L112" s="36">
        <f>IF(ISBLANK(Inventory!A112),0,SUM(B112,D112,F112,H112,J112))</f>
        <v>0</v>
      </c>
      <c r="M112" s="36">
        <f>IF(ISBLANK(Inventory!A112),0,SUM(C112,E112,G112,I112,K112))</f>
        <v>0</v>
      </c>
      <c r="N112" s="35" t="str">
        <f>IF(OR(ISBLANK(O112),O112=0),"",Settings!$B$14)</f>
        <v/>
      </c>
      <c r="O112" s="30">
        <f>IF(ISBLANK(Inventory!A112),0,M112*Inventory!J112)</f>
        <v>0</v>
      </c>
    </row>
    <row r="113" spans="1:15" s="29" customFormat="1" ht="15" customHeight="1">
      <c r="A113" s="31" t="str">
        <f>IF(Inventory!A113&gt;0,Inventory!A113,"")</f>
        <v/>
      </c>
      <c r="B113" s="201"/>
      <c r="C113" s="36">
        <f>IF(ISBLANK(Inventory!$A113),0,SUM('Week 1'!$E113:$G113)*Inventory!$D113-((SUM('Stock Opening'!$C113:$E113)+'Week 1'!$C113)*Inventory!$D113-B113))</f>
        <v>0</v>
      </c>
      <c r="D113" s="201"/>
      <c r="E113" s="36">
        <f>IF(ISBLANK(Inventory!$A113),0,SUM('Week 2'!$E113:$G113)*Inventory!$D113-((SUM('Week 1'!$E113:$G113)+'Week 2'!$C113)*Inventory!$D113-D113))</f>
        <v>0</v>
      </c>
      <c r="F113" s="201"/>
      <c r="G113" s="36">
        <f>IF(ISBLANK(Inventory!$A113),0,SUM('Week 3'!$E113:$G113)*Inventory!$D113-((SUM('Week 2'!$E113:$G113)+'Week 3'!$C113)*Inventory!$D113-F113))</f>
        <v>0</v>
      </c>
      <c r="H113" s="201"/>
      <c r="I113" s="36">
        <f>IF(ISBLANK(Inventory!$A113),0,SUM('Week 4'!$E113:$G113)*Inventory!$D113-((SUM('Week 3'!$E113:$G113)+'Week 4'!$C113)*Inventory!$D113-H113))</f>
        <v>0</v>
      </c>
      <c r="J113" s="201"/>
      <c r="K113" s="36">
        <f>IF(ISBLANK(Inventory!$A113),0,SUM('Week 5'!$E113:$G113)*Inventory!$D113-((SUM('Week 4'!$E113:$G113)+'Week 5'!$C113)*Inventory!$D113-J113))</f>
        <v>0</v>
      </c>
      <c r="L113" s="36">
        <f>IF(ISBLANK(Inventory!A113),0,SUM(B113,D113,F113,H113,J113))</f>
        <v>0</v>
      </c>
      <c r="M113" s="36">
        <f>IF(ISBLANK(Inventory!A113),0,SUM(C113,E113,G113,I113,K113))</f>
        <v>0</v>
      </c>
      <c r="N113" s="35" t="str">
        <f>IF(OR(ISBLANK(O113),O113=0),"",Settings!$B$14)</f>
        <v/>
      </c>
      <c r="O113" s="30">
        <f>IF(ISBLANK(Inventory!A113),0,M113*Inventory!J113)</f>
        <v>0</v>
      </c>
    </row>
    <row r="114" spans="1:15" s="29" customFormat="1" ht="15" customHeight="1">
      <c r="A114" s="31" t="str">
        <f>IF(Inventory!A114&gt;0,Inventory!A114,"")</f>
        <v/>
      </c>
      <c r="B114" s="201"/>
      <c r="C114" s="36">
        <f>IF(ISBLANK(Inventory!$A114),0,SUM('Week 1'!$E114:$G114)*Inventory!$D114-((SUM('Stock Opening'!$C114:$E114)+'Week 1'!$C114)*Inventory!$D114-B114))</f>
        <v>0</v>
      </c>
      <c r="D114" s="201"/>
      <c r="E114" s="36">
        <f>IF(ISBLANK(Inventory!$A114),0,SUM('Week 2'!$E114:$G114)*Inventory!$D114-((SUM('Week 1'!$E114:$G114)+'Week 2'!$C114)*Inventory!$D114-D114))</f>
        <v>0</v>
      </c>
      <c r="F114" s="201"/>
      <c r="G114" s="36">
        <f>IF(ISBLANK(Inventory!$A114),0,SUM('Week 3'!$E114:$G114)*Inventory!$D114-((SUM('Week 2'!$E114:$G114)+'Week 3'!$C114)*Inventory!$D114-F114))</f>
        <v>0</v>
      </c>
      <c r="H114" s="201"/>
      <c r="I114" s="36">
        <f>IF(ISBLANK(Inventory!$A114),0,SUM('Week 4'!$E114:$G114)*Inventory!$D114-((SUM('Week 3'!$E114:$G114)+'Week 4'!$C114)*Inventory!$D114-H114))</f>
        <v>0</v>
      </c>
      <c r="J114" s="201"/>
      <c r="K114" s="36">
        <f>IF(ISBLANK(Inventory!$A114),0,SUM('Week 5'!$E114:$G114)*Inventory!$D114-((SUM('Week 4'!$E114:$G114)+'Week 5'!$C114)*Inventory!$D114-J114))</f>
        <v>0</v>
      </c>
      <c r="L114" s="36">
        <f>IF(ISBLANK(Inventory!A114),0,SUM(B114,D114,F114,H114,J114))</f>
        <v>0</v>
      </c>
      <c r="M114" s="36">
        <f>IF(ISBLANK(Inventory!A114),0,SUM(C114,E114,G114,I114,K114))</f>
        <v>0</v>
      </c>
      <c r="N114" s="35" t="str">
        <f>IF(OR(ISBLANK(O114),O114=0),"",Settings!$B$14)</f>
        <v/>
      </c>
      <c r="O114" s="30">
        <f>IF(ISBLANK(Inventory!A114),0,M114*Inventory!J114)</f>
        <v>0</v>
      </c>
    </row>
    <row r="115" spans="1:15" s="29" customFormat="1" ht="15" customHeight="1">
      <c r="A115" s="31" t="str">
        <f>IF(Inventory!A115&gt;0,Inventory!A115,"")</f>
        <v/>
      </c>
      <c r="B115" s="201"/>
      <c r="C115" s="36">
        <f>IF(ISBLANK(Inventory!$A115),0,SUM('Week 1'!$E115:$G115)*Inventory!$D115-((SUM('Stock Opening'!$C115:$E115)+'Week 1'!$C115)*Inventory!$D115-B115))</f>
        <v>0</v>
      </c>
      <c r="D115" s="201"/>
      <c r="E115" s="36">
        <f>IF(ISBLANK(Inventory!$A115),0,SUM('Week 2'!$E115:$G115)*Inventory!$D115-((SUM('Week 1'!$E115:$G115)+'Week 2'!$C115)*Inventory!$D115-D115))</f>
        <v>0</v>
      </c>
      <c r="F115" s="201"/>
      <c r="G115" s="36">
        <f>IF(ISBLANK(Inventory!$A115),0,SUM('Week 3'!$E115:$G115)*Inventory!$D115-((SUM('Week 2'!$E115:$G115)+'Week 3'!$C115)*Inventory!$D115-F115))</f>
        <v>0</v>
      </c>
      <c r="H115" s="201"/>
      <c r="I115" s="36">
        <f>IF(ISBLANK(Inventory!$A115),0,SUM('Week 4'!$E115:$G115)*Inventory!$D115-((SUM('Week 3'!$E115:$G115)+'Week 4'!$C115)*Inventory!$D115-H115))</f>
        <v>0</v>
      </c>
      <c r="J115" s="201"/>
      <c r="K115" s="36">
        <f>IF(ISBLANK(Inventory!$A115),0,SUM('Week 5'!$E115:$G115)*Inventory!$D115-((SUM('Week 4'!$E115:$G115)+'Week 5'!$C115)*Inventory!$D115-J115))</f>
        <v>0</v>
      </c>
      <c r="L115" s="36">
        <f>IF(ISBLANK(Inventory!A115),0,SUM(B115,D115,F115,H115,J115))</f>
        <v>0</v>
      </c>
      <c r="M115" s="36">
        <f>IF(ISBLANK(Inventory!A115),0,SUM(C115,E115,G115,I115,K115))</f>
        <v>0</v>
      </c>
      <c r="N115" s="35" t="str">
        <f>IF(OR(ISBLANK(O115),O115=0),"",Settings!$B$14)</f>
        <v/>
      </c>
      <c r="O115" s="30">
        <f>IF(ISBLANK(Inventory!A115),0,M115*Inventory!J115)</f>
        <v>0</v>
      </c>
    </row>
    <row r="116" spans="1:15" ht="6.95" customHeight="1">
      <c r="A116" s="24"/>
      <c r="B116" s="69"/>
      <c r="C116" s="69"/>
      <c r="D116" s="69"/>
      <c r="E116" s="69"/>
      <c r="F116" s="69"/>
      <c r="G116" s="69"/>
      <c r="H116" s="69"/>
      <c r="I116" s="69"/>
      <c r="J116" s="69"/>
      <c r="K116" s="69"/>
      <c r="L116" s="69"/>
      <c r="M116" s="69"/>
      <c r="N116" s="69"/>
      <c r="O116" s="70"/>
    </row>
    <row r="117" spans="1:15" s="50" customFormat="1" ht="18" customHeight="1" thickBot="1">
      <c r="A117" s="78" t="str">
        <f>Inventory!A117</f>
        <v>BOTTLED BEER</v>
      </c>
      <c r="B117" s="253" t="s">
        <v>3</v>
      </c>
      <c r="C117" s="253"/>
      <c r="D117" s="253" t="s">
        <v>3</v>
      </c>
      <c r="E117" s="253"/>
      <c r="F117" s="253" t="s">
        <v>3</v>
      </c>
      <c r="G117" s="253"/>
      <c r="H117" s="253" t="s">
        <v>3</v>
      </c>
      <c r="I117" s="253"/>
      <c r="J117" s="253" t="s">
        <v>3</v>
      </c>
      <c r="K117" s="253"/>
      <c r="L117" s="253" t="s">
        <v>3</v>
      </c>
      <c r="M117" s="253"/>
      <c r="N117" s="79"/>
      <c r="O117" s="80"/>
    </row>
    <row r="118" spans="1:15" ht="6.95" customHeight="1" thickTop="1">
      <c r="A118" s="76"/>
      <c r="B118" s="71"/>
      <c r="C118" s="71"/>
      <c r="D118" s="71"/>
      <c r="E118" s="71"/>
      <c r="F118" s="71"/>
      <c r="G118" s="71"/>
      <c r="H118" s="71"/>
      <c r="I118" s="71"/>
      <c r="J118" s="71"/>
      <c r="K118" s="71"/>
      <c r="L118" s="71"/>
      <c r="M118" s="71"/>
      <c r="N118" s="71"/>
      <c r="O118" s="68"/>
    </row>
    <row r="119" spans="1:15" s="29" customFormat="1" ht="15" customHeight="1">
      <c r="A119" s="31" t="str">
        <f>IF(Inventory!A119&gt;0,Inventory!A119,"")</f>
        <v>Labatt Ice</v>
      </c>
      <c r="B119" s="201"/>
      <c r="C119" s="36">
        <f>IF(ISBLANK(Inventory!$A119),0,SUM('Week 1'!$E119:$G119)-((SUM('Stock Opening'!$C119:$E119)+'Week 1'!$C119)-B119))</f>
        <v>-10</v>
      </c>
      <c r="D119" s="201"/>
      <c r="E119" s="36">
        <f>IF(ISBLANK(Inventory!$A119),0,SUM('Week 2'!$E119:$G119)-((SUM('Week 1'!$E119:$G119)+'Week 2'!$C119)-D119))</f>
        <v>-6</v>
      </c>
      <c r="F119" s="201"/>
      <c r="G119" s="36">
        <f>IF(ISBLANK(Inventory!$A119),0,SUM('Week 3'!$E119:$G119)-((SUM('Week 2'!$E119:$G119)+'Week 3'!$C119)-F119))</f>
        <v>0</v>
      </c>
      <c r="H119" s="201"/>
      <c r="I119" s="36">
        <f>IF(ISBLANK(Inventory!$A119),0,SUM('Week 4'!$E119:$G119)-((SUM('Week 3'!$E119:$G119)+'Week 4'!$C119)-H119))</f>
        <v>0</v>
      </c>
      <c r="J119" s="201"/>
      <c r="K119" s="36">
        <f>IF(ISBLANK(Inventory!$A119),0,SUM('Week 5'!$E119:$G119)-((SUM('Week 4'!$E119:$G119)+'Week 5'!$C119)-J119))</f>
        <v>0</v>
      </c>
      <c r="L119" s="36">
        <f>IF(ISBLANK(Inventory!A119),0,SUM(B119,D119,F119,H119,J119))</f>
        <v>0</v>
      </c>
      <c r="M119" s="36">
        <f>IF(ISBLANK(Inventory!A119),0,SUM(C119,E119,G119,I119,K119))</f>
        <v>-16</v>
      </c>
      <c r="N119" s="35" t="str">
        <f>IF(OR(ISBLANK(O119),O119=0),"",Settings!$B$14)</f>
        <v>$</v>
      </c>
      <c r="O119" s="30">
        <f>IF(ISBLANK(Inventory!A119),0,M119*Inventory!J119)</f>
        <v>-43.52</v>
      </c>
    </row>
    <row r="120" spans="1:15" s="29" customFormat="1" ht="15" customHeight="1">
      <c r="A120" s="31" t="str">
        <f>IF(Inventory!A120&gt;0,Inventory!A120,"")</f>
        <v>Stella Artois</v>
      </c>
      <c r="B120" s="201"/>
      <c r="C120" s="36">
        <f>IF(ISBLANK(Inventory!$A120),0,SUM('Week 1'!$E120:$G120)-((SUM('Stock Opening'!$C120:$E120)+'Week 1'!$C120)-B120))</f>
        <v>0</v>
      </c>
      <c r="D120" s="201"/>
      <c r="E120" s="36">
        <f>IF(ISBLANK(Inventory!$A120),0,SUM('Week 2'!$E120:$G120)-((SUM('Week 1'!$E120:$G120)+'Week 2'!$C120)-D120))</f>
        <v>0</v>
      </c>
      <c r="F120" s="201"/>
      <c r="G120" s="36">
        <f>IF(ISBLANK(Inventory!$A120),0,SUM('Week 3'!$E120:$G120)-((SUM('Week 2'!$E120:$G120)+'Week 3'!$C120)-F120))</f>
        <v>0</v>
      </c>
      <c r="H120" s="201"/>
      <c r="I120" s="36">
        <f>IF(ISBLANK(Inventory!$A120),0,SUM('Week 4'!$E120:$G120)-((SUM('Week 3'!$E120:$G120)+'Week 4'!$C120)-H120))</f>
        <v>0</v>
      </c>
      <c r="J120" s="201"/>
      <c r="K120" s="36">
        <f>IF(ISBLANK(Inventory!$A120),0,SUM('Week 5'!$E120:$G120)-((SUM('Week 4'!$E120:$G120)+'Week 5'!$C120)-J120))</f>
        <v>0</v>
      </c>
      <c r="L120" s="36">
        <f>IF(ISBLANK(Inventory!A120),0,SUM(B120,D120,F120,H120,J120))</f>
        <v>0</v>
      </c>
      <c r="M120" s="36">
        <f>IF(ISBLANK(Inventory!A120),0,SUM(C120,E120,G120,I120,K120))</f>
        <v>0</v>
      </c>
      <c r="N120" s="35" t="str">
        <f>IF(OR(ISBLANK(O120),O120=0),"",Settings!$B$14)</f>
        <v/>
      </c>
      <c r="O120" s="30">
        <f>IF(ISBLANK(Inventory!A120),0,M120*Inventory!J120)</f>
        <v>0</v>
      </c>
    </row>
    <row r="121" spans="1:15" s="29" customFormat="1" ht="15" customHeight="1">
      <c r="A121" s="31" t="str">
        <f>IF(Inventory!A121&gt;0,Inventory!A121,"")</f>
        <v>Budweiser</v>
      </c>
      <c r="B121" s="201"/>
      <c r="C121" s="36">
        <f>IF(ISBLANK(Inventory!$A121),0,SUM('Week 1'!$E121:$G121)-((SUM('Stock Opening'!$C121:$E121)+'Week 1'!$C121)-B121))</f>
        <v>0</v>
      </c>
      <c r="D121" s="201"/>
      <c r="E121" s="36">
        <f>IF(ISBLANK(Inventory!$A121),0,SUM('Week 2'!$E121:$G121)-((SUM('Week 1'!$E121:$G121)+'Week 2'!$C121)-D121))</f>
        <v>0</v>
      </c>
      <c r="F121" s="201"/>
      <c r="G121" s="36">
        <f>IF(ISBLANK(Inventory!$A121),0,SUM('Week 3'!$E121:$G121)-((SUM('Week 2'!$E121:$G121)+'Week 3'!$C121)-F121))</f>
        <v>0</v>
      </c>
      <c r="H121" s="201"/>
      <c r="I121" s="36">
        <f>IF(ISBLANK(Inventory!$A121),0,SUM('Week 4'!$E121:$G121)-((SUM('Week 3'!$E121:$G121)+'Week 4'!$C121)-H121))</f>
        <v>0</v>
      </c>
      <c r="J121" s="201"/>
      <c r="K121" s="36">
        <f>IF(ISBLANK(Inventory!$A121),0,SUM('Week 5'!$E121:$G121)-((SUM('Week 4'!$E121:$G121)+'Week 5'!$C121)-J121))</f>
        <v>0</v>
      </c>
      <c r="L121" s="36">
        <f>IF(ISBLANK(Inventory!A121),0,SUM(B121,D121,F121,H121,J121))</f>
        <v>0</v>
      </c>
      <c r="M121" s="36">
        <f>IF(ISBLANK(Inventory!A121),0,SUM(C121,E121,G121,I121,K121))</f>
        <v>0</v>
      </c>
      <c r="N121" s="35" t="str">
        <f>IF(OR(ISBLANK(O121),O121=0),"",Settings!$B$14)</f>
        <v/>
      </c>
      <c r="O121" s="30">
        <f>IF(ISBLANK(Inventory!A121),0,M121*Inventory!J121)</f>
        <v>0</v>
      </c>
    </row>
    <row r="122" spans="1:15" s="29" customFormat="1" ht="15" customHeight="1">
      <c r="A122" s="31" t="str">
        <f>IF(Inventory!A122&gt;0,Inventory!A122,"")</f>
        <v>Becks</v>
      </c>
      <c r="B122" s="201"/>
      <c r="C122" s="36">
        <f>IF(ISBLANK(Inventory!$A122),0,SUM('Week 1'!$E122:$G122)-((SUM('Stock Opening'!$C122:$E122)+'Week 1'!$C122)-B122))</f>
        <v>0</v>
      </c>
      <c r="D122" s="201"/>
      <c r="E122" s="36">
        <f>IF(ISBLANK(Inventory!$A122),0,SUM('Week 2'!$E122:$G122)-((SUM('Week 1'!$E122:$G122)+'Week 2'!$C122)-D122))</f>
        <v>0</v>
      </c>
      <c r="F122" s="201"/>
      <c r="G122" s="36">
        <f>IF(ISBLANK(Inventory!$A122),0,SUM('Week 3'!$E122:$G122)-((SUM('Week 2'!$E122:$G122)+'Week 3'!$C122)-F122))</f>
        <v>0</v>
      </c>
      <c r="H122" s="201"/>
      <c r="I122" s="36">
        <f>IF(ISBLANK(Inventory!$A122),0,SUM('Week 4'!$E122:$G122)-((SUM('Week 3'!$E122:$G122)+'Week 4'!$C122)-H122))</f>
        <v>0</v>
      </c>
      <c r="J122" s="201"/>
      <c r="K122" s="36">
        <f>IF(ISBLANK(Inventory!$A122),0,SUM('Week 5'!$E122:$G122)-((SUM('Week 4'!$E122:$G122)+'Week 5'!$C122)-J122))</f>
        <v>0</v>
      </c>
      <c r="L122" s="36">
        <f>IF(ISBLANK(Inventory!A122),0,SUM(B122,D122,F122,H122,J122))</f>
        <v>0</v>
      </c>
      <c r="M122" s="36">
        <f>IF(ISBLANK(Inventory!A122),0,SUM(C122,E122,G122,I122,K122))</f>
        <v>0</v>
      </c>
      <c r="N122" s="35" t="str">
        <f>IF(OR(ISBLANK(O122),O122=0),"",Settings!$B$14)</f>
        <v/>
      </c>
      <c r="O122" s="30">
        <f>IF(ISBLANK(Inventory!A122),0,M122*Inventory!J122)</f>
        <v>0</v>
      </c>
    </row>
    <row r="123" spans="1:15" s="29" customFormat="1" ht="15" customHeight="1">
      <c r="A123" s="31" t="str">
        <f>IF(Inventory!A123&gt;0,Inventory!A123,"")</f>
        <v>Old Speckled Hen</v>
      </c>
      <c r="B123" s="201"/>
      <c r="C123" s="36">
        <f>IF(ISBLANK(Inventory!$A123),0,SUM('Week 1'!$E123:$G123)-((SUM('Stock Opening'!$C123:$E123)+'Week 1'!$C123)-B123))</f>
        <v>0</v>
      </c>
      <c r="D123" s="201"/>
      <c r="E123" s="36">
        <f>IF(ISBLANK(Inventory!$A123),0,SUM('Week 2'!$E123:$G123)-((SUM('Week 1'!$E123:$G123)+'Week 2'!$C123)-D123))</f>
        <v>0</v>
      </c>
      <c r="F123" s="201"/>
      <c r="G123" s="36">
        <f>IF(ISBLANK(Inventory!$A123),0,SUM('Week 3'!$E123:$G123)-((SUM('Week 2'!$E123:$G123)+'Week 3'!$C123)-F123))</f>
        <v>0</v>
      </c>
      <c r="H123" s="201"/>
      <c r="I123" s="36">
        <f>IF(ISBLANK(Inventory!$A123),0,SUM('Week 4'!$E123:$G123)-((SUM('Week 3'!$E123:$G123)+'Week 4'!$C123)-H123))</f>
        <v>0</v>
      </c>
      <c r="J123" s="201"/>
      <c r="K123" s="36">
        <f>IF(ISBLANK(Inventory!$A123),0,SUM('Week 5'!$E123:$G123)-((SUM('Week 4'!$E123:$G123)+'Week 5'!$C123)-J123))</f>
        <v>0</v>
      </c>
      <c r="L123" s="36">
        <f>IF(ISBLANK(Inventory!A123),0,SUM(B123,D123,F123,H123,J123))</f>
        <v>0</v>
      </c>
      <c r="M123" s="36">
        <f>IF(ISBLANK(Inventory!A123),0,SUM(C123,E123,G123,I123,K123))</f>
        <v>0</v>
      </c>
      <c r="N123" s="35" t="str">
        <f>IF(OR(ISBLANK(O123),O123=0),"",Settings!$B$14)</f>
        <v/>
      </c>
      <c r="O123" s="30">
        <f>IF(ISBLANK(Inventory!A123),0,M123*Inventory!J123)</f>
        <v>0</v>
      </c>
    </row>
    <row r="124" spans="1:15" s="29" customFormat="1" ht="15" customHeight="1">
      <c r="A124" s="31" t="str">
        <f>IF(Inventory!A124&gt;0,Inventory!A124,"")</f>
        <v>Bacardi Breezer</v>
      </c>
      <c r="B124" s="201"/>
      <c r="C124" s="36">
        <f>IF(ISBLANK(Inventory!$A124),0,SUM('Week 1'!$E124:$G124)-((SUM('Stock Opening'!$C124:$E124)+'Week 1'!$C124)-B124))</f>
        <v>0</v>
      </c>
      <c r="D124" s="201"/>
      <c r="E124" s="36">
        <f>IF(ISBLANK(Inventory!$A124),0,SUM('Week 2'!$E124:$G124)-((SUM('Week 1'!$E124:$G124)+'Week 2'!$C124)-D124))</f>
        <v>0</v>
      </c>
      <c r="F124" s="201"/>
      <c r="G124" s="36">
        <f>IF(ISBLANK(Inventory!$A124),0,SUM('Week 3'!$E124:$G124)-((SUM('Week 2'!$E124:$G124)+'Week 3'!$C124)-F124))</f>
        <v>0</v>
      </c>
      <c r="H124" s="201"/>
      <c r="I124" s="36">
        <f>IF(ISBLANK(Inventory!$A124),0,SUM('Week 4'!$E124:$G124)-((SUM('Week 3'!$E124:$G124)+'Week 4'!$C124)-H124))</f>
        <v>0</v>
      </c>
      <c r="J124" s="201"/>
      <c r="K124" s="36">
        <f>IF(ISBLANK(Inventory!$A124),0,SUM('Week 5'!$E124:$G124)-((SUM('Week 4'!$E124:$G124)+'Week 5'!$C124)-J124))</f>
        <v>0</v>
      </c>
      <c r="L124" s="36">
        <f>IF(ISBLANK(Inventory!A124),0,SUM(B124,D124,F124,H124,J124))</f>
        <v>0</v>
      </c>
      <c r="M124" s="36">
        <f>IF(ISBLANK(Inventory!A124),0,SUM(C124,E124,G124,I124,K124))</f>
        <v>0</v>
      </c>
      <c r="N124" s="35" t="str">
        <f>IF(OR(ISBLANK(O124),O124=0),"",Settings!$B$14)</f>
        <v/>
      </c>
      <c r="O124" s="30">
        <f>IF(ISBLANK(Inventory!A124),0,M124*Inventory!J124)</f>
        <v>0</v>
      </c>
    </row>
    <row r="125" spans="1:15" s="29" customFormat="1" ht="15" customHeight="1">
      <c r="A125" s="31" t="str">
        <f>IF(Inventory!A125&gt;0,Inventory!A125,"")</f>
        <v>WKD Blue/Iron Brew</v>
      </c>
      <c r="B125" s="201"/>
      <c r="C125" s="36">
        <f>IF(ISBLANK(Inventory!$A125),0,SUM('Week 1'!$E125:$G125)-((SUM('Stock Opening'!$C125:$E125)+'Week 1'!$C125)-B125))</f>
        <v>0</v>
      </c>
      <c r="D125" s="201"/>
      <c r="E125" s="36">
        <f>IF(ISBLANK(Inventory!$A125),0,SUM('Week 2'!$E125:$G125)-((SUM('Week 1'!$E125:$G125)+'Week 2'!$C125)-D125))</f>
        <v>0</v>
      </c>
      <c r="F125" s="201"/>
      <c r="G125" s="36">
        <f>IF(ISBLANK(Inventory!$A125),0,SUM('Week 3'!$E125:$G125)-((SUM('Week 2'!$E125:$G125)+'Week 3'!$C125)-F125))</f>
        <v>0</v>
      </c>
      <c r="H125" s="201"/>
      <c r="I125" s="36">
        <f>IF(ISBLANK(Inventory!$A125),0,SUM('Week 4'!$E125:$G125)-((SUM('Week 3'!$E125:$G125)+'Week 4'!$C125)-H125))</f>
        <v>0</v>
      </c>
      <c r="J125" s="201"/>
      <c r="K125" s="36">
        <f>IF(ISBLANK(Inventory!$A125),0,SUM('Week 5'!$E125:$G125)-((SUM('Week 4'!$E125:$G125)+'Week 5'!$C125)-J125))</f>
        <v>0</v>
      </c>
      <c r="L125" s="36">
        <f>IF(ISBLANK(Inventory!A125),0,SUM(B125,D125,F125,H125,J125))</f>
        <v>0</v>
      </c>
      <c r="M125" s="36">
        <f>IF(ISBLANK(Inventory!A125),0,SUM(C125,E125,G125,I125,K125))</f>
        <v>0</v>
      </c>
      <c r="N125" s="35" t="str">
        <f>IF(OR(ISBLANK(O125),O125=0),"",Settings!$B$14)</f>
        <v/>
      </c>
      <c r="O125" s="30">
        <f>IF(ISBLANK(Inventory!A125),0,M125*Inventory!J125)</f>
        <v>0</v>
      </c>
    </row>
    <row r="126" spans="1:15" s="29" customFormat="1" ht="15" customHeight="1">
      <c r="A126" s="31" t="str">
        <f>IF(Inventory!A126&gt;0,Inventory!A126,"")</f>
        <v>Smirnoff Ice/Black Ice</v>
      </c>
      <c r="B126" s="201"/>
      <c r="C126" s="36">
        <f>IF(ISBLANK(Inventory!$A126),0,SUM('Week 1'!$E126:$G126)-((SUM('Stock Opening'!$C126:$E126)+'Week 1'!$C126)-B126))</f>
        <v>0</v>
      </c>
      <c r="D126" s="201"/>
      <c r="E126" s="36">
        <f>IF(ISBLANK(Inventory!$A126),0,SUM('Week 2'!$E126:$G126)-((SUM('Week 1'!$E126:$G126)+'Week 2'!$C126)-D126))</f>
        <v>0</v>
      </c>
      <c r="F126" s="201"/>
      <c r="G126" s="36">
        <f>IF(ISBLANK(Inventory!$A126),0,SUM('Week 3'!$E126:$G126)-((SUM('Week 2'!$E126:$G126)+'Week 3'!$C126)-F126))</f>
        <v>0</v>
      </c>
      <c r="H126" s="201"/>
      <c r="I126" s="36">
        <f>IF(ISBLANK(Inventory!$A126),0,SUM('Week 4'!$E126:$G126)-((SUM('Week 3'!$E126:$G126)+'Week 4'!$C126)-H126))</f>
        <v>0</v>
      </c>
      <c r="J126" s="201"/>
      <c r="K126" s="36">
        <f>IF(ISBLANK(Inventory!$A126),0,SUM('Week 5'!$E126:$G126)-((SUM('Week 4'!$E126:$G126)+'Week 5'!$C126)-J126))</f>
        <v>0</v>
      </c>
      <c r="L126" s="36">
        <f>IF(ISBLANK(Inventory!A126),0,SUM(B126,D126,F126,H126,J126))</f>
        <v>0</v>
      </c>
      <c r="M126" s="36">
        <f>IF(ISBLANK(Inventory!A126),0,SUM(C126,E126,G126,I126,K126))</f>
        <v>0</v>
      </c>
      <c r="N126" s="35" t="str">
        <f>IF(OR(ISBLANK(O126),O126=0),"",Settings!$B$14)</f>
        <v/>
      </c>
      <c r="O126" s="30">
        <f>IF(ISBLANK(Inventory!A126),0,M126*Inventory!J126)</f>
        <v>0</v>
      </c>
    </row>
    <row r="127" spans="1:15" s="29" customFormat="1" ht="15" customHeight="1">
      <c r="A127" s="31" t="str">
        <f>IF(Inventory!A127&gt;0,Inventory!A127,"")</f>
        <v/>
      </c>
      <c r="B127" s="201"/>
      <c r="C127" s="36">
        <f>IF(ISBLANK(Inventory!$A127),0,SUM('Week 1'!$E127:$G127)-((SUM('Stock Opening'!$C127:$E127)+'Week 1'!$C127)-B127))</f>
        <v>0</v>
      </c>
      <c r="D127" s="201"/>
      <c r="E127" s="36">
        <f>IF(ISBLANK(Inventory!$A127),0,SUM('Week 2'!$E127:$G127)-((SUM('Week 1'!$E127:$G127)+'Week 2'!$C127)-D127))</f>
        <v>0</v>
      </c>
      <c r="F127" s="201"/>
      <c r="G127" s="36">
        <f>IF(ISBLANK(Inventory!$A127),0,SUM('Week 3'!$E127:$G127)-((SUM('Week 2'!$E127:$G127)+'Week 3'!$C127)-F127))</f>
        <v>0</v>
      </c>
      <c r="H127" s="201"/>
      <c r="I127" s="36">
        <f>IF(ISBLANK(Inventory!$A127),0,SUM('Week 4'!$E127:$G127)-((SUM('Week 3'!$E127:$G127)+'Week 4'!$C127)-H127))</f>
        <v>0</v>
      </c>
      <c r="J127" s="201"/>
      <c r="K127" s="36">
        <f>IF(ISBLANK(Inventory!$A127),0,SUM('Week 5'!$E127:$G127)-((SUM('Week 4'!$E127:$G127)+'Week 5'!$C127)-J127))</f>
        <v>0</v>
      </c>
      <c r="L127" s="36">
        <f>IF(ISBLANK(Inventory!A127),0,SUM(B127,D127,F127,H127,J127))</f>
        <v>0</v>
      </c>
      <c r="M127" s="36">
        <f>IF(ISBLANK(Inventory!A127),0,SUM(C127,E127,G127,I127,K127))</f>
        <v>0</v>
      </c>
      <c r="N127" s="35" t="str">
        <f>IF(OR(ISBLANK(O127),O127=0),"",Settings!$B$14)</f>
        <v/>
      </c>
      <c r="O127" s="30">
        <f>IF(ISBLANK(Inventory!A127),0,M127*Inventory!J127)</f>
        <v>0</v>
      </c>
    </row>
    <row r="128" spans="1:15" s="29" customFormat="1" ht="15" customHeight="1">
      <c r="A128" s="31" t="str">
        <f>IF(Inventory!A128&gt;0,Inventory!A128,"")</f>
        <v/>
      </c>
      <c r="B128" s="201"/>
      <c r="C128" s="36">
        <f>IF(ISBLANK(Inventory!$A128),0,SUM('Week 1'!$E128:$G128)-((SUM('Stock Opening'!$C128:$E128)+'Week 1'!$C128)-B128))</f>
        <v>0</v>
      </c>
      <c r="D128" s="201"/>
      <c r="E128" s="36">
        <f>IF(ISBLANK(Inventory!$A128),0,SUM('Week 2'!$E128:$G128)-((SUM('Week 1'!$E128:$G128)+'Week 2'!$C128)-D128))</f>
        <v>0</v>
      </c>
      <c r="F128" s="201"/>
      <c r="G128" s="36">
        <f>IF(ISBLANK(Inventory!$A128),0,SUM('Week 3'!$E128:$G128)-((SUM('Week 2'!$E128:$G128)+'Week 3'!$C128)-F128))</f>
        <v>0</v>
      </c>
      <c r="H128" s="201"/>
      <c r="I128" s="36">
        <f>IF(ISBLANK(Inventory!$A128),0,SUM('Week 4'!$E128:$G128)-((SUM('Week 3'!$E128:$G128)+'Week 4'!$C128)-H128))</f>
        <v>0</v>
      </c>
      <c r="J128" s="201"/>
      <c r="K128" s="36">
        <f>IF(ISBLANK(Inventory!$A128),0,SUM('Week 5'!$E128:$G128)-((SUM('Week 4'!$E128:$G128)+'Week 5'!$C128)-J128))</f>
        <v>0</v>
      </c>
      <c r="L128" s="36">
        <f>IF(ISBLANK(Inventory!A128),0,SUM(B128,D128,F128,H128,J128))</f>
        <v>0</v>
      </c>
      <c r="M128" s="36">
        <f>IF(ISBLANK(Inventory!A128),0,SUM(C128,E128,G128,I128,K128))</f>
        <v>0</v>
      </c>
      <c r="N128" s="35" t="str">
        <f>IF(OR(ISBLANK(O128),O128=0),"",Settings!$B$14)</f>
        <v/>
      </c>
      <c r="O128" s="30">
        <f>IF(ISBLANK(Inventory!A128),0,M128*Inventory!J128)</f>
        <v>0</v>
      </c>
    </row>
    <row r="129" spans="1:15" s="29" customFormat="1" ht="15" customHeight="1">
      <c r="A129" s="31" t="str">
        <f>IF(Inventory!A129&gt;0,Inventory!A129,"")</f>
        <v/>
      </c>
      <c r="B129" s="201"/>
      <c r="C129" s="36">
        <f>IF(ISBLANK(Inventory!$A129),0,SUM('Week 1'!$E129:$G129)-((SUM('Stock Opening'!$C129:$E129)+'Week 1'!$C129)-B129))</f>
        <v>0</v>
      </c>
      <c r="D129" s="201"/>
      <c r="E129" s="36">
        <f>IF(ISBLANK(Inventory!$A129),0,SUM('Week 2'!$E129:$G129)-((SUM('Week 1'!$E129:$G129)+'Week 2'!$C129)-D129))</f>
        <v>0</v>
      </c>
      <c r="F129" s="201"/>
      <c r="G129" s="36">
        <f>IF(ISBLANK(Inventory!$A129),0,SUM('Week 3'!$E129:$G129)-((SUM('Week 2'!$E129:$G129)+'Week 3'!$C129)-F129))</f>
        <v>0</v>
      </c>
      <c r="H129" s="201"/>
      <c r="I129" s="36">
        <f>IF(ISBLANK(Inventory!$A129),0,SUM('Week 4'!$E129:$G129)-((SUM('Week 3'!$E129:$G129)+'Week 4'!$C129)-H129))</f>
        <v>0</v>
      </c>
      <c r="J129" s="201"/>
      <c r="K129" s="36">
        <f>IF(ISBLANK(Inventory!$A129),0,SUM('Week 5'!$E129:$G129)-((SUM('Week 4'!$E129:$G129)+'Week 5'!$C129)-J129))</f>
        <v>0</v>
      </c>
      <c r="L129" s="36">
        <f>IF(ISBLANK(Inventory!A129),0,SUM(B129,D129,F129,H129,J129))</f>
        <v>0</v>
      </c>
      <c r="M129" s="36">
        <f>IF(ISBLANK(Inventory!A129),0,SUM(C129,E129,G129,I129,K129))</f>
        <v>0</v>
      </c>
      <c r="N129" s="35" t="str">
        <f>IF(OR(ISBLANK(O129),O129=0),"",Settings!$B$14)</f>
        <v/>
      </c>
      <c r="O129" s="30">
        <f>IF(ISBLANK(Inventory!A129),0,M129*Inventory!J129)</f>
        <v>0</v>
      </c>
    </row>
    <row r="130" spans="1:15" s="29" customFormat="1" ht="15" customHeight="1">
      <c r="A130" s="31" t="str">
        <f>IF(Inventory!A130&gt;0,Inventory!A130,"")</f>
        <v/>
      </c>
      <c r="B130" s="201"/>
      <c r="C130" s="36">
        <f>IF(ISBLANK(Inventory!$A130),0,SUM('Week 1'!$E130:$G130)-((SUM('Stock Opening'!$C130:$E130)+'Week 1'!$C130)-B130))</f>
        <v>0</v>
      </c>
      <c r="D130" s="201"/>
      <c r="E130" s="36">
        <f>IF(ISBLANK(Inventory!$A130),0,SUM('Week 2'!$E130:$G130)-((SUM('Week 1'!$E130:$G130)+'Week 2'!$C130)-D130))</f>
        <v>0</v>
      </c>
      <c r="F130" s="201"/>
      <c r="G130" s="36">
        <f>IF(ISBLANK(Inventory!$A130),0,SUM('Week 3'!$E130:$G130)-((SUM('Week 2'!$E130:$G130)+'Week 3'!$C130)-F130))</f>
        <v>0</v>
      </c>
      <c r="H130" s="201"/>
      <c r="I130" s="36">
        <f>IF(ISBLANK(Inventory!$A130),0,SUM('Week 4'!$E130:$G130)-((SUM('Week 3'!$E130:$G130)+'Week 4'!$C130)-H130))</f>
        <v>0</v>
      </c>
      <c r="J130" s="201"/>
      <c r="K130" s="36">
        <f>IF(ISBLANK(Inventory!$A130),0,SUM('Week 5'!$E130:$G130)-((SUM('Week 4'!$E130:$G130)+'Week 5'!$C130)-J130))</f>
        <v>0</v>
      </c>
      <c r="L130" s="36">
        <f>IF(ISBLANK(Inventory!A130),0,SUM(B130,D130,F130,H130,J130))</f>
        <v>0</v>
      </c>
      <c r="M130" s="36">
        <f>IF(ISBLANK(Inventory!A130),0,SUM(C130,E130,G130,I130,K130))</f>
        <v>0</v>
      </c>
      <c r="N130" s="35" t="str">
        <f>IF(OR(ISBLANK(O130),O130=0),"",Settings!$B$14)</f>
        <v/>
      </c>
      <c r="O130" s="30">
        <f>IF(ISBLANK(Inventory!A130),0,M130*Inventory!J130)</f>
        <v>0</v>
      </c>
    </row>
    <row r="131" spans="1:15" s="29" customFormat="1" ht="15" customHeight="1">
      <c r="A131" s="31" t="str">
        <f>IF(Inventory!A131&gt;0,Inventory!A131,"")</f>
        <v/>
      </c>
      <c r="B131" s="201"/>
      <c r="C131" s="36">
        <f>IF(ISBLANK(Inventory!$A131),0,SUM('Week 1'!$E131:$G131)-((SUM('Stock Opening'!$C131:$E131)+'Week 1'!$C131)-B131))</f>
        <v>0</v>
      </c>
      <c r="D131" s="201"/>
      <c r="E131" s="36">
        <f>IF(ISBLANK(Inventory!$A131),0,SUM('Week 2'!$E131:$G131)-((SUM('Week 1'!$E131:$G131)+'Week 2'!$C131)-D131))</f>
        <v>0</v>
      </c>
      <c r="F131" s="201"/>
      <c r="G131" s="36">
        <f>IF(ISBLANK(Inventory!$A131),0,SUM('Week 3'!$E131:$G131)-((SUM('Week 2'!$E131:$G131)+'Week 3'!$C131)-F131))</f>
        <v>0</v>
      </c>
      <c r="H131" s="201"/>
      <c r="I131" s="36">
        <f>IF(ISBLANK(Inventory!$A131),0,SUM('Week 4'!$E131:$G131)-((SUM('Week 3'!$E131:$G131)+'Week 4'!$C131)-H131))</f>
        <v>0</v>
      </c>
      <c r="J131" s="201"/>
      <c r="K131" s="36">
        <f>IF(ISBLANK(Inventory!$A131),0,SUM('Week 5'!$E131:$G131)-((SUM('Week 4'!$E131:$G131)+'Week 5'!$C131)-J131))</f>
        <v>0</v>
      </c>
      <c r="L131" s="36">
        <f>IF(ISBLANK(Inventory!A131),0,SUM(B131,D131,F131,H131,J131))</f>
        <v>0</v>
      </c>
      <c r="M131" s="36">
        <f>IF(ISBLANK(Inventory!A131),0,SUM(C131,E131,G131,I131,K131))</f>
        <v>0</v>
      </c>
      <c r="N131" s="35" t="str">
        <f>IF(OR(ISBLANK(O131),O131=0),"",Settings!$B$14)</f>
        <v/>
      </c>
      <c r="O131" s="30">
        <f>IF(ISBLANK(Inventory!A131),0,M131*Inventory!J131)</f>
        <v>0</v>
      </c>
    </row>
    <row r="132" spans="1:15" s="29" customFormat="1" ht="15" customHeight="1">
      <c r="A132" s="31" t="str">
        <f>IF(Inventory!A132&gt;0,Inventory!A132,"")</f>
        <v/>
      </c>
      <c r="B132" s="201"/>
      <c r="C132" s="36">
        <f>IF(ISBLANK(Inventory!$A132),0,SUM('Week 1'!$E132:$G132)-((SUM('Stock Opening'!$C132:$E132)+'Week 1'!$C132)-B132))</f>
        <v>0</v>
      </c>
      <c r="D132" s="201"/>
      <c r="E132" s="36">
        <f>IF(ISBLANK(Inventory!$A132),0,SUM('Week 2'!$E132:$G132)-((SUM('Week 1'!$E132:$G132)+'Week 2'!$C132)-D132))</f>
        <v>0</v>
      </c>
      <c r="F132" s="201"/>
      <c r="G132" s="36">
        <f>IF(ISBLANK(Inventory!$A132),0,SUM('Week 3'!$E132:$G132)-((SUM('Week 2'!$E132:$G132)+'Week 3'!$C132)-F132))</f>
        <v>0</v>
      </c>
      <c r="H132" s="201"/>
      <c r="I132" s="36">
        <f>IF(ISBLANK(Inventory!$A132),0,SUM('Week 4'!$E132:$G132)-((SUM('Week 3'!$E132:$G132)+'Week 4'!$C132)-H132))</f>
        <v>0</v>
      </c>
      <c r="J132" s="201"/>
      <c r="K132" s="36">
        <f>IF(ISBLANK(Inventory!$A132),0,SUM('Week 5'!$E132:$G132)-((SUM('Week 4'!$E132:$G132)+'Week 5'!$C132)-J132))</f>
        <v>0</v>
      </c>
      <c r="L132" s="36">
        <f>IF(ISBLANK(Inventory!A132),0,SUM(B132,D132,F132,H132,J132))</f>
        <v>0</v>
      </c>
      <c r="M132" s="36">
        <f>IF(ISBLANK(Inventory!A132),0,SUM(C132,E132,G132,I132,K132))</f>
        <v>0</v>
      </c>
      <c r="N132" s="35" t="str">
        <f>IF(OR(ISBLANK(O132),O132=0),"",Settings!$B$14)</f>
        <v/>
      </c>
      <c r="O132" s="30">
        <f>IF(ISBLANK(Inventory!A132),0,M132*Inventory!J132)</f>
        <v>0</v>
      </c>
    </row>
    <row r="133" spans="1:15" s="29" customFormat="1" ht="15" customHeight="1">
      <c r="A133" s="31" t="str">
        <f>IF(Inventory!A133&gt;0,Inventory!A133,"")</f>
        <v/>
      </c>
      <c r="B133" s="201"/>
      <c r="C133" s="36">
        <f>IF(ISBLANK(Inventory!$A133),0,SUM('Week 1'!$E133:$G133)-((SUM('Stock Opening'!$C133:$E133)+'Week 1'!$C133)-B133))</f>
        <v>0</v>
      </c>
      <c r="D133" s="201"/>
      <c r="E133" s="36">
        <f>IF(ISBLANK(Inventory!$A133),0,SUM('Week 2'!$E133:$G133)-((SUM('Week 1'!$E133:$G133)+'Week 2'!$C133)-D133))</f>
        <v>0</v>
      </c>
      <c r="F133" s="201"/>
      <c r="G133" s="36">
        <f>IF(ISBLANK(Inventory!$A133),0,SUM('Week 3'!$E133:$G133)-((SUM('Week 2'!$E133:$G133)+'Week 3'!$C133)-F133))</f>
        <v>0</v>
      </c>
      <c r="H133" s="201"/>
      <c r="I133" s="36">
        <f>IF(ISBLANK(Inventory!$A133),0,SUM('Week 4'!$E133:$G133)-((SUM('Week 3'!$E133:$G133)+'Week 4'!$C133)-H133))</f>
        <v>0</v>
      </c>
      <c r="J133" s="201"/>
      <c r="K133" s="36">
        <f>IF(ISBLANK(Inventory!$A133),0,SUM('Week 5'!$E133:$G133)-((SUM('Week 4'!$E133:$G133)+'Week 5'!$C133)-J133))</f>
        <v>0</v>
      </c>
      <c r="L133" s="36">
        <f>IF(ISBLANK(Inventory!A133),0,SUM(B133,D133,F133,H133,J133))</f>
        <v>0</v>
      </c>
      <c r="M133" s="36">
        <f>IF(ISBLANK(Inventory!A133),0,SUM(C133,E133,G133,I133,K133))</f>
        <v>0</v>
      </c>
      <c r="N133" s="35" t="str">
        <f>IF(OR(ISBLANK(O133),O133=0),"",Settings!$B$14)</f>
        <v/>
      </c>
      <c r="O133" s="30">
        <f>IF(ISBLANK(Inventory!A133),0,M133*Inventory!J133)</f>
        <v>0</v>
      </c>
    </row>
    <row r="134" spans="1:15" s="29" customFormat="1" ht="15" customHeight="1">
      <c r="A134" s="31" t="str">
        <f>IF(Inventory!A134&gt;0,Inventory!A134,"")</f>
        <v/>
      </c>
      <c r="B134" s="201"/>
      <c r="C134" s="36">
        <f>IF(ISBLANK(Inventory!$A134),0,SUM('Week 1'!$E134:$G134)-((SUM('Stock Opening'!$C134:$E134)+'Week 1'!$C134)-B134))</f>
        <v>0</v>
      </c>
      <c r="D134" s="201"/>
      <c r="E134" s="36">
        <f>IF(ISBLANK(Inventory!$A134),0,SUM('Week 2'!$E134:$G134)-((SUM('Week 1'!$E134:$G134)+'Week 2'!$C134)-D134))</f>
        <v>0</v>
      </c>
      <c r="F134" s="201"/>
      <c r="G134" s="36">
        <f>IF(ISBLANK(Inventory!$A134),0,SUM('Week 3'!$E134:$G134)-((SUM('Week 2'!$E134:$G134)+'Week 3'!$C134)-F134))</f>
        <v>0</v>
      </c>
      <c r="H134" s="201"/>
      <c r="I134" s="36">
        <f>IF(ISBLANK(Inventory!$A134),0,SUM('Week 4'!$E134:$G134)-((SUM('Week 3'!$E134:$G134)+'Week 4'!$C134)-H134))</f>
        <v>0</v>
      </c>
      <c r="J134" s="201"/>
      <c r="K134" s="36">
        <f>IF(ISBLANK(Inventory!$A134),0,SUM('Week 5'!$E134:$G134)-((SUM('Week 4'!$E134:$G134)+'Week 5'!$C134)-J134))</f>
        <v>0</v>
      </c>
      <c r="L134" s="36">
        <f>IF(ISBLANK(Inventory!A134),0,SUM(B134,D134,F134,H134,J134))</f>
        <v>0</v>
      </c>
      <c r="M134" s="36">
        <f>IF(ISBLANK(Inventory!A134),0,SUM(C134,E134,G134,I134,K134))</f>
        <v>0</v>
      </c>
      <c r="N134" s="35" t="str">
        <f>IF(OR(ISBLANK(O134),O134=0),"",Settings!$B$14)</f>
        <v/>
      </c>
      <c r="O134" s="30">
        <f>IF(ISBLANK(Inventory!A134),0,M134*Inventory!J134)</f>
        <v>0</v>
      </c>
    </row>
    <row r="135" spans="1:15" ht="6.95" customHeight="1">
      <c r="A135" s="24"/>
      <c r="B135" s="69"/>
      <c r="C135" s="69"/>
      <c r="D135" s="69"/>
      <c r="E135" s="69"/>
      <c r="F135" s="69"/>
      <c r="G135" s="69"/>
      <c r="H135" s="69"/>
      <c r="I135" s="69"/>
      <c r="J135" s="69"/>
      <c r="K135" s="69"/>
      <c r="L135" s="69"/>
      <c r="M135" s="69"/>
      <c r="N135" s="69"/>
      <c r="O135" s="70"/>
    </row>
    <row r="136" spans="1:15" s="50" customFormat="1" ht="18" customHeight="1" thickBot="1">
      <c r="A136" s="78" t="str">
        <f>Inventory!A136</f>
        <v>CIDER</v>
      </c>
      <c r="B136" s="253" t="s">
        <v>3</v>
      </c>
      <c r="C136" s="253"/>
      <c r="D136" s="253" t="s">
        <v>3</v>
      </c>
      <c r="E136" s="253"/>
      <c r="F136" s="253" t="s">
        <v>3</v>
      </c>
      <c r="G136" s="253"/>
      <c r="H136" s="253" t="s">
        <v>3</v>
      </c>
      <c r="I136" s="253"/>
      <c r="J136" s="253" t="s">
        <v>3</v>
      </c>
      <c r="K136" s="253"/>
      <c r="L136" s="253" t="s">
        <v>3</v>
      </c>
      <c r="M136" s="253"/>
      <c r="N136" s="79"/>
      <c r="O136" s="80"/>
    </row>
    <row r="137" spans="1:15" ht="6.95" customHeight="1" thickTop="1">
      <c r="A137" s="76"/>
      <c r="B137" s="71"/>
      <c r="C137" s="71"/>
      <c r="D137" s="71"/>
      <c r="E137" s="71"/>
      <c r="F137" s="71"/>
      <c r="G137" s="71"/>
      <c r="H137" s="71"/>
      <c r="I137" s="71"/>
      <c r="J137" s="71"/>
      <c r="K137" s="71"/>
      <c r="L137" s="71"/>
      <c r="M137" s="71"/>
      <c r="N137" s="71"/>
      <c r="O137" s="68"/>
    </row>
    <row r="138" spans="1:15" s="29" customFormat="1" ht="15" customHeight="1">
      <c r="A138" s="31" t="str">
        <f>IF(Inventory!A138&gt;0,Inventory!A138,"")</f>
        <v>Strongbow</v>
      </c>
      <c r="B138" s="201"/>
      <c r="C138" s="36">
        <f>IF(ISBLANK(Inventory!$A138),0,SUM('Week 1'!$E138:$G138)-((SUM('Stock Opening'!$C138:$E138)+'Week 1'!$C138)-B138))</f>
        <v>0</v>
      </c>
      <c r="D138" s="201"/>
      <c r="E138" s="36">
        <f>IF(ISBLANK(Inventory!$A138),0,SUM('Week 2'!$E138:$G138)-((SUM('Week 1'!$E138:$G138)+'Week 2'!$C138)-D138))</f>
        <v>0</v>
      </c>
      <c r="F138" s="201"/>
      <c r="G138" s="36">
        <f>IF(ISBLANK(Inventory!$A138),0,SUM('Week 3'!$E138:$G138)-((SUM('Week 2'!$E138:$G138)+'Week 3'!$C138)-F138))</f>
        <v>0</v>
      </c>
      <c r="H138" s="201"/>
      <c r="I138" s="36">
        <f>IF(ISBLANK(Inventory!$A138),0,SUM('Week 4'!$E138:$G138)-((SUM('Week 3'!$E138:$G138)+'Week 4'!$C138)-H138))</f>
        <v>0</v>
      </c>
      <c r="J138" s="201"/>
      <c r="K138" s="36">
        <f>IF(ISBLANK(Inventory!$A138),0,SUM('Week 5'!$E138:$G138)-((SUM('Week 4'!$E138:$G138)+'Week 5'!$C138)-J138))</f>
        <v>0</v>
      </c>
      <c r="L138" s="36">
        <f>IF(ISBLANK(Inventory!A138),0,SUM(B138,D138,F138,H138,J138))</f>
        <v>0</v>
      </c>
      <c r="M138" s="36">
        <f>IF(ISBLANK(Inventory!A138),0,SUM(C138,E138,G138,I138,K138))</f>
        <v>0</v>
      </c>
      <c r="N138" s="35" t="str">
        <f>IF(OR(ISBLANK(O138),O138=0),"",Settings!$B$14)</f>
        <v/>
      </c>
      <c r="O138" s="30">
        <f>IF(ISBLANK(Inventory!A138),0,M138*Inventory!J138)</f>
        <v>0</v>
      </c>
    </row>
    <row r="139" spans="1:15" s="29" customFormat="1" ht="15" customHeight="1">
      <c r="A139" s="31" t="str">
        <f>IF(Inventory!A139&gt;0,Inventory!A139,"")</f>
        <v>Woodpecker</v>
      </c>
      <c r="B139" s="201"/>
      <c r="C139" s="36">
        <f>IF(ISBLANK(Inventory!$A139),0,SUM('Week 1'!$E139:$G139)-((SUM('Stock Opening'!$C139:$E139)+'Week 1'!$C139)-B139))</f>
        <v>0</v>
      </c>
      <c r="D139" s="201"/>
      <c r="E139" s="36">
        <f>IF(ISBLANK(Inventory!$A139),0,SUM('Week 2'!$E139:$G139)-((SUM('Week 1'!$E139:$G139)+'Week 2'!$C139)-D139))</f>
        <v>0</v>
      </c>
      <c r="F139" s="201"/>
      <c r="G139" s="36">
        <f>IF(ISBLANK(Inventory!$A139),0,SUM('Week 3'!$E139:$G139)-((SUM('Week 2'!$E139:$G139)+'Week 3'!$C139)-F139))</f>
        <v>0</v>
      </c>
      <c r="H139" s="201"/>
      <c r="I139" s="36">
        <f>IF(ISBLANK(Inventory!$A139),0,SUM('Week 4'!$E139:$G139)-((SUM('Week 3'!$E139:$G139)+'Week 4'!$C139)-H139))</f>
        <v>0</v>
      </c>
      <c r="J139" s="201"/>
      <c r="K139" s="36">
        <f>IF(ISBLANK(Inventory!$A139),0,SUM('Week 5'!$E139:$G139)-((SUM('Week 4'!$E139:$G139)+'Week 5'!$C139)-J139))</f>
        <v>0</v>
      </c>
      <c r="L139" s="36">
        <f>IF(ISBLANK(Inventory!A139),0,SUM(B139,D139,F139,H139,J139))</f>
        <v>0</v>
      </c>
      <c r="M139" s="36">
        <f>IF(ISBLANK(Inventory!A139),0,SUM(C139,E139,G139,I139,K139))</f>
        <v>0</v>
      </c>
      <c r="N139" s="35" t="str">
        <f>IF(OR(ISBLANK(O139),O139=0),"",Settings!$B$14)</f>
        <v/>
      </c>
      <c r="O139" s="30">
        <f>IF(ISBLANK(Inventory!A139),0,M139*Inventory!J139)</f>
        <v>0</v>
      </c>
    </row>
    <row r="140" spans="1:15" s="29" customFormat="1" ht="15" customHeight="1">
      <c r="A140" s="31" t="str">
        <f>IF(Inventory!A140&gt;0,Inventory!A140,"")</f>
        <v/>
      </c>
      <c r="B140" s="201"/>
      <c r="C140" s="36">
        <f>IF(ISBLANK(Inventory!$A140),0,SUM('Week 1'!$E140:$G140)-((SUM('Stock Opening'!$C140:$E140)+'Week 1'!$C140)-B140))</f>
        <v>0</v>
      </c>
      <c r="D140" s="201"/>
      <c r="E140" s="36">
        <f>IF(ISBLANK(Inventory!$A140),0,SUM('Week 2'!$E140:$G140)-((SUM('Week 1'!$E140:$G140)+'Week 2'!$C140)-D140))</f>
        <v>0</v>
      </c>
      <c r="F140" s="201"/>
      <c r="G140" s="36">
        <f>IF(ISBLANK(Inventory!$A140),0,SUM('Week 3'!$E140:$G140)-((SUM('Week 2'!$E140:$G140)+'Week 3'!$C140)-F140))</f>
        <v>0</v>
      </c>
      <c r="H140" s="201"/>
      <c r="I140" s="36">
        <f>IF(ISBLANK(Inventory!$A140),0,SUM('Week 4'!$E140:$G140)-((SUM('Week 3'!$E140:$G140)+'Week 4'!$C140)-H140))</f>
        <v>0</v>
      </c>
      <c r="J140" s="201"/>
      <c r="K140" s="36">
        <f>IF(ISBLANK(Inventory!$A140),0,SUM('Week 5'!$E140:$G140)-((SUM('Week 4'!$E140:$G140)+'Week 5'!$C140)-J140))</f>
        <v>0</v>
      </c>
      <c r="L140" s="36">
        <f>IF(ISBLANK(Inventory!A140),0,SUM(B140,D140,F140,H140,J140))</f>
        <v>0</v>
      </c>
      <c r="M140" s="36">
        <f>IF(ISBLANK(Inventory!A140),0,SUM(C140,E140,G140,I140,K140))</f>
        <v>0</v>
      </c>
      <c r="N140" s="35" t="str">
        <f>IF(OR(ISBLANK(O140),O140=0),"",Settings!$B$14)</f>
        <v/>
      </c>
      <c r="O140" s="30">
        <f>IF(ISBLANK(Inventory!A140),0,M140*Inventory!J140)</f>
        <v>0</v>
      </c>
    </row>
    <row r="141" spans="1:15" s="29" customFormat="1" ht="15" customHeight="1">
      <c r="A141" s="31" t="str">
        <f>IF(Inventory!A141&gt;0,Inventory!A141,"")</f>
        <v/>
      </c>
      <c r="B141" s="201"/>
      <c r="C141" s="36">
        <f>IF(ISBLANK(Inventory!$A141),0,SUM('Week 1'!$E141:$G141)-((SUM('Stock Opening'!$C141:$E141)+'Week 1'!$C141)-B141))</f>
        <v>0</v>
      </c>
      <c r="D141" s="201"/>
      <c r="E141" s="36">
        <f>IF(ISBLANK(Inventory!$A141),0,SUM('Week 2'!$E141:$G141)-((SUM('Week 1'!$E141:$G141)+'Week 2'!$C141)-D141))</f>
        <v>0</v>
      </c>
      <c r="F141" s="201"/>
      <c r="G141" s="36">
        <f>IF(ISBLANK(Inventory!$A141),0,SUM('Week 3'!$E141:$G141)-((SUM('Week 2'!$E141:$G141)+'Week 3'!$C141)-F141))</f>
        <v>0</v>
      </c>
      <c r="H141" s="201"/>
      <c r="I141" s="36">
        <f>IF(ISBLANK(Inventory!$A141),0,SUM('Week 4'!$E141:$G141)-((SUM('Week 3'!$E141:$G141)+'Week 4'!$C141)-H141))</f>
        <v>0</v>
      </c>
      <c r="J141" s="201"/>
      <c r="K141" s="36">
        <f>IF(ISBLANK(Inventory!$A141),0,SUM('Week 5'!$E141:$G141)-((SUM('Week 4'!$E141:$G141)+'Week 5'!$C141)-J141))</f>
        <v>0</v>
      </c>
      <c r="L141" s="36">
        <f>IF(ISBLANK(Inventory!A141),0,SUM(B141,D141,F141,H141,J141))</f>
        <v>0</v>
      </c>
      <c r="M141" s="36">
        <f>IF(ISBLANK(Inventory!A141),0,SUM(C141,E141,G141,I141,K141))</f>
        <v>0</v>
      </c>
      <c r="N141" s="35" t="str">
        <f>IF(OR(ISBLANK(O141),O141=0),"",Settings!$B$14)</f>
        <v/>
      </c>
      <c r="O141" s="30">
        <f>IF(ISBLANK(Inventory!A141),0,M141*Inventory!J141)</f>
        <v>0</v>
      </c>
    </row>
    <row r="142" spans="1:15" s="29" customFormat="1" ht="15" customHeight="1">
      <c r="A142" s="31" t="str">
        <f>IF(Inventory!A142&gt;0,Inventory!A142,"")</f>
        <v/>
      </c>
      <c r="B142" s="201"/>
      <c r="C142" s="36">
        <f>IF(ISBLANK(Inventory!$A142),0,SUM('Week 1'!$E142:$G142)-((SUM('Stock Opening'!$C142:$E142)+'Week 1'!$C142)-B142))</f>
        <v>0</v>
      </c>
      <c r="D142" s="201"/>
      <c r="E142" s="36">
        <f>IF(ISBLANK(Inventory!$A142),0,SUM('Week 2'!$E142:$G142)-((SUM('Week 1'!$E142:$G142)+'Week 2'!$C142)-D142))</f>
        <v>0</v>
      </c>
      <c r="F142" s="201"/>
      <c r="G142" s="36">
        <f>IF(ISBLANK(Inventory!$A142),0,SUM('Week 3'!$E142:$G142)-((SUM('Week 2'!$E142:$G142)+'Week 3'!$C142)-F142))</f>
        <v>0</v>
      </c>
      <c r="H142" s="201"/>
      <c r="I142" s="36">
        <f>IF(ISBLANK(Inventory!$A142),0,SUM('Week 4'!$E142:$G142)-((SUM('Week 3'!$E142:$G142)+'Week 4'!$C142)-H142))</f>
        <v>0</v>
      </c>
      <c r="J142" s="201"/>
      <c r="K142" s="36">
        <f>IF(ISBLANK(Inventory!$A142),0,SUM('Week 5'!$E142:$G142)-((SUM('Week 4'!$E142:$G142)+'Week 5'!$C142)-J142))</f>
        <v>0</v>
      </c>
      <c r="L142" s="36">
        <f>IF(ISBLANK(Inventory!A142),0,SUM(B142,D142,F142,H142,J142))</f>
        <v>0</v>
      </c>
      <c r="M142" s="36">
        <f>IF(ISBLANK(Inventory!A142),0,SUM(C142,E142,G142,I142,K142))</f>
        <v>0</v>
      </c>
      <c r="N142" s="35" t="str">
        <f>IF(OR(ISBLANK(O142),O142=0),"",Settings!$B$14)</f>
        <v/>
      </c>
      <c r="O142" s="30">
        <f>IF(ISBLANK(Inventory!A142),0,M142*Inventory!J142)</f>
        <v>0</v>
      </c>
    </row>
    <row r="143" spans="1:15" s="29" customFormat="1" ht="15" customHeight="1">
      <c r="A143" s="31" t="str">
        <f>IF(Inventory!A143&gt;0,Inventory!A143,"")</f>
        <v/>
      </c>
      <c r="B143" s="201"/>
      <c r="C143" s="36">
        <f>IF(ISBLANK(Inventory!$A143),0,SUM('Week 1'!$E143:$G143)-((SUM('Stock Opening'!$C143:$E143)+'Week 1'!$C143)-B143))</f>
        <v>0</v>
      </c>
      <c r="D143" s="201"/>
      <c r="E143" s="36">
        <f>IF(ISBLANK(Inventory!$A143),0,SUM('Week 2'!$E143:$G143)-((SUM('Week 1'!$E143:$G143)+'Week 2'!$C143)-D143))</f>
        <v>0</v>
      </c>
      <c r="F143" s="201"/>
      <c r="G143" s="36">
        <f>IF(ISBLANK(Inventory!$A143),0,SUM('Week 3'!$E143:$G143)-((SUM('Week 2'!$E143:$G143)+'Week 3'!$C143)-F143))</f>
        <v>0</v>
      </c>
      <c r="H143" s="201"/>
      <c r="I143" s="36">
        <f>IF(ISBLANK(Inventory!$A143),0,SUM('Week 4'!$E143:$G143)-((SUM('Week 3'!$E143:$G143)+'Week 4'!$C143)-H143))</f>
        <v>0</v>
      </c>
      <c r="J143" s="201"/>
      <c r="K143" s="36">
        <f>IF(ISBLANK(Inventory!$A143),0,SUM('Week 5'!$E143:$G143)-((SUM('Week 4'!$E143:$G143)+'Week 5'!$C143)-J143))</f>
        <v>0</v>
      </c>
      <c r="L143" s="36">
        <f>IF(ISBLANK(Inventory!A143),0,SUM(B143,D143,F143,H143,J143))</f>
        <v>0</v>
      </c>
      <c r="M143" s="36">
        <f>IF(ISBLANK(Inventory!A143),0,SUM(C143,E143,G143,I143,K143))</f>
        <v>0</v>
      </c>
      <c r="N143" s="35" t="str">
        <f>IF(OR(ISBLANK(O143),O143=0),"",Settings!$B$14)</f>
        <v/>
      </c>
      <c r="O143" s="30">
        <f>IF(ISBLANK(Inventory!A143),0,M143*Inventory!J143)</f>
        <v>0</v>
      </c>
    </row>
    <row r="144" spans="1:15" s="29" customFormat="1" ht="15" customHeight="1">
      <c r="A144" s="31" t="str">
        <f>IF(Inventory!A144&gt;0,Inventory!A144,"")</f>
        <v/>
      </c>
      <c r="B144" s="201"/>
      <c r="C144" s="36">
        <f>IF(ISBLANK(Inventory!$A144),0,SUM('Week 1'!$E144:$G144)-((SUM('Stock Opening'!$C144:$E144)+'Week 1'!$C144)-B144))</f>
        <v>0</v>
      </c>
      <c r="D144" s="201"/>
      <c r="E144" s="36">
        <f>IF(ISBLANK(Inventory!$A144),0,SUM('Week 2'!$E144:$G144)-((SUM('Week 1'!$E144:$G144)+'Week 2'!$C144)-D144))</f>
        <v>0</v>
      </c>
      <c r="F144" s="201"/>
      <c r="G144" s="36">
        <f>IF(ISBLANK(Inventory!$A144),0,SUM('Week 3'!$E144:$G144)-((SUM('Week 2'!$E144:$G144)+'Week 3'!$C144)-F144))</f>
        <v>0</v>
      </c>
      <c r="H144" s="201"/>
      <c r="I144" s="36">
        <f>IF(ISBLANK(Inventory!$A144),0,SUM('Week 4'!$E144:$G144)-((SUM('Week 3'!$E144:$G144)+'Week 4'!$C144)-H144))</f>
        <v>0</v>
      </c>
      <c r="J144" s="201"/>
      <c r="K144" s="36">
        <f>IF(ISBLANK(Inventory!$A144),0,SUM('Week 5'!$E144:$G144)-((SUM('Week 4'!$E144:$G144)+'Week 5'!$C144)-J144))</f>
        <v>0</v>
      </c>
      <c r="L144" s="36">
        <f>IF(ISBLANK(Inventory!A144),0,SUM(B144,D144,F144,H144,J144))</f>
        <v>0</v>
      </c>
      <c r="M144" s="36">
        <f>IF(ISBLANK(Inventory!A144),0,SUM(C144,E144,G144,I144,K144))</f>
        <v>0</v>
      </c>
      <c r="N144" s="35" t="str">
        <f>IF(OR(ISBLANK(O144),O144=0),"",Settings!$B$14)</f>
        <v/>
      </c>
      <c r="O144" s="30">
        <f>IF(ISBLANK(Inventory!A144),0,M144*Inventory!J144)</f>
        <v>0</v>
      </c>
    </row>
    <row r="145" spans="1:15" s="29" customFormat="1" ht="15" customHeight="1">
      <c r="A145" s="31" t="str">
        <f>IF(Inventory!A145&gt;0,Inventory!A145,"")</f>
        <v/>
      </c>
      <c r="B145" s="201"/>
      <c r="C145" s="36">
        <f>IF(ISBLANK(Inventory!$A145),0,SUM('Week 1'!$E145:$G145)-((SUM('Stock Opening'!$C145:$E145)+'Week 1'!$C145)-B145))</f>
        <v>0</v>
      </c>
      <c r="D145" s="201"/>
      <c r="E145" s="36">
        <f>IF(ISBLANK(Inventory!$A145),0,SUM('Week 2'!$E145:$G145)-((SUM('Week 1'!$E145:$G145)+'Week 2'!$C145)-D145))</f>
        <v>0</v>
      </c>
      <c r="F145" s="201"/>
      <c r="G145" s="36">
        <f>IF(ISBLANK(Inventory!$A145),0,SUM('Week 3'!$E145:$G145)-((SUM('Week 2'!$E145:$G145)+'Week 3'!$C145)-F145))</f>
        <v>0</v>
      </c>
      <c r="H145" s="201"/>
      <c r="I145" s="36">
        <f>IF(ISBLANK(Inventory!$A145),0,SUM('Week 4'!$E145:$G145)-((SUM('Week 3'!$E145:$G145)+'Week 4'!$C145)-H145))</f>
        <v>0</v>
      </c>
      <c r="J145" s="201"/>
      <c r="K145" s="36">
        <f>IF(ISBLANK(Inventory!$A145),0,SUM('Week 5'!$E145:$G145)-((SUM('Week 4'!$E145:$G145)+'Week 5'!$C145)-J145))</f>
        <v>0</v>
      </c>
      <c r="L145" s="36">
        <f>IF(ISBLANK(Inventory!A145),0,SUM(B145,D145,F145,H145,J145))</f>
        <v>0</v>
      </c>
      <c r="M145" s="36">
        <f>IF(ISBLANK(Inventory!A145),0,SUM(C145,E145,G145,I145,K145))</f>
        <v>0</v>
      </c>
      <c r="N145" s="35" t="str">
        <f>IF(OR(ISBLANK(O145),O145=0),"",Settings!$B$14)</f>
        <v/>
      </c>
      <c r="O145" s="30">
        <f>IF(ISBLANK(Inventory!A145),0,M145*Inventory!J145)</f>
        <v>0</v>
      </c>
    </row>
    <row r="146" spans="1:15" s="29" customFormat="1" ht="15" customHeight="1">
      <c r="A146" s="31" t="str">
        <f>IF(Inventory!A146&gt;0,Inventory!A146,"")</f>
        <v/>
      </c>
      <c r="B146" s="201"/>
      <c r="C146" s="36">
        <f>IF(ISBLANK(Inventory!$A146),0,SUM('Week 1'!$E146:$G146)-((SUM('Stock Opening'!$C146:$E146)+'Week 1'!$C146)-B146))</f>
        <v>0</v>
      </c>
      <c r="D146" s="201"/>
      <c r="E146" s="36">
        <f>IF(ISBLANK(Inventory!$A146),0,SUM('Week 2'!$E146:$G146)-((SUM('Week 1'!$E146:$G146)+'Week 2'!$C146)-D146))</f>
        <v>0</v>
      </c>
      <c r="F146" s="201"/>
      <c r="G146" s="36">
        <f>IF(ISBLANK(Inventory!$A146),0,SUM('Week 3'!$E146:$G146)-((SUM('Week 2'!$E146:$G146)+'Week 3'!$C146)-F146))</f>
        <v>0</v>
      </c>
      <c r="H146" s="201"/>
      <c r="I146" s="36">
        <f>IF(ISBLANK(Inventory!$A146),0,SUM('Week 4'!$E146:$G146)-((SUM('Week 3'!$E146:$G146)+'Week 4'!$C146)-H146))</f>
        <v>0</v>
      </c>
      <c r="J146" s="201"/>
      <c r="K146" s="36">
        <f>IF(ISBLANK(Inventory!$A146),0,SUM('Week 5'!$E146:$G146)-((SUM('Week 4'!$E146:$G146)+'Week 5'!$C146)-J146))</f>
        <v>0</v>
      </c>
      <c r="L146" s="36">
        <f>IF(ISBLANK(Inventory!A146),0,SUM(B146,D146,F146,H146,J146))</f>
        <v>0</v>
      </c>
      <c r="M146" s="36">
        <f>IF(ISBLANK(Inventory!A146),0,SUM(C146,E146,G146,I146,K146))</f>
        <v>0</v>
      </c>
      <c r="N146" s="35" t="str">
        <f>IF(OR(ISBLANK(O146),O146=0),"",Settings!$B$14)</f>
        <v/>
      </c>
      <c r="O146" s="30">
        <f>IF(ISBLANK(Inventory!A146),0,M146*Inventory!J146)</f>
        <v>0</v>
      </c>
    </row>
    <row r="147" spans="1:15" ht="6.95" customHeight="1">
      <c r="A147" s="24"/>
      <c r="B147" s="69"/>
      <c r="C147" s="69"/>
      <c r="D147" s="69"/>
      <c r="E147" s="69"/>
      <c r="F147" s="69"/>
      <c r="G147" s="69"/>
      <c r="H147" s="69"/>
      <c r="I147" s="69"/>
      <c r="J147" s="69"/>
      <c r="K147" s="69"/>
      <c r="L147" s="69"/>
      <c r="M147" s="69"/>
      <c r="N147" s="69"/>
      <c r="O147" s="70"/>
    </row>
    <row r="148" spans="1:15" s="50" customFormat="1" ht="18" customHeight="1" thickBot="1">
      <c r="A148" s="78" t="str">
        <f>Inventory!A148</f>
        <v>MINERALS/JUICES</v>
      </c>
      <c r="B148" s="253" t="s">
        <v>3</v>
      </c>
      <c r="C148" s="253"/>
      <c r="D148" s="253" t="s">
        <v>3</v>
      </c>
      <c r="E148" s="253"/>
      <c r="F148" s="253" t="s">
        <v>3</v>
      </c>
      <c r="G148" s="253"/>
      <c r="H148" s="253" t="s">
        <v>3</v>
      </c>
      <c r="I148" s="253"/>
      <c r="J148" s="253" t="s">
        <v>3</v>
      </c>
      <c r="K148" s="253"/>
      <c r="L148" s="253" t="s">
        <v>3</v>
      </c>
      <c r="M148" s="253"/>
      <c r="N148" s="79"/>
      <c r="O148" s="80"/>
    </row>
    <row r="149" spans="1:15" ht="6.95" customHeight="1" thickTop="1">
      <c r="A149" s="76"/>
      <c r="B149" s="71"/>
      <c r="C149" s="71"/>
      <c r="D149" s="71"/>
      <c r="E149" s="71"/>
      <c r="F149" s="71"/>
      <c r="G149" s="71"/>
      <c r="H149" s="71"/>
      <c r="I149" s="71"/>
      <c r="J149" s="71"/>
      <c r="K149" s="71"/>
      <c r="L149" s="71"/>
      <c r="M149" s="71"/>
      <c r="N149" s="71"/>
      <c r="O149" s="68"/>
    </row>
    <row r="150" spans="1:15" s="29" customFormat="1" ht="15" customHeight="1">
      <c r="A150" s="31" t="str">
        <f>IF(Inventory!A150&gt;0,Inventory!A150,"")</f>
        <v>Britvic J20</v>
      </c>
      <c r="B150" s="201"/>
      <c r="C150" s="36">
        <f>IF(ISBLANK(Inventory!$A150),0,SUM('Week 1'!$E150:$G150)-((SUM('Stock Opening'!$C150:$E150)+'Week 1'!$C150)-B150))</f>
        <v>-1</v>
      </c>
      <c r="D150" s="201"/>
      <c r="E150" s="36">
        <f>IF(ISBLANK(Inventory!$A150),0,SUM('Week 2'!$E150:$G150)-((SUM('Week 1'!$E150:$G150)+'Week 2'!$C150)-D150))</f>
        <v>0</v>
      </c>
      <c r="F150" s="201"/>
      <c r="G150" s="36">
        <f>IF(ISBLANK(Inventory!$A150),0,SUM('Week 3'!$E150:$G150)-((SUM('Week 2'!$E150:$G150)+'Week 3'!$C150)-F150))</f>
        <v>0</v>
      </c>
      <c r="H150" s="201"/>
      <c r="I150" s="36">
        <f>IF(ISBLANK(Inventory!$A150),0,SUM('Week 4'!$E150:$G150)-((SUM('Week 3'!$E150:$G150)+'Week 4'!$C150)-H150))</f>
        <v>0</v>
      </c>
      <c r="J150" s="201"/>
      <c r="K150" s="36">
        <f>IF(ISBLANK(Inventory!$A150),0,SUM('Week 5'!$E150:$G150)-((SUM('Week 4'!$E150:$G150)+'Week 5'!$C150)-J150))</f>
        <v>0</v>
      </c>
      <c r="L150" s="36">
        <f>IF(ISBLANK(Inventory!A150),0,SUM(B150,D150,F150,H150,J150))</f>
        <v>0</v>
      </c>
      <c r="M150" s="36">
        <f>IF(ISBLANK(Inventory!A150),0,SUM(C150,E150,G150,I150,K150))</f>
        <v>-1</v>
      </c>
      <c r="N150" s="35" t="str">
        <f>IF(OR(ISBLANK(O150),O150=0),"",Settings!$B$14)</f>
        <v>$</v>
      </c>
      <c r="O150" s="30">
        <f>IF(ISBLANK(Inventory!A150),0,M150*Inventory!J150)</f>
        <v>-1.74</v>
      </c>
    </row>
    <row r="151" spans="1:15" s="29" customFormat="1" ht="15" customHeight="1">
      <c r="A151" s="31" t="str">
        <f>IF(Inventory!A151&gt;0,Inventory!A151,"")</f>
        <v>Coke/Diet Coke</v>
      </c>
      <c r="B151" s="201"/>
      <c r="C151" s="36">
        <f>IF(ISBLANK(Inventory!$A151),0,SUM('Week 1'!$E151:$G151)-((SUM('Stock Opening'!$C151:$E151)+'Week 1'!$C151)-B151))</f>
        <v>0</v>
      </c>
      <c r="D151" s="201"/>
      <c r="E151" s="36">
        <f>IF(ISBLANK(Inventory!$A151),0,SUM('Week 2'!$E151:$G151)-((SUM('Week 1'!$E151:$G151)+'Week 2'!$C151)-D151))</f>
        <v>0</v>
      </c>
      <c r="F151" s="201"/>
      <c r="G151" s="36">
        <f>IF(ISBLANK(Inventory!$A151),0,SUM('Week 3'!$E151:$G151)-((SUM('Week 2'!$E151:$G151)+'Week 3'!$C151)-F151))</f>
        <v>0</v>
      </c>
      <c r="H151" s="201"/>
      <c r="I151" s="36">
        <f>IF(ISBLANK(Inventory!$A151),0,SUM('Week 4'!$E151:$G151)-((SUM('Week 3'!$E151:$G151)+'Week 4'!$C151)-H151))</f>
        <v>0</v>
      </c>
      <c r="J151" s="201"/>
      <c r="K151" s="36">
        <f>IF(ISBLANK(Inventory!$A151),0,SUM('Week 5'!$E151:$G151)-((SUM('Week 4'!$E151:$G151)+'Week 5'!$C151)-J151))</f>
        <v>0</v>
      </c>
      <c r="L151" s="36">
        <f>IF(ISBLANK(Inventory!A151),0,SUM(B151,D151,F151,H151,J151))</f>
        <v>0</v>
      </c>
      <c r="M151" s="36">
        <f>IF(ISBLANK(Inventory!A151),0,SUM(C151,E151,G151,I151,K151))</f>
        <v>0</v>
      </c>
      <c r="N151" s="35" t="str">
        <f>IF(OR(ISBLANK(O151),O151=0),"",Settings!$B$14)</f>
        <v/>
      </c>
      <c r="O151" s="30">
        <f>IF(ISBLANK(Inventory!A151),0,M151*Inventory!J151)</f>
        <v>0</v>
      </c>
    </row>
    <row r="152" spans="1:15" s="29" customFormat="1" ht="15" customHeight="1">
      <c r="A152" s="31" t="str">
        <f>IF(Inventory!A152&gt;0,Inventory!A152,"")</f>
        <v>Fruit Juices</v>
      </c>
      <c r="B152" s="201"/>
      <c r="C152" s="36">
        <f>IF(ISBLANK(Inventory!$A152),0,SUM('Week 1'!$E152:$G152)-((SUM('Stock Opening'!$C152:$E152)+'Week 1'!$C152)-B152))</f>
        <v>0</v>
      </c>
      <c r="D152" s="201"/>
      <c r="E152" s="36">
        <f>IF(ISBLANK(Inventory!$A152),0,SUM('Week 2'!$E152:$G152)-((SUM('Week 1'!$E152:$G152)+'Week 2'!$C152)-D152))</f>
        <v>0</v>
      </c>
      <c r="F152" s="201"/>
      <c r="G152" s="36">
        <f>IF(ISBLANK(Inventory!$A152),0,SUM('Week 3'!$E152:$G152)-((SUM('Week 2'!$E152:$G152)+'Week 3'!$C152)-F152))</f>
        <v>0</v>
      </c>
      <c r="H152" s="201"/>
      <c r="I152" s="36">
        <f>IF(ISBLANK(Inventory!$A152),0,SUM('Week 4'!$E152:$G152)-((SUM('Week 3'!$E152:$G152)+'Week 4'!$C152)-H152))</f>
        <v>0</v>
      </c>
      <c r="J152" s="201"/>
      <c r="K152" s="36">
        <f>IF(ISBLANK(Inventory!$A152),0,SUM('Week 5'!$E152:$G152)-((SUM('Week 4'!$E152:$G152)+'Week 5'!$C152)-J152))</f>
        <v>0</v>
      </c>
      <c r="L152" s="36">
        <f>IF(ISBLANK(Inventory!A152),0,SUM(B152,D152,F152,H152,J152))</f>
        <v>0</v>
      </c>
      <c r="M152" s="36">
        <f>IF(ISBLANK(Inventory!A152),0,SUM(C152,E152,G152,I152,K152))</f>
        <v>0</v>
      </c>
      <c r="N152" s="35" t="str">
        <f>IF(OR(ISBLANK(O152),O152=0),"",Settings!$B$14)</f>
        <v/>
      </c>
      <c r="O152" s="30">
        <f>IF(ISBLANK(Inventory!A152),0,M152*Inventory!J152)</f>
        <v>0</v>
      </c>
    </row>
    <row r="153" spans="1:15" s="29" customFormat="1" ht="15" customHeight="1">
      <c r="A153" s="31" t="str">
        <f>IF(Inventory!A153&gt;0,Inventory!A153,"")</f>
        <v>Fruit Juices</v>
      </c>
      <c r="B153" s="201"/>
      <c r="C153" s="36">
        <f>IF(ISBLANK(Inventory!$A153),0,SUM('Week 1'!$E153:$G153)-((SUM('Stock Opening'!$C153:$E153)+'Week 1'!$C153)-B153))</f>
        <v>0</v>
      </c>
      <c r="D153" s="201"/>
      <c r="E153" s="36">
        <f>IF(ISBLANK(Inventory!$A153),0,SUM('Week 2'!$E153:$G153)-((SUM('Week 1'!$E153:$G153)+'Week 2'!$C153)-D153))</f>
        <v>0</v>
      </c>
      <c r="F153" s="201"/>
      <c r="G153" s="36">
        <f>IF(ISBLANK(Inventory!$A153),0,SUM('Week 3'!$E153:$G153)-((SUM('Week 2'!$E153:$G153)+'Week 3'!$C153)-F153))</f>
        <v>0</v>
      </c>
      <c r="H153" s="201"/>
      <c r="I153" s="36">
        <f>IF(ISBLANK(Inventory!$A153),0,SUM('Week 4'!$E153:$G153)-((SUM('Week 3'!$E153:$G153)+'Week 4'!$C153)-H153))</f>
        <v>0</v>
      </c>
      <c r="J153" s="201"/>
      <c r="K153" s="36">
        <f>IF(ISBLANK(Inventory!$A153),0,SUM('Week 5'!$E153:$G153)-((SUM('Week 4'!$E153:$G153)+'Week 5'!$C153)-J153))</f>
        <v>0</v>
      </c>
      <c r="L153" s="36">
        <f>IF(ISBLANK(Inventory!A153),0,SUM(B153,D153,F153,H153,J153))</f>
        <v>0</v>
      </c>
      <c r="M153" s="36">
        <f>IF(ISBLANK(Inventory!A153),0,SUM(C153,E153,G153,I153,K153))</f>
        <v>0</v>
      </c>
      <c r="N153" s="35" t="str">
        <f>IF(OR(ISBLANK(O153),O153=0),"",Settings!$B$14)</f>
        <v/>
      </c>
      <c r="O153" s="30">
        <f>IF(ISBLANK(Inventory!A153),0,M153*Inventory!J153)</f>
        <v>0</v>
      </c>
    </row>
    <row r="154" spans="1:15" s="29" customFormat="1" ht="15" customHeight="1">
      <c r="A154" s="31" t="str">
        <f>IF(Inventory!A154&gt;0,Inventory!A154,"")</f>
        <v>Minerals</v>
      </c>
      <c r="B154" s="201"/>
      <c r="C154" s="36">
        <f>IF(ISBLANK(Inventory!$A154),0,SUM('Week 1'!$E154:$G154)-((SUM('Stock Opening'!$C154:$E154)+'Week 1'!$C154)-B154))</f>
        <v>0</v>
      </c>
      <c r="D154" s="201"/>
      <c r="E154" s="36">
        <f>IF(ISBLANK(Inventory!$A154),0,SUM('Week 2'!$E154:$G154)-((SUM('Week 1'!$E154:$G154)+'Week 2'!$C154)-D154))</f>
        <v>0</v>
      </c>
      <c r="F154" s="201"/>
      <c r="G154" s="36">
        <f>IF(ISBLANK(Inventory!$A154),0,SUM('Week 3'!$E154:$G154)-((SUM('Week 2'!$E154:$G154)+'Week 3'!$C154)-F154))</f>
        <v>0</v>
      </c>
      <c r="H154" s="201"/>
      <c r="I154" s="36">
        <f>IF(ISBLANK(Inventory!$A154),0,SUM('Week 4'!$E154:$G154)-((SUM('Week 3'!$E154:$G154)+'Week 4'!$C154)-H154))</f>
        <v>0</v>
      </c>
      <c r="J154" s="201"/>
      <c r="K154" s="36">
        <f>IF(ISBLANK(Inventory!$A154),0,SUM('Week 5'!$E154:$G154)-((SUM('Week 4'!$E154:$G154)+'Week 5'!$C154)-J154))</f>
        <v>0</v>
      </c>
      <c r="L154" s="36">
        <f>IF(ISBLANK(Inventory!A154),0,SUM(B154,D154,F154,H154,J154))</f>
        <v>0</v>
      </c>
      <c r="M154" s="36">
        <f>IF(ISBLANK(Inventory!A154),0,SUM(C154,E154,G154,I154,K154))</f>
        <v>0</v>
      </c>
      <c r="N154" s="35" t="str">
        <f>IF(OR(ISBLANK(O154),O154=0),"",Settings!$B$14)</f>
        <v/>
      </c>
      <c r="O154" s="30">
        <f>IF(ISBLANK(Inventory!A154),0,M154*Inventory!J154)</f>
        <v>0</v>
      </c>
    </row>
    <row r="155" spans="1:15" s="29" customFormat="1" ht="15" customHeight="1">
      <c r="A155" s="31" t="str">
        <f>IF(Inventory!A155&gt;0,Inventory!A155,"")</f>
        <v>Minerals</v>
      </c>
      <c r="B155" s="201"/>
      <c r="C155" s="36">
        <f>IF(ISBLANK(Inventory!$A155),0,SUM('Week 1'!$E155:$G155)-((SUM('Stock Opening'!$C155:$E155)+'Week 1'!$C155)-B155))</f>
        <v>0</v>
      </c>
      <c r="D155" s="201"/>
      <c r="E155" s="36">
        <f>IF(ISBLANK(Inventory!$A155),0,SUM('Week 2'!$E155:$G155)-((SUM('Week 1'!$E155:$G155)+'Week 2'!$C155)-D155))</f>
        <v>0</v>
      </c>
      <c r="F155" s="201"/>
      <c r="G155" s="36">
        <f>IF(ISBLANK(Inventory!$A155),0,SUM('Week 3'!$E155:$G155)-((SUM('Week 2'!$E155:$G155)+'Week 3'!$C155)-F155))</f>
        <v>0</v>
      </c>
      <c r="H155" s="201"/>
      <c r="I155" s="36">
        <f>IF(ISBLANK(Inventory!$A155),0,SUM('Week 4'!$E155:$G155)-((SUM('Week 3'!$E155:$G155)+'Week 4'!$C155)-H155))</f>
        <v>0</v>
      </c>
      <c r="J155" s="201"/>
      <c r="K155" s="36">
        <f>IF(ISBLANK(Inventory!$A155),0,SUM('Week 5'!$E155:$G155)-((SUM('Week 4'!$E155:$G155)+'Week 5'!$C155)-J155))</f>
        <v>0</v>
      </c>
      <c r="L155" s="36">
        <f>IF(ISBLANK(Inventory!A155),0,SUM(B155,D155,F155,H155,J155))</f>
        <v>0</v>
      </c>
      <c r="M155" s="36">
        <f>IF(ISBLANK(Inventory!A155),0,SUM(C155,E155,G155,I155,K155))</f>
        <v>0</v>
      </c>
      <c r="N155" s="35" t="str">
        <f>IF(OR(ISBLANK(O155),O155=0),"",Settings!$B$14)</f>
        <v/>
      </c>
      <c r="O155" s="30">
        <f>IF(ISBLANK(Inventory!A155),0,M155*Inventory!J155)</f>
        <v>0</v>
      </c>
    </row>
    <row r="156" spans="1:15" s="29" customFormat="1" ht="15" customHeight="1">
      <c r="A156" s="31" t="str">
        <f>IF(Inventory!A156&gt;0,Inventory!A156,"")</f>
        <v>Tango Diet</v>
      </c>
      <c r="B156" s="201"/>
      <c r="C156" s="36">
        <f>IF(ISBLANK(Inventory!$A156),0,SUM('Week 1'!$E156:$G156)-((SUM('Stock Opening'!$C156:$E156)+'Week 1'!$C156)-B156))</f>
        <v>0</v>
      </c>
      <c r="D156" s="201"/>
      <c r="E156" s="36">
        <f>IF(ISBLANK(Inventory!$A156),0,SUM('Week 2'!$E156:$G156)-((SUM('Week 1'!$E156:$G156)+'Week 2'!$C156)-D156))</f>
        <v>0</v>
      </c>
      <c r="F156" s="201"/>
      <c r="G156" s="36">
        <f>IF(ISBLANK(Inventory!$A156),0,SUM('Week 3'!$E156:$G156)-((SUM('Week 2'!$E156:$G156)+'Week 3'!$C156)-F156))</f>
        <v>0</v>
      </c>
      <c r="H156" s="201"/>
      <c r="I156" s="36">
        <f>IF(ISBLANK(Inventory!$A156),0,SUM('Week 4'!$E156:$G156)-((SUM('Week 3'!$E156:$G156)+'Week 4'!$C156)-H156))</f>
        <v>0</v>
      </c>
      <c r="J156" s="201"/>
      <c r="K156" s="36">
        <f>IF(ISBLANK(Inventory!$A156),0,SUM('Week 5'!$E156:$G156)-((SUM('Week 4'!$E156:$G156)+'Week 5'!$C156)-J156))</f>
        <v>0</v>
      </c>
      <c r="L156" s="36">
        <f>IF(ISBLANK(Inventory!A156),0,SUM(B156,D156,F156,H156,J156))</f>
        <v>0</v>
      </c>
      <c r="M156" s="36">
        <f>IF(ISBLANK(Inventory!A156),0,SUM(C156,E156,G156,I156,K156))</f>
        <v>0</v>
      </c>
      <c r="N156" s="35" t="str">
        <f>IF(OR(ISBLANK(O156),O156=0),"",Settings!$B$14)</f>
        <v/>
      </c>
      <c r="O156" s="30">
        <f>IF(ISBLANK(Inventory!A156),0,M156*Inventory!J156)</f>
        <v>0</v>
      </c>
    </row>
    <row r="157" spans="1:15" s="29" customFormat="1" ht="15" customHeight="1">
      <c r="A157" s="31" t="str">
        <f>IF(Inventory!A157&gt;0,Inventory!A157,"")</f>
        <v>Strathmore</v>
      </c>
      <c r="B157" s="201"/>
      <c r="C157" s="36">
        <f>IF(ISBLANK(Inventory!$A157),0,SUM('Week 1'!$E157:$G157)-((SUM('Stock Opening'!$C157:$E157)+'Week 1'!$C157)-B157))</f>
        <v>0</v>
      </c>
      <c r="D157" s="201"/>
      <c r="E157" s="36">
        <f>IF(ISBLANK(Inventory!$A157),0,SUM('Week 2'!$E157:$G157)-((SUM('Week 1'!$E157:$G157)+'Week 2'!$C157)-D157))</f>
        <v>0</v>
      </c>
      <c r="F157" s="201"/>
      <c r="G157" s="36">
        <f>IF(ISBLANK(Inventory!$A157),0,SUM('Week 3'!$E157:$G157)-((SUM('Week 2'!$E157:$G157)+'Week 3'!$C157)-F157))</f>
        <v>0</v>
      </c>
      <c r="H157" s="201"/>
      <c r="I157" s="36">
        <f>IF(ISBLANK(Inventory!$A157),0,SUM('Week 4'!$E157:$G157)-((SUM('Week 3'!$E157:$G157)+'Week 4'!$C157)-H157))</f>
        <v>0</v>
      </c>
      <c r="J157" s="201"/>
      <c r="K157" s="36">
        <f>IF(ISBLANK(Inventory!$A157),0,SUM('Week 5'!$E157:$G157)-((SUM('Week 4'!$E157:$G157)+'Week 5'!$C157)-J157))</f>
        <v>0</v>
      </c>
      <c r="L157" s="36">
        <f>IF(ISBLANK(Inventory!A157),0,SUM(B157,D157,F157,H157,J157))</f>
        <v>0</v>
      </c>
      <c r="M157" s="36">
        <f>IF(ISBLANK(Inventory!A157),0,SUM(C157,E157,G157,I157,K157))</f>
        <v>0</v>
      </c>
      <c r="N157" s="35" t="str">
        <f>IF(OR(ISBLANK(O157),O157=0),"",Settings!$B$14)</f>
        <v/>
      </c>
      <c r="O157" s="30">
        <f>IF(ISBLANK(Inventory!A157),0,M157*Inventory!J157)</f>
        <v>0</v>
      </c>
    </row>
    <row r="158" spans="1:15" s="29" customFormat="1" ht="15" customHeight="1">
      <c r="A158" s="31" t="str">
        <f>IF(Inventory!A158&gt;0,Inventory!A158,"")</f>
        <v>Strathmore</v>
      </c>
      <c r="B158" s="201"/>
      <c r="C158" s="36">
        <f>IF(ISBLANK(Inventory!$A158),0,SUM('Week 1'!$E158:$G158)-((SUM('Stock Opening'!$C158:$E158)+'Week 1'!$C158)-B158))</f>
        <v>0</v>
      </c>
      <c r="D158" s="201"/>
      <c r="E158" s="36">
        <f>IF(ISBLANK(Inventory!$A158),0,SUM('Week 2'!$E158:$G158)-((SUM('Week 1'!$E158:$G158)+'Week 2'!$C158)-D158))</f>
        <v>0</v>
      </c>
      <c r="F158" s="201"/>
      <c r="G158" s="36">
        <f>IF(ISBLANK(Inventory!$A158),0,SUM('Week 3'!$E158:$G158)-((SUM('Week 2'!$E158:$G158)+'Week 3'!$C158)-F158))</f>
        <v>0</v>
      </c>
      <c r="H158" s="201"/>
      <c r="I158" s="36">
        <f>IF(ISBLANK(Inventory!$A158),0,SUM('Week 4'!$E158:$G158)-((SUM('Week 3'!$E158:$G158)+'Week 4'!$C158)-H158))</f>
        <v>0</v>
      </c>
      <c r="J158" s="201"/>
      <c r="K158" s="36">
        <f>IF(ISBLANK(Inventory!$A158),0,SUM('Week 5'!$E158:$G158)-((SUM('Week 4'!$E158:$G158)+'Week 5'!$C158)-J158))</f>
        <v>0</v>
      </c>
      <c r="L158" s="36">
        <f>IF(ISBLANK(Inventory!A158),0,SUM(B158,D158,F158,H158,J158))</f>
        <v>0</v>
      </c>
      <c r="M158" s="36">
        <f>IF(ISBLANK(Inventory!A158),0,SUM(C158,E158,G158,I158,K158))</f>
        <v>0</v>
      </c>
      <c r="N158" s="35" t="str">
        <f>IF(OR(ISBLANK(O158),O158=0),"",Settings!$B$14)</f>
        <v/>
      </c>
      <c r="O158" s="30">
        <f>IF(ISBLANK(Inventory!A158),0,M158*Inventory!J158)</f>
        <v>0</v>
      </c>
    </row>
    <row r="159" spans="1:15" s="29" customFormat="1" ht="15" customHeight="1">
      <c r="A159" s="31" t="str">
        <f>IF(Inventory!A159&gt;0,Inventory!A159,"")</f>
        <v>Red Bull</v>
      </c>
      <c r="B159" s="201"/>
      <c r="C159" s="36">
        <f>IF(ISBLANK(Inventory!$A159),0,SUM('Week 1'!$E159:$G159)-((SUM('Stock Opening'!$C159:$E159)+'Week 1'!$C159)-B159))</f>
        <v>0</v>
      </c>
      <c r="D159" s="201"/>
      <c r="E159" s="36">
        <f>IF(ISBLANK(Inventory!$A159),0,SUM('Week 2'!$E159:$G159)-((SUM('Week 1'!$E159:$G159)+'Week 2'!$C159)-D159))</f>
        <v>0</v>
      </c>
      <c r="F159" s="201"/>
      <c r="G159" s="36">
        <f>IF(ISBLANK(Inventory!$A159),0,SUM('Week 3'!$E159:$G159)-((SUM('Week 2'!$E159:$G159)+'Week 3'!$C159)-F159))</f>
        <v>0</v>
      </c>
      <c r="H159" s="201"/>
      <c r="I159" s="36">
        <f>IF(ISBLANK(Inventory!$A159),0,SUM('Week 4'!$E159:$G159)-((SUM('Week 3'!$E159:$G159)+'Week 4'!$C159)-H159))</f>
        <v>0</v>
      </c>
      <c r="J159" s="201"/>
      <c r="K159" s="36">
        <f>IF(ISBLANK(Inventory!$A159),0,SUM('Week 5'!$E159:$G159)-((SUM('Week 4'!$E159:$G159)+'Week 5'!$C159)-J159))</f>
        <v>0</v>
      </c>
      <c r="L159" s="36">
        <f>IF(ISBLANK(Inventory!A159),0,SUM(B159,D159,F159,H159,J159))</f>
        <v>0</v>
      </c>
      <c r="M159" s="36">
        <f>IF(ISBLANK(Inventory!A159),0,SUM(C159,E159,G159,I159,K159))</f>
        <v>0</v>
      </c>
      <c r="N159" s="35" t="str">
        <f>IF(OR(ISBLANK(O159),O159=0),"",Settings!$B$14)</f>
        <v/>
      </c>
      <c r="O159" s="30">
        <f>IF(ISBLANK(Inventory!A159),0,M159*Inventory!J159)</f>
        <v>0</v>
      </c>
    </row>
    <row r="160" spans="1:15" s="29" customFormat="1" ht="15" customHeight="1">
      <c r="A160" s="31" t="str">
        <f>IF(Inventory!A160&gt;0,Inventory!A160,"")</f>
        <v>Squash/Cordial</v>
      </c>
      <c r="B160" s="201"/>
      <c r="C160" s="36">
        <f>IF(ISBLANK(Inventory!$A160),0,SUM('Week 1'!$E160:$G160)-((SUM('Stock Opening'!$C160:$E160)+'Week 1'!$C160)-B160))</f>
        <v>0</v>
      </c>
      <c r="D160" s="201"/>
      <c r="E160" s="36">
        <f>IF(ISBLANK(Inventory!$A160),0,SUM('Week 2'!$E160:$G160)-((SUM('Week 1'!$E160:$G160)+'Week 2'!$C160)-D160))</f>
        <v>0</v>
      </c>
      <c r="F160" s="201"/>
      <c r="G160" s="36">
        <f>IF(ISBLANK(Inventory!$A160),0,SUM('Week 3'!$E160:$G160)-((SUM('Week 2'!$E160:$G160)+'Week 3'!$C160)-F160))</f>
        <v>0</v>
      </c>
      <c r="H160" s="201"/>
      <c r="I160" s="36">
        <f>IF(ISBLANK(Inventory!$A160),0,SUM('Week 4'!$E160:$G160)-((SUM('Week 3'!$E160:$G160)+'Week 4'!$C160)-H160))</f>
        <v>0</v>
      </c>
      <c r="J160" s="201"/>
      <c r="K160" s="36">
        <f>IF(ISBLANK(Inventory!$A160),0,SUM('Week 5'!$E160:$G160)-((SUM('Week 4'!$E160:$G160)+'Week 5'!$C160)-J160))</f>
        <v>0</v>
      </c>
      <c r="L160" s="36">
        <f>IF(ISBLANK(Inventory!A160),0,SUM(B160,D160,F160,H160,J160))</f>
        <v>0</v>
      </c>
      <c r="M160" s="36">
        <f>IF(ISBLANK(Inventory!A160),0,SUM(C160,E160,G160,I160,K160))</f>
        <v>0</v>
      </c>
      <c r="N160" s="35" t="str">
        <f>IF(OR(ISBLANK(O160),O160=0),"",Settings!$B$14)</f>
        <v/>
      </c>
      <c r="O160" s="30">
        <f>IF(ISBLANK(Inventory!A160),0,M160*Inventory!J160)</f>
        <v>0</v>
      </c>
    </row>
    <row r="161" spans="1:15" s="29" customFormat="1" ht="15" customHeight="1">
      <c r="A161" s="31" t="str">
        <f>IF(Inventory!A161&gt;0,Inventory!A161,"")</f>
        <v>Lime Cordial</v>
      </c>
      <c r="B161" s="201"/>
      <c r="C161" s="36">
        <f>IF(ISBLANK(Inventory!$A161),0,SUM('Week 1'!$E161:$G161)-((SUM('Stock Opening'!$C161:$E161)+'Week 1'!$C161)-B161))</f>
        <v>0</v>
      </c>
      <c r="D161" s="201"/>
      <c r="E161" s="36">
        <f>IF(ISBLANK(Inventory!$A161),0,SUM('Week 2'!$E161:$G161)-((SUM('Week 1'!$E161:$G161)+'Week 2'!$C161)-D161))</f>
        <v>-9.9999999999999978E-2</v>
      </c>
      <c r="F161" s="201"/>
      <c r="G161" s="36">
        <f>IF(ISBLANK(Inventory!$A161),0,SUM('Week 3'!$E161:$G161)-((SUM('Week 2'!$E161:$G161)+'Week 3'!$C161)-F161))</f>
        <v>0</v>
      </c>
      <c r="H161" s="201"/>
      <c r="I161" s="36">
        <f>IF(ISBLANK(Inventory!$A161),0,SUM('Week 4'!$E161:$G161)-((SUM('Week 3'!$E161:$G161)+'Week 4'!$C161)-H161))</f>
        <v>0</v>
      </c>
      <c r="J161" s="201"/>
      <c r="K161" s="36">
        <f>IF(ISBLANK(Inventory!$A161),0,SUM('Week 5'!$E161:$G161)-((SUM('Week 4'!$E161:$G161)+'Week 5'!$C161)-J161))</f>
        <v>0</v>
      </c>
      <c r="L161" s="36">
        <f>IF(ISBLANK(Inventory!A161),0,SUM(B161,D161,F161,H161,J161))</f>
        <v>0</v>
      </c>
      <c r="M161" s="36">
        <f>IF(ISBLANK(Inventory!A161),0,SUM(C161,E161,G161,I161,K161))</f>
        <v>-9.9999999999999978E-2</v>
      </c>
      <c r="N161" s="35" t="str">
        <f>IF(OR(ISBLANK(O161),O161=0),"",Settings!$B$14)</f>
        <v>$</v>
      </c>
      <c r="O161" s="30">
        <f>IF(ISBLANK(Inventory!A161),0,M161*Inventory!J161)</f>
        <v>-0.62999999999999989</v>
      </c>
    </row>
    <row r="162" spans="1:15" s="29" customFormat="1" ht="15" customHeight="1">
      <c r="A162" s="31" t="str">
        <f>IF(Inventory!A162&gt;0,Inventory!A162,"")</f>
        <v>Coke/Diet Coke (Cans)</v>
      </c>
      <c r="B162" s="201"/>
      <c r="C162" s="36">
        <f>IF(ISBLANK(Inventory!$A162),0,SUM('Week 1'!$E162:$G162)-((SUM('Stock Opening'!$C162:$E162)+'Week 1'!$C162)-B162))</f>
        <v>0</v>
      </c>
      <c r="D162" s="201"/>
      <c r="E162" s="36">
        <f>IF(ISBLANK(Inventory!$A162),0,SUM('Week 2'!$E162:$G162)-((SUM('Week 1'!$E162:$G162)+'Week 2'!$C162)-D162))</f>
        <v>0</v>
      </c>
      <c r="F162" s="201"/>
      <c r="G162" s="36">
        <f>IF(ISBLANK(Inventory!$A162),0,SUM('Week 3'!$E162:$G162)-((SUM('Week 2'!$E162:$G162)+'Week 3'!$C162)-F162))</f>
        <v>0</v>
      </c>
      <c r="H162" s="201"/>
      <c r="I162" s="36">
        <f>IF(ISBLANK(Inventory!$A162),0,SUM('Week 4'!$E162:$G162)-((SUM('Week 3'!$E162:$G162)+'Week 4'!$C162)-H162))</f>
        <v>0</v>
      </c>
      <c r="J162" s="201"/>
      <c r="K162" s="36">
        <f>IF(ISBLANK(Inventory!$A162),0,SUM('Week 5'!$E162:$G162)-((SUM('Week 4'!$E162:$G162)+'Week 5'!$C162)-J162))</f>
        <v>0</v>
      </c>
      <c r="L162" s="36">
        <f>IF(ISBLANK(Inventory!A162),0,SUM(B162,D162,F162,H162,J162))</f>
        <v>0</v>
      </c>
      <c r="M162" s="36">
        <f>IF(ISBLANK(Inventory!A162),0,SUM(C162,E162,G162,I162,K162))</f>
        <v>0</v>
      </c>
      <c r="N162" s="35" t="str">
        <f>IF(OR(ISBLANK(O162),O162=0),"",Settings!$B$14)</f>
        <v/>
      </c>
      <c r="O162" s="30">
        <f>IF(ISBLANK(Inventory!A162),0,M162*Inventory!J162)</f>
        <v>0</v>
      </c>
    </row>
    <row r="163" spans="1:15" s="29" customFormat="1" ht="15" customHeight="1">
      <c r="A163" s="31" t="str">
        <f>IF(Inventory!A163&gt;0,Inventory!A163,"")</f>
        <v/>
      </c>
      <c r="B163" s="201"/>
      <c r="C163" s="36">
        <f>IF(ISBLANK(Inventory!$A163),0,SUM('Week 1'!$E163:$G163)-((SUM('Stock Opening'!$C163:$E163)+'Week 1'!$C163)-B163))</f>
        <v>0</v>
      </c>
      <c r="D163" s="201"/>
      <c r="E163" s="36">
        <f>IF(ISBLANK(Inventory!$A163),0,SUM('Week 2'!$E163:$G163)-((SUM('Week 1'!$E163:$G163)+'Week 2'!$C163)-D163))</f>
        <v>0</v>
      </c>
      <c r="F163" s="201"/>
      <c r="G163" s="36">
        <f>IF(ISBLANK(Inventory!$A163),0,SUM('Week 3'!$E163:$G163)-((SUM('Week 2'!$E163:$G163)+'Week 3'!$C163)-F163))</f>
        <v>0</v>
      </c>
      <c r="H163" s="201"/>
      <c r="I163" s="36">
        <f>IF(ISBLANK(Inventory!$A163),0,SUM('Week 4'!$E163:$G163)-((SUM('Week 3'!$E163:$G163)+'Week 4'!$C163)-H163))</f>
        <v>0</v>
      </c>
      <c r="J163" s="201"/>
      <c r="K163" s="36">
        <f>IF(ISBLANK(Inventory!$A163),0,SUM('Week 5'!$E163:$G163)-((SUM('Week 4'!$E163:$G163)+'Week 5'!$C163)-J163))</f>
        <v>0</v>
      </c>
      <c r="L163" s="36">
        <f>IF(ISBLANK(Inventory!A163),0,SUM(B163,D163,F163,H163,J163))</f>
        <v>0</v>
      </c>
      <c r="M163" s="36">
        <f>IF(ISBLANK(Inventory!A163),0,SUM(C163,E163,G163,I163,K163))</f>
        <v>0</v>
      </c>
      <c r="N163" s="35" t="str">
        <f>IF(OR(ISBLANK(O163),O163=0),"",Settings!$B$14)</f>
        <v/>
      </c>
      <c r="O163" s="30">
        <f>IF(ISBLANK(Inventory!A163),0,M163*Inventory!J163)</f>
        <v>0</v>
      </c>
    </row>
    <row r="164" spans="1:15" s="29" customFormat="1" ht="15" customHeight="1">
      <c r="A164" s="31" t="str">
        <f>IF(Inventory!A164&gt;0,Inventory!A164,"")</f>
        <v/>
      </c>
      <c r="B164" s="201"/>
      <c r="C164" s="36">
        <f>IF(ISBLANK(Inventory!$A164),0,SUM('Week 1'!$E164:$G164)-((SUM('Stock Opening'!$C164:$E164)+'Week 1'!$C164)-B164))</f>
        <v>0</v>
      </c>
      <c r="D164" s="201"/>
      <c r="E164" s="36">
        <f>IF(ISBLANK(Inventory!$A164),0,SUM('Week 2'!$E164:$G164)-((SUM('Week 1'!$E164:$G164)+'Week 2'!$C164)-D164))</f>
        <v>0</v>
      </c>
      <c r="F164" s="201"/>
      <c r="G164" s="36">
        <f>IF(ISBLANK(Inventory!$A164),0,SUM('Week 3'!$E164:$G164)-((SUM('Week 2'!$E164:$G164)+'Week 3'!$C164)-F164))</f>
        <v>0</v>
      </c>
      <c r="H164" s="201"/>
      <c r="I164" s="36">
        <f>IF(ISBLANK(Inventory!$A164),0,SUM('Week 4'!$E164:$G164)-((SUM('Week 3'!$E164:$G164)+'Week 4'!$C164)-H164))</f>
        <v>0</v>
      </c>
      <c r="J164" s="201"/>
      <c r="K164" s="36">
        <f>IF(ISBLANK(Inventory!$A164),0,SUM('Week 5'!$E164:$G164)-((SUM('Week 4'!$E164:$G164)+'Week 5'!$C164)-J164))</f>
        <v>0</v>
      </c>
      <c r="L164" s="36">
        <f>IF(ISBLANK(Inventory!A164),0,SUM(B164,D164,F164,H164,J164))</f>
        <v>0</v>
      </c>
      <c r="M164" s="36">
        <f>IF(ISBLANK(Inventory!A164),0,SUM(C164,E164,G164,I164,K164))</f>
        <v>0</v>
      </c>
      <c r="N164" s="35" t="str">
        <f>IF(OR(ISBLANK(O164),O164=0),"",Settings!$B$14)</f>
        <v/>
      </c>
      <c r="O164" s="30">
        <f>IF(ISBLANK(Inventory!A164),0,M164*Inventory!J164)</f>
        <v>0</v>
      </c>
    </row>
    <row r="165" spans="1:15" s="29" customFormat="1" ht="15" customHeight="1">
      <c r="A165" s="31" t="str">
        <f>IF(Inventory!A165&gt;0,Inventory!A165,"")</f>
        <v/>
      </c>
      <c r="B165" s="201"/>
      <c r="C165" s="36">
        <f>IF(ISBLANK(Inventory!$A165),0,SUM('Week 1'!$E165:$G165)-((SUM('Stock Opening'!$C165:$E165)+'Week 1'!$C165)-B165))</f>
        <v>0</v>
      </c>
      <c r="D165" s="201"/>
      <c r="E165" s="36">
        <f>IF(ISBLANK(Inventory!$A165),0,SUM('Week 2'!$E165:$G165)-((SUM('Week 1'!$E165:$G165)+'Week 2'!$C165)-D165))</f>
        <v>0</v>
      </c>
      <c r="F165" s="201"/>
      <c r="G165" s="36">
        <f>IF(ISBLANK(Inventory!$A165),0,SUM('Week 3'!$E165:$G165)-((SUM('Week 2'!$E165:$G165)+'Week 3'!$C165)-F165))</f>
        <v>0</v>
      </c>
      <c r="H165" s="201"/>
      <c r="I165" s="36">
        <f>IF(ISBLANK(Inventory!$A165),0,SUM('Week 4'!$E165:$G165)-((SUM('Week 3'!$E165:$G165)+'Week 4'!$C165)-H165))</f>
        <v>0</v>
      </c>
      <c r="J165" s="201"/>
      <c r="K165" s="36">
        <f>IF(ISBLANK(Inventory!$A165),0,SUM('Week 5'!$E165:$G165)-((SUM('Week 4'!$E165:$G165)+'Week 5'!$C165)-J165))</f>
        <v>0</v>
      </c>
      <c r="L165" s="36">
        <f>IF(ISBLANK(Inventory!A165),0,SUM(B165,D165,F165,H165,J165))</f>
        <v>0</v>
      </c>
      <c r="M165" s="36">
        <f>IF(ISBLANK(Inventory!A165),0,SUM(C165,E165,G165,I165,K165))</f>
        <v>0</v>
      </c>
      <c r="N165" s="35" t="str">
        <f>IF(OR(ISBLANK(O165),O165=0),"",Settings!$B$14)</f>
        <v/>
      </c>
      <c r="O165" s="30">
        <f>IF(ISBLANK(Inventory!A165),0,M165*Inventory!J165)</f>
        <v>0</v>
      </c>
    </row>
    <row r="166" spans="1:15" s="29" customFormat="1" ht="15" customHeight="1">
      <c r="A166" s="31" t="str">
        <f>IF(Inventory!A166&gt;0,Inventory!A166,"")</f>
        <v/>
      </c>
      <c r="B166" s="201"/>
      <c r="C166" s="36">
        <f>IF(ISBLANK(Inventory!$A166),0,SUM('Week 1'!$E166:$G166)-((SUM('Stock Opening'!$C166:$E166)+'Week 1'!$C166)-B166))</f>
        <v>0</v>
      </c>
      <c r="D166" s="201"/>
      <c r="E166" s="36">
        <f>IF(ISBLANK(Inventory!$A166),0,SUM('Week 2'!$E166:$G166)-((SUM('Week 1'!$E166:$G166)+'Week 2'!$C166)-D166))</f>
        <v>0</v>
      </c>
      <c r="F166" s="201"/>
      <c r="G166" s="36">
        <f>IF(ISBLANK(Inventory!$A166),0,SUM('Week 3'!$E166:$G166)-((SUM('Week 2'!$E166:$G166)+'Week 3'!$C166)-F166))</f>
        <v>0</v>
      </c>
      <c r="H166" s="201"/>
      <c r="I166" s="36">
        <f>IF(ISBLANK(Inventory!$A166),0,SUM('Week 4'!$E166:$G166)-((SUM('Week 3'!$E166:$G166)+'Week 4'!$C166)-H166))</f>
        <v>0</v>
      </c>
      <c r="J166" s="201"/>
      <c r="K166" s="36">
        <f>IF(ISBLANK(Inventory!$A166),0,SUM('Week 5'!$E166:$G166)-((SUM('Week 4'!$E166:$G166)+'Week 5'!$C166)-J166))</f>
        <v>0</v>
      </c>
      <c r="L166" s="36">
        <f>IF(ISBLANK(Inventory!A166),0,SUM(B166,D166,F166,H166,J166))</f>
        <v>0</v>
      </c>
      <c r="M166" s="36">
        <f>IF(ISBLANK(Inventory!A166),0,SUM(C166,E166,G166,I166,K166))</f>
        <v>0</v>
      </c>
      <c r="N166" s="35" t="str">
        <f>IF(OR(ISBLANK(O166),O166=0),"",Settings!$B$14)</f>
        <v/>
      </c>
      <c r="O166" s="30">
        <f>IF(ISBLANK(Inventory!A166),0,M166*Inventory!J166)</f>
        <v>0</v>
      </c>
    </row>
    <row r="167" spans="1:15" s="29" customFormat="1" ht="15" customHeight="1">
      <c r="A167" s="31" t="str">
        <f>IF(Inventory!A167&gt;0,Inventory!A167,"")</f>
        <v/>
      </c>
      <c r="B167" s="201"/>
      <c r="C167" s="36">
        <f>IF(ISBLANK(Inventory!$A167),0,SUM('Week 1'!$E167:$G167)-((SUM('Stock Opening'!$C167:$E167)+'Week 1'!$C167)-B167))</f>
        <v>0</v>
      </c>
      <c r="D167" s="201"/>
      <c r="E167" s="36">
        <f>IF(ISBLANK(Inventory!$A167),0,SUM('Week 2'!$E167:$G167)-((SUM('Week 1'!$E167:$G167)+'Week 2'!$C167)-D167))</f>
        <v>0</v>
      </c>
      <c r="F167" s="201"/>
      <c r="G167" s="36">
        <f>IF(ISBLANK(Inventory!$A167),0,SUM('Week 3'!$E167:$G167)-((SUM('Week 2'!$E167:$G167)+'Week 3'!$C167)-F167))</f>
        <v>0</v>
      </c>
      <c r="H167" s="201"/>
      <c r="I167" s="36">
        <f>IF(ISBLANK(Inventory!$A167),0,SUM('Week 4'!$E167:$G167)-((SUM('Week 3'!$E167:$G167)+'Week 4'!$C167)-H167))</f>
        <v>0</v>
      </c>
      <c r="J167" s="201"/>
      <c r="K167" s="36">
        <f>IF(ISBLANK(Inventory!$A167),0,SUM('Week 5'!$E167:$G167)-((SUM('Week 4'!$E167:$G167)+'Week 5'!$C167)-J167))</f>
        <v>0</v>
      </c>
      <c r="L167" s="36">
        <f>IF(ISBLANK(Inventory!A167),0,SUM(B167,D167,F167,H167,J167))</f>
        <v>0</v>
      </c>
      <c r="M167" s="36">
        <f>IF(ISBLANK(Inventory!A167),0,SUM(C167,E167,G167,I167,K167))</f>
        <v>0</v>
      </c>
      <c r="N167" s="35" t="str">
        <f>IF(OR(ISBLANK(O167),O167=0),"",Settings!$B$14)</f>
        <v/>
      </c>
      <c r="O167" s="30">
        <f>IF(ISBLANK(Inventory!A167),0,M167*Inventory!J167)</f>
        <v>0</v>
      </c>
    </row>
    <row r="168" spans="1:15" s="29" customFormat="1" ht="15" customHeight="1">
      <c r="A168" s="31" t="str">
        <f>IF(Inventory!A168&gt;0,Inventory!A168,"")</f>
        <v/>
      </c>
      <c r="B168" s="201"/>
      <c r="C168" s="36">
        <f>IF(ISBLANK(Inventory!$A168),0,SUM('Week 1'!$E168:$G168)-((SUM('Stock Opening'!$C168:$E168)+'Week 1'!$C168)-B168))</f>
        <v>0</v>
      </c>
      <c r="D168" s="201"/>
      <c r="E168" s="36">
        <f>IF(ISBLANK(Inventory!$A168),0,SUM('Week 2'!$E168:$G168)-((SUM('Week 1'!$E168:$G168)+'Week 2'!$C168)-D168))</f>
        <v>0</v>
      </c>
      <c r="F168" s="201"/>
      <c r="G168" s="36">
        <f>IF(ISBLANK(Inventory!$A168),0,SUM('Week 3'!$E168:$G168)-((SUM('Week 2'!$E168:$G168)+'Week 3'!$C168)-F168))</f>
        <v>0</v>
      </c>
      <c r="H168" s="201"/>
      <c r="I168" s="36">
        <f>IF(ISBLANK(Inventory!$A168),0,SUM('Week 4'!$E168:$G168)-((SUM('Week 3'!$E168:$G168)+'Week 4'!$C168)-H168))</f>
        <v>0</v>
      </c>
      <c r="J168" s="201"/>
      <c r="K168" s="36">
        <f>IF(ISBLANK(Inventory!$A168),0,SUM('Week 5'!$E168:$G168)-((SUM('Week 4'!$E168:$G168)+'Week 5'!$C168)-J168))</f>
        <v>0</v>
      </c>
      <c r="L168" s="36">
        <f>IF(ISBLANK(Inventory!A168),0,SUM(B168,D168,F168,H168,J168))</f>
        <v>0</v>
      </c>
      <c r="M168" s="36">
        <f>IF(ISBLANK(Inventory!A168),0,SUM(C168,E168,G168,I168,K168))</f>
        <v>0</v>
      </c>
      <c r="N168" s="35" t="str">
        <f>IF(OR(ISBLANK(O168),O168=0),"",Settings!$B$14)</f>
        <v/>
      </c>
      <c r="O168" s="30">
        <f>IF(ISBLANK(Inventory!A168),0,M168*Inventory!J168)</f>
        <v>0</v>
      </c>
    </row>
    <row r="169" spans="1:15" s="29" customFormat="1" ht="15" customHeight="1">
      <c r="A169" s="31" t="str">
        <f>IF(Inventory!A169&gt;0,Inventory!A169,"")</f>
        <v/>
      </c>
      <c r="B169" s="201"/>
      <c r="C169" s="36">
        <f>IF(ISBLANK(Inventory!$A169),0,SUM('Week 1'!$E169:$G169)-((SUM('Stock Opening'!$C169:$E169)+'Week 1'!$C169)-B169))</f>
        <v>0</v>
      </c>
      <c r="D169" s="201"/>
      <c r="E169" s="36">
        <f>IF(ISBLANK(Inventory!$A169),0,SUM('Week 2'!$E169:$G169)-((SUM('Week 1'!$E169:$G169)+'Week 2'!$C169)-D169))</f>
        <v>0</v>
      </c>
      <c r="F169" s="201"/>
      <c r="G169" s="36">
        <f>IF(ISBLANK(Inventory!$A169),0,SUM('Week 3'!$E169:$G169)-((SUM('Week 2'!$E169:$G169)+'Week 3'!$C169)-F169))</f>
        <v>0</v>
      </c>
      <c r="H169" s="201"/>
      <c r="I169" s="36">
        <f>IF(ISBLANK(Inventory!$A169),0,SUM('Week 4'!$E169:$G169)-((SUM('Week 3'!$E169:$G169)+'Week 4'!$C169)-H169))</f>
        <v>0</v>
      </c>
      <c r="J169" s="201"/>
      <c r="K169" s="36">
        <f>IF(ISBLANK(Inventory!$A169),0,SUM('Week 5'!$E169:$G169)-((SUM('Week 4'!$E169:$G169)+'Week 5'!$C169)-J169))</f>
        <v>0</v>
      </c>
      <c r="L169" s="36">
        <f>IF(ISBLANK(Inventory!A169),0,SUM(B169,D169,F169,H169,J169))</f>
        <v>0</v>
      </c>
      <c r="M169" s="36">
        <f>IF(ISBLANK(Inventory!A169),0,SUM(C169,E169,G169,I169,K169))</f>
        <v>0</v>
      </c>
      <c r="N169" s="35" t="str">
        <f>IF(OR(ISBLANK(O169),O169=0),"",Settings!$B$14)</f>
        <v/>
      </c>
      <c r="O169" s="30">
        <f>IF(ISBLANK(Inventory!A169),0,M169*Inventory!J169)</f>
        <v>0</v>
      </c>
    </row>
    <row r="170" spans="1:15" ht="6.95" customHeight="1">
      <c r="A170" s="77"/>
      <c r="B170" s="69"/>
      <c r="C170" s="69"/>
      <c r="D170" s="69"/>
      <c r="E170" s="69"/>
      <c r="F170" s="69"/>
      <c r="G170" s="69"/>
      <c r="H170" s="69"/>
      <c r="I170" s="69"/>
      <c r="J170" s="69"/>
      <c r="K170" s="69"/>
      <c r="L170" s="69"/>
      <c r="M170" s="69"/>
      <c r="N170" s="69"/>
      <c r="O170" s="70"/>
    </row>
    <row r="171" spans="1:15" s="50" customFormat="1" ht="18" customHeight="1" thickBot="1">
      <c r="A171" s="78" t="str">
        <f>Inventory!A171</f>
        <v>POST-MIX DRINKS</v>
      </c>
      <c r="B171" s="253" t="s">
        <v>209</v>
      </c>
      <c r="C171" s="253"/>
      <c r="D171" s="253" t="s">
        <v>209</v>
      </c>
      <c r="E171" s="253"/>
      <c r="F171" s="253" t="s">
        <v>209</v>
      </c>
      <c r="G171" s="253"/>
      <c r="H171" s="253" t="s">
        <v>209</v>
      </c>
      <c r="I171" s="253"/>
      <c r="J171" s="253" t="s">
        <v>209</v>
      </c>
      <c r="K171" s="253"/>
      <c r="L171" s="253" t="s">
        <v>209</v>
      </c>
      <c r="M171" s="253"/>
      <c r="N171" s="81"/>
      <c r="O171" s="82"/>
    </row>
    <row r="172" spans="1:15" ht="6.95" customHeight="1" thickTop="1">
      <c r="A172" s="76"/>
      <c r="B172" s="71"/>
      <c r="C172" s="71"/>
      <c r="D172" s="71"/>
      <c r="E172" s="71"/>
      <c r="F172" s="71"/>
      <c r="G172" s="71"/>
      <c r="H172" s="71"/>
      <c r="I172" s="71"/>
      <c r="J172" s="71"/>
      <c r="K172" s="71"/>
      <c r="L172" s="71"/>
      <c r="M172" s="71"/>
      <c r="N172" s="71"/>
      <c r="O172" s="68"/>
    </row>
    <row r="173" spans="1:15" s="45" customFormat="1" ht="15" customHeight="1">
      <c r="A173" s="31" t="str">
        <f>IF(Inventory!A173&gt;0,Inventory!A173,"")</f>
        <v>Post-Mix Pepsi/Diet</v>
      </c>
      <c r="B173" s="201"/>
      <c r="C173" s="36">
        <f>IF(ISBLANK(Inventory!$A173),0,SUM('Week 1'!$E173:$G173)*Inventory!$D173-((SUM('Stock Opening'!$C173:$E173)+'Week 1'!$C173)*Inventory!$D173-B173))</f>
        <v>-50</v>
      </c>
      <c r="D173" s="201"/>
      <c r="E173" s="36">
        <f>IF(ISBLANK(Inventory!$A173),0,SUM('Week 2'!$E173:$G173)*Inventory!$D173-((SUM('Week 1'!$E173:$G173)+'Week 2'!$C173)*Inventory!$D173-D173))</f>
        <v>-450</v>
      </c>
      <c r="F173" s="201"/>
      <c r="G173" s="36">
        <f>IF(ISBLANK(Inventory!$A173),0,SUM('Week 3'!$E173:$G173)*Inventory!$D173-((SUM('Week 2'!$E173:$G173)+'Week 3'!$C173)*Inventory!$D173-F173))</f>
        <v>-250</v>
      </c>
      <c r="H173" s="201"/>
      <c r="I173" s="36">
        <f>IF(ISBLANK(Inventory!$A173),0,SUM('Week 4'!$E173:$G173)*Inventory!$D173-((SUM('Week 3'!$E173:$G173)+'Week 4'!$C173)*Inventory!$D173-H173))</f>
        <v>-250</v>
      </c>
      <c r="J173" s="201"/>
      <c r="K173" s="36">
        <f>IF(ISBLANK(Inventory!$A173),0,SUM('Week 5'!$E173:$G173)*Inventory!$D173-((SUM('Week 4'!$E173:$G173)+'Week 5'!$C173)*Inventory!$D173-J173))</f>
        <v>-250</v>
      </c>
      <c r="L173" s="36">
        <f>IF(ISBLANK(Inventory!A173),0,SUM(B173,D173,F173,H173,J173))</f>
        <v>0</v>
      </c>
      <c r="M173" s="36">
        <f>IF(ISBLANK(Inventory!A173),0,SUM(C173,E173,G173,I173,K173))</f>
        <v>-1250</v>
      </c>
      <c r="N173" s="35" t="str">
        <f>IF(OR(ISBLANK(O173),O173=0),"",Settings!$B$14)</f>
        <v>$</v>
      </c>
      <c r="O173" s="30">
        <f>IF(ISBLANK(Inventory!A173),0,M173*Inventory!J173)</f>
        <v>-2062.5</v>
      </c>
    </row>
    <row r="174" spans="1:15" s="45" customFormat="1" ht="15" customHeight="1">
      <c r="A174" s="31" t="str">
        <f>IF(Inventory!A174&gt;0,Inventory!A174,"")</f>
        <v>Post-Mix Lemonade</v>
      </c>
      <c r="B174" s="201"/>
      <c r="C174" s="36">
        <f>IF(ISBLANK(Inventory!$A174),0,SUM('Week 1'!$E174:$G174)*Inventory!$D174-((SUM('Stock Opening'!$C174:$E174)+'Week 1'!$C174)*Inventory!$D174-B174))</f>
        <v>-25</v>
      </c>
      <c r="D174" s="201"/>
      <c r="E174" s="36">
        <f>IF(ISBLANK(Inventory!$A174),0,SUM('Week 2'!$E174:$G174)*Inventory!$D174-((SUM('Week 1'!$E174:$G174)+'Week 2'!$C174)*Inventory!$D174-D174))</f>
        <v>-475</v>
      </c>
      <c r="F174" s="201"/>
      <c r="G174" s="36">
        <f>IF(ISBLANK(Inventory!$A174),0,SUM('Week 3'!$E174:$G174)*Inventory!$D174-((SUM('Week 2'!$E174:$G174)+'Week 3'!$C174)*Inventory!$D174-F174))</f>
        <v>-250</v>
      </c>
      <c r="H174" s="201"/>
      <c r="I174" s="36">
        <f>IF(ISBLANK(Inventory!$A174),0,SUM('Week 4'!$E174:$G174)*Inventory!$D174-((SUM('Week 3'!$E174:$G174)+'Week 4'!$C174)*Inventory!$D174-H174))</f>
        <v>-250</v>
      </c>
      <c r="J174" s="201"/>
      <c r="K174" s="36">
        <f>IF(ISBLANK(Inventory!$A174),0,SUM('Week 5'!$E174:$G174)*Inventory!$D174-((SUM('Week 4'!$E174:$G174)+'Week 5'!$C174)*Inventory!$D174-J174))</f>
        <v>-250</v>
      </c>
      <c r="L174" s="36">
        <f>IF(ISBLANK(Inventory!A174),0,SUM(B174,D174,F174,H174,J174))</f>
        <v>0</v>
      </c>
      <c r="M174" s="36">
        <f>IF(ISBLANK(Inventory!A174),0,SUM(C174,E174,G174,I174,K174))</f>
        <v>-1250</v>
      </c>
      <c r="N174" s="35" t="str">
        <f>IF(OR(ISBLANK(O174),O174=0),"",Settings!$B$14)</f>
        <v>$</v>
      </c>
      <c r="O174" s="30">
        <f>IF(ISBLANK(Inventory!A174),0,M174*Inventory!J174)</f>
        <v>-2062.5</v>
      </c>
    </row>
    <row r="175" spans="1:15" s="45" customFormat="1" ht="15" customHeight="1">
      <c r="A175" s="31" t="str">
        <f>IF(Inventory!A175&gt;0,Inventory!A175,"")</f>
        <v>Post-Mix Tango</v>
      </c>
      <c r="B175" s="201"/>
      <c r="C175" s="36">
        <f>IF(ISBLANK(Inventory!$A175),0,SUM('Week 1'!$E175:$G175)*Inventory!$D175-((SUM('Stock Opening'!$C175:$E175)+'Week 1'!$C175)*Inventory!$D175-B175))</f>
        <v>-50</v>
      </c>
      <c r="D175" s="201"/>
      <c r="E175" s="36">
        <f>IF(ISBLANK(Inventory!$A175),0,SUM('Week 2'!$E175:$G175)*Inventory!$D175-((SUM('Week 1'!$E175:$G175)+'Week 2'!$C175)*Inventory!$D175-D175))</f>
        <v>-950</v>
      </c>
      <c r="F175" s="201"/>
      <c r="G175" s="36">
        <f>IF(ISBLANK(Inventory!$A175),0,SUM('Week 3'!$E175:$G175)*Inventory!$D175-((SUM('Week 2'!$E175:$G175)+'Week 3'!$C175)*Inventory!$D175-F175))</f>
        <v>-500</v>
      </c>
      <c r="H175" s="201"/>
      <c r="I175" s="36">
        <f>IF(ISBLANK(Inventory!$A175),0,SUM('Week 4'!$E175:$G175)*Inventory!$D175-((SUM('Week 3'!$E175:$G175)+'Week 4'!$C175)*Inventory!$D175-H175))</f>
        <v>-500</v>
      </c>
      <c r="J175" s="201"/>
      <c r="K175" s="36">
        <f>IF(ISBLANK(Inventory!$A175),0,SUM('Week 5'!$E175:$G175)*Inventory!$D175-((SUM('Week 4'!$E175:$G175)+'Week 5'!$C175)*Inventory!$D175-J175))</f>
        <v>-500</v>
      </c>
      <c r="L175" s="36">
        <f>IF(ISBLANK(Inventory!A175),0,SUM(B175,D175,F175,H175,J175))</f>
        <v>0</v>
      </c>
      <c r="M175" s="36">
        <f>IF(ISBLANK(Inventory!A175),0,SUM(C175,E175,G175,I175,K175))</f>
        <v>-2500</v>
      </c>
      <c r="N175" s="35" t="str">
        <f>IF(OR(ISBLANK(O175),O175=0),"",Settings!$B$14)</f>
        <v>$</v>
      </c>
      <c r="O175" s="30">
        <f>IF(ISBLANK(Inventory!A175),0,M175*Inventory!J175)</f>
        <v>-4125</v>
      </c>
    </row>
    <row r="176" spans="1:15" s="45" customFormat="1" ht="15" customHeight="1">
      <c r="A176" s="31" t="str">
        <f>IF(Inventory!A176&gt;0,Inventory!A176,"")</f>
        <v>Sprite</v>
      </c>
      <c r="B176" s="201"/>
      <c r="C176" s="36">
        <f>IF(ISBLANK(Inventory!$A176),0,SUM('Week 1'!$E176:$G176)*Inventory!$D176-((SUM('Stock Opening'!$C176:$E176)+'Week 1'!$C176)*Inventory!$D176-B176))</f>
        <v>-20</v>
      </c>
      <c r="D176" s="201"/>
      <c r="E176" s="36">
        <f>IF(ISBLANK(Inventory!$A176),0,SUM('Week 2'!$E176:$G176)*Inventory!$D176-((SUM('Week 1'!$E176:$G176)+'Week 2'!$C176)*Inventory!$D176-D176))</f>
        <v>-380</v>
      </c>
      <c r="F176" s="201"/>
      <c r="G176" s="36">
        <f>IF(ISBLANK(Inventory!$A176),0,SUM('Week 3'!$E176:$G176)*Inventory!$D176-((SUM('Week 2'!$E176:$G176)+'Week 3'!$C176)*Inventory!$D176-F176))</f>
        <v>-200</v>
      </c>
      <c r="H176" s="201"/>
      <c r="I176" s="36">
        <f>IF(ISBLANK(Inventory!$A176),0,SUM('Week 4'!$E176:$G176)*Inventory!$D176-((SUM('Week 3'!$E176:$G176)+'Week 4'!$C176)*Inventory!$D176-H176))</f>
        <v>-200</v>
      </c>
      <c r="J176" s="201"/>
      <c r="K176" s="36">
        <f>IF(ISBLANK(Inventory!$A176),0,SUM('Week 5'!$E176:$G176)*Inventory!$D176-((SUM('Week 4'!$E176:$G176)+'Week 5'!$C176)*Inventory!$D176-J176))</f>
        <v>-200</v>
      </c>
      <c r="L176" s="36">
        <f>IF(ISBLANK(Inventory!A176),0,SUM(B176,D176,F176,H176,J176))</f>
        <v>0</v>
      </c>
      <c r="M176" s="36">
        <f>IF(ISBLANK(Inventory!A176),0,SUM(C176,E176,G176,I176,K176))</f>
        <v>-1000</v>
      </c>
      <c r="N176" s="35" t="str">
        <f>IF(OR(ISBLANK(O176),O176=0),"",Settings!$B$14)</f>
        <v>$</v>
      </c>
      <c r="O176" s="30">
        <f>IF(ISBLANK(Inventory!A176),0,M176*Inventory!J176)</f>
        <v>-1650</v>
      </c>
    </row>
    <row r="177" spans="1:15" s="45" customFormat="1" ht="15" customHeight="1">
      <c r="A177" s="31" t="str">
        <f>IF(Inventory!A177&gt;0,Inventory!A177,"")</f>
        <v/>
      </c>
      <c r="B177" s="201"/>
      <c r="C177" s="36">
        <f>IF(ISBLANK(Inventory!$A177),0,SUM('Week 1'!$E177:$G177)*Inventory!$D177-((SUM('Stock Opening'!$C177:$E177)+'Week 1'!$C177)*Inventory!$D177-B177))</f>
        <v>0</v>
      </c>
      <c r="D177" s="201"/>
      <c r="E177" s="36">
        <f>IF(ISBLANK(Inventory!$A177),0,SUM('Week 2'!$E177:$G177)*Inventory!$D177-((SUM('Week 1'!$E177:$G177)+'Week 2'!$C177)*Inventory!$D177-D177))</f>
        <v>0</v>
      </c>
      <c r="F177" s="201"/>
      <c r="G177" s="36">
        <f>IF(ISBLANK(Inventory!$A177),0,SUM('Week 3'!$E177:$G177)*Inventory!$D177-((SUM('Week 2'!$E177:$G177)+'Week 3'!$C177)*Inventory!$D177-F177))</f>
        <v>0</v>
      </c>
      <c r="H177" s="201"/>
      <c r="I177" s="36">
        <f>IF(ISBLANK(Inventory!$A177),0,SUM('Week 4'!$E177:$G177)*Inventory!$D177-((SUM('Week 3'!$E177:$G177)+'Week 4'!$C177)*Inventory!$D177-H177))</f>
        <v>0</v>
      </c>
      <c r="J177" s="201"/>
      <c r="K177" s="36">
        <f>IF(ISBLANK(Inventory!$A177),0,SUM('Week 5'!$E177:$G177)*Inventory!$D177-((SUM('Week 4'!$E177:$G177)+'Week 5'!$C177)*Inventory!$D177-J177))</f>
        <v>0</v>
      </c>
      <c r="L177" s="36">
        <f>IF(ISBLANK(Inventory!A177),0,SUM(B177,D177,F177,H177,J177))</f>
        <v>0</v>
      </c>
      <c r="M177" s="36">
        <f>IF(ISBLANK(Inventory!A177),0,SUM(C177,E177,G177,I177,K177))</f>
        <v>0</v>
      </c>
      <c r="N177" s="35" t="str">
        <f>IF(OR(ISBLANK(O177),O177=0),"",Settings!$B$14)</f>
        <v/>
      </c>
      <c r="O177" s="30">
        <f>IF(ISBLANK(Inventory!A177),0,M177*Inventory!J177)</f>
        <v>0</v>
      </c>
    </row>
    <row r="178" spans="1:15" s="45" customFormat="1" ht="15" customHeight="1">
      <c r="A178" s="31" t="str">
        <f>IF(Inventory!A178&gt;0,Inventory!A178,"")</f>
        <v/>
      </c>
      <c r="B178" s="201"/>
      <c r="C178" s="36">
        <f>IF(ISBLANK(Inventory!$A178),0,SUM('Week 1'!$E178:$G178)*Inventory!$D178-((SUM('Stock Opening'!$C178:$E178)+'Week 1'!$C178)*Inventory!$D178-B178))</f>
        <v>0</v>
      </c>
      <c r="D178" s="201"/>
      <c r="E178" s="36">
        <f>IF(ISBLANK(Inventory!$A178),0,SUM('Week 2'!$E178:$G178)*Inventory!$D178-((SUM('Week 1'!$E178:$G178)+'Week 2'!$C178)*Inventory!$D178-D178))</f>
        <v>0</v>
      </c>
      <c r="F178" s="201"/>
      <c r="G178" s="36">
        <f>IF(ISBLANK(Inventory!$A178),0,SUM('Week 3'!$E178:$G178)*Inventory!$D178-((SUM('Week 2'!$E178:$G178)+'Week 3'!$C178)*Inventory!$D178-F178))</f>
        <v>0</v>
      </c>
      <c r="H178" s="201"/>
      <c r="I178" s="36">
        <f>IF(ISBLANK(Inventory!$A178),0,SUM('Week 4'!$E178:$G178)*Inventory!$D178-((SUM('Week 3'!$E178:$G178)+'Week 4'!$C178)*Inventory!$D178-H178))</f>
        <v>0</v>
      </c>
      <c r="J178" s="201"/>
      <c r="K178" s="36">
        <f>IF(ISBLANK(Inventory!$A178),0,SUM('Week 5'!$E178:$G178)*Inventory!$D178-((SUM('Week 4'!$E178:$G178)+'Week 5'!$C178)*Inventory!$D178-J178))</f>
        <v>0</v>
      </c>
      <c r="L178" s="36">
        <f>IF(ISBLANK(Inventory!A178),0,SUM(B178,D178,F178,H178,J178))</f>
        <v>0</v>
      </c>
      <c r="M178" s="36">
        <f>IF(ISBLANK(Inventory!A178),0,SUM(C178,E178,G178,I178,K178))</f>
        <v>0</v>
      </c>
      <c r="N178" s="35" t="str">
        <f>IF(OR(ISBLANK(O178),O178=0),"",Settings!$B$14)</f>
        <v/>
      </c>
      <c r="O178" s="30">
        <f>IF(ISBLANK(Inventory!A178),0,M178*Inventory!J178)</f>
        <v>0</v>
      </c>
    </row>
    <row r="179" spans="1:15" ht="5.0999999999999996" customHeight="1" thickBot="1">
      <c r="B179" s="72"/>
      <c r="C179" s="72"/>
      <c r="D179" s="72"/>
      <c r="E179" s="72"/>
      <c r="F179" s="72"/>
      <c r="G179" s="72"/>
      <c r="H179" s="72"/>
      <c r="I179" s="72"/>
      <c r="J179" s="72"/>
      <c r="K179" s="72"/>
      <c r="L179" s="72"/>
      <c r="M179" s="72"/>
      <c r="N179" s="72"/>
      <c r="O179" s="61"/>
    </row>
    <row r="180" spans="1:15" ht="18" customHeight="1" thickTop="1">
      <c r="A180" s="84"/>
      <c r="B180" s="85"/>
      <c r="C180" s="85"/>
      <c r="D180" s="85"/>
      <c r="E180" s="85"/>
      <c r="F180" s="85"/>
      <c r="G180" s="85"/>
      <c r="H180" s="85"/>
      <c r="I180" s="85"/>
      <c r="J180" s="85"/>
      <c r="K180" s="85"/>
      <c r="L180" s="85"/>
      <c r="M180" s="85"/>
      <c r="N180" s="85"/>
      <c r="O180" s="86"/>
    </row>
  </sheetData>
  <sheetProtection algorithmName="SHA-512" hashValue="k/fQOvNCRWcbukJM1yASoBW0rh6ltMK2padFXU2z62CEW8DjlScFWxo0qaWZzGLkFDAj16JM6EkTJQRRcW6uwA==" saltValue="ROsMpc0kNm+pmh022t6/cQ==" spinCount="100000" sheet="1" objects="1" scenarios="1" selectLockedCells="1"/>
  <protectedRanges>
    <protectedRange sqref="B12:B55 D12:D55 F12:F55 H12:H55 J12:J55 B59:B72 D59:D72 F59:F72 H59:H72 J59:J72 B101:B106 D101:D106 F101:F106 H101:H106 J101:J106 B110:B115 D110:D115 F110:F115 H110:H115 J110:J115 B173:B178 D173:D178 F173:F178 H173:H178 J173:J178 B76:B97 D76:D97 F76:F97 H76:H97 J76:J97 B119:B134 D119:D134 F119:F134 H119:H134 J119:J134 B138:B146 D138:D146 F138:F146 H138:H146 J138:J146 B150:B169 D150:D169 F150:F169 H150:H169 J150:J169" name="Spirits"/>
  </protectedRanges>
  <mergeCells count="61">
    <mergeCell ref="B171:C171"/>
    <mergeCell ref="D171:E171"/>
    <mergeCell ref="F171:G171"/>
    <mergeCell ref="H171:I171"/>
    <mergeCell ref="F148:G148"/>
    <mergeCell ref="H148:I148"/>
    <mergeCell ref="J117:K117"/>
    <mergeCell ref="L117:M117"/>
    <mergeCell ref="J136:K136"/>
    <mergeCell ref="L136:M136"/>
    <mergeCell ref="J171:K171"/>
    <mergeCell ref="L171:M171"/>
    <mergeCell ref="L148:M148"/>
    <mergeCell ref="H117:I117"/>
    <mergeCell ref="J148:K148"/>
    <mergeCell ref="B136:C136"/>
    <mergeCell ref="D136:E136"/>
    <mergeCell ref="F136:G136"/>
    <mergeCell ref="H136:I136"/>
    <mergeCell ref="B148:C148"/>
    <mergeCell ref="D148:E148"/>
    <mergeCell ref="B108:C108"/>
    <mergeCell ref="D108:E108"/>
    <mergeCell ref="F108:G108"/>
    <mergeCell ref="B117:C117"/>
    <mergeCell ref="D117:E117"/>
    <mergeCell ref="F117:G117"/>
    <mergeCell ref="H108:I108"/>
    <mergeCell ref="F99:G99"/>
    <mergeCell ref="H99:I99"/>
    <mergeCell ref="J57:K57"/>
    <mergeCell ref="L57:M57"/>
    <mergeCell ref="J74:K74"/>
    <mergeCell ref="L74:M74"/>
    <mergeCell ref="J108:K108"/>
    <mergeCell ref="L108:M108"/>
    <mergeCell ref="L99:M99"/>
    <mergeCell ref="B57:C57"/>
    <mergeCell ref="D57:E57"/>
    <mergeCell ref="F57:G57"/>
    <mergeCell ref="H57:I57"/>
    <mergeCell ref="J99:K99"/>
    <mergeCell ref="B74:C74"/>
    <mergeCell ref="D74:E74"/>
    <mergeCell ref="F74:G74"/>
    <mergeCell ref="H74:I74"/>
    <mergeCell ref="B99:C99"/>
    <mergeCell ref="D99:E99"/>
    <mergeCell ref="B8:C8"/>
    <mergeCell ref="D8:E8"/>
    <mergeCell ref="B10:C10"/>
    <mergeCell ref="D10:E10"/>
    <mergeCell ref="F10:G10"/>
    <mergeCell ref="H10:I10"/>
    <mergeCell ref="F8:G8"/>
    <mergeCell ref="H8:I8"/>
    <mergeCell ref="J8:K8"/>
    <mergeCell ref="N8:O8"/>
    <mergeCell ref="J10:K10"/>
    <mergeCell ref="L10:M10"/>
    <mergeCell ref="N10:O10"/>
  </mergeCells>
  <phoneticPr fontId="5" type="noConversion"/>
  <pageMargins left="0.15748031496062992" right="0.11811023622047245" top="0.39370078740157483" bottom="0.39370078740157483" header="0.51181102362204722" footer="0.11811023622047245"/>
  <pageSetup paperSize="9" scale="90" orientation="landscape" r:id="rId1"/>
  <headerFooter alignWithMargins="0">
    <oddFooter>&amp;C&amp;P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0"/>
  <sheetViews>
    <sheetView showGridLines="0" workbookViewId="0">
      <selection activeCell="R11" sqref="R11"/>
    </sheetView>
  </sheetViews>
  <sheetFormatPr defaultRowHeight="18" customHeight="1"/>
  <cols>
    <col min="1" max="16384" width="9.140625" style="8"/>
  </cols>
  <sheetData>
    <row r="1" spans="1:13" ht="35.1" customHeight="1">
      <c r="A1" s="221" t="s">
        <v>276</v>
      </c>
      <c r="B1" s="216"/>
      <c r="C1" s="216"/>
      <c r="D1" s="216"/>
      <c r="E1" s="216"/>
      <c r="F1" s="216"/>
      <c r="G1" s="216"/>
      <c r="H1" s="216"/>
      <c r="I1" s="216"/>
      <c r="J1" s="216"/>
      <c r="K1" s="216"/>
      <c r="L1" s="216"/>
      <c r="M1" s="216"/>
    </row>
    <row r="2" spans="1:13" s="220" customFormat="1" ht="15" customHeight="1"/>
    <row r="3" spans="1:13" ht="18" customHeight="1">
      <c r="A3" s="217" t="s">
        <v>277</v>
      </c>
      <c r="B3" s="217"/>
      <c r="C3" s="217"/>
      <c r="D3" s="217"/>
      <c r="E3" s="217"/>
      <c r="F3" s="217"/>
      <c r="G3" s="217"/>
      <c r="H3" s="217"/>
      <c r="I3" s="217"/>
      <c r="J3" s="217"/>
      <c r="K3" s="217"/>
      <c r="L3" s="217"/>
      <c r="M3" s="217"/>
    </row>
    <row r="4" spans="1:13" ht="6.95" customHeight="1"/>
    <row r="5" spans="1:13" s="220" customFormat="1" ht="163.5" customHeight="1">
      <c r="A5" s="257" t="s">
        <v>278</v>
      </c>
      <c r="B5" s="258"/>
      <c r="C5" s="258"/>
      <c r="D5" s="258"/>
      <c r="E5" s="258"/>
      <c r="F5" s="258"/>
      <c r="G5" s="258"/>
      <c r="H5" s="258"/>
      <c r="I5" s="258"/>
      <c r="J5" s="258"/>
      <c r="K5" s="258"/>
      <c r="L5" s="258"/>
      <c r="M5" s="258"/>
    </row>
    <row r="7" spans="1:13" ht="18" customHeight="1">
      <c r="A7" s="217" t="s">
        <v>284</v>
      </c>
      <c r="B7" s="217"/>
      <c r="C7" s="217"/>
      <c r="D7" s="217"/>
      <c r="E7" s="217"/>
      <c r="F7" s="217"/>
      <c r="G7" s="217"/>
      <c r="H7" s="217"/>
      <c r="I7" s="217"/>
      <c r="J7" s="217"/>
      <c r="K7" s="217"/>
      <c r="L7" s="217"/>
      <c r="M7" s="217"/>
    </row>
    <row r="8" spans="1:13" s="220" customFormat="1" ht="6.95" customHeight="1"/>
    <row r="9" spans="1:13" s="223" customFormat="1" ht="15" customHeight="1">
      <c r="A9" s="222" t="s">
        <v>279</v>
      </c>
    </row>
    <row r="10" spans="1:13" s="223" customFormat="1" ht="103.5" customHeight="1">
      <c r="A10" s="257" t="s">
        <v>298</v>
      </c>
      <c r="B10" s="258"/>
      <c r="C10" s="258"/>
      <c r="D10" s="258"/>
      <c r="E10" s="258"/>
      <c r="F10" s="258"/>
      <c r="G10" s="258"/>
      <c r="H10" s="258"/>
      <c r="I10" s="258"/>
      <c r="J10" s="258"/>
      <c r="K10" s="258"/>
      <c r="L10" s="258"/>
      <c r="M10" s="258"/>
    </row>
    <row r="11" spans="1:13" s="223" customFormat="1" ht="297" customHeight="1">
      <c r="A11" s="218"/>
      <c r="B11" s="219"/>
      <c r="C11" s="219"/>
      <c r="D11" s="219"/>
      <c r="E11" s="219"/>
      <c r="F11" s="219"/>
      <c r="G11" s="219"/>
      <c r="H11" s="219"/>
      <c r="I11" s="219"/>
      <c r="J11" s="219"/>
      <c r="K11" s="219"/>
      <c r="L11" s="219"/>
      <c r="M11" s="219"/>
    </row>
    <row r="12" spans="1:13" s="223" customFormat="1" ht="15" customHeight="1"/>
    <row r="13" spans="1:13" s="223" customFormat="1" ht="15" customHeight="1">
      <c r="A13" s="222" t="s">
        <v>137</v>
      </c>
    </row>
    <row r="14" spans="1:13" s="223" customFormat="1" ht="80.25" customHeight="1">
      <c r="A14" s="257" t="s">
        <v>285</v>
      </c>
      <c r="B14" s="258"/>
      <c r="C14" s="258"/>
      <c r="D14" s="258"/>
      <c r="E14" s="258"/>
      <c r="F14" s="258"/>
      <c r="G14" s="258"/>
      <c r="H14" s="258"/>
      <c r="I14" s="258"/>
      <c r="J14" s="258"/>
      <c r="K14" s="258"/>
      <c r="L14" s="258"/>
      <c r="M14" s="258"/>
    </row>
    <row r="15" spans="1:13" s="223" customFormat="1" ht="111" customHeight="1"/>
    <row r="16" spans="1:13" s="223" customFormat="1" ht="15" customHeight="1"/>
    <row r="17" spans="1:17" s="226" customFormat="1" ht="18.75" customHeight="1">
      <c r="A17" s="224" t="s">
        <v>280</v>
      </c>
      <c r="B17" s="225"/>
      <c r="C17" s="225"/>
      <c r="D17" s="225"/>
      <c r="E17" s="225"/>
      <c r="F17" s="225"/>
      <c r="G17" s="225"/>
      <c r="H17" s="225"/>
      <c r="I17" s="225"/>
      <c r="J17" s="225"/>
      <c r="K17" s="225"/>
      <c r="L17" s="225"/>
      <c r="M17" s="225"/>
    </row>
    <row r="18" spans="1:17" s="223" customFormat="1" ht="15" customHeight="1"/>
    <row r="19" spans="1:17" s="223" customFormat="1" ht="87.75" customHeight="1">
      <c r="A19" s="257" t="s">
        <v>287</v>
      </c>
      <c r="B19" s="258"/>
      <c r="C19" s="258"/>
      <c r="D19" s="258"/>
      <c r="E19" s="258"/>
      <c r="F19" s="258"/>
      <c r="G19" s="258"/>
      <c r="H19" s="258"/>
      <c r="I19" s="258"/>
      <c r="J19" s="258"/>
      <c r="K19" s="258"/>
      <c r="L19" s="258"/>
      <c r="M19" s="258"/>
    </row>
    <row r="20" spans="1:17" s="223" customFormat="1" ht="15" customHeight="1">
      <c r="A20" s="227" t="s">
        <v>281</v>
      </c>
      <c r="F20" s="227"/>
      <c r="G20" s="259" t="s">
        <v>282</v>
      </c>
      <c r="H20" s="259"/>
      <c r="I20" s="259"/>
    </row>
    <row r="21" spans="1:17" s="223" customFormat="1" ht="104.25" customHeight="1">
      <c r="A21" s="257" t="s">
        <v>291</v>
      </c>
      <c r="B21" s="258"/>
      <c r="C21" s="258"/>
      <c r="D21" s="258"/>
      <c r="E21" s="258"/>
      <c r="F21" s="258"/>
      <c r="G21" s="258"/>
      <c r="H21" s="258"/>
      <c r="I21" s="258"/>
      <c r="J21" s="258"/>
      <c r="K21" s="258"/>
      <c r="L21" s="258"/>
      <c r="M21" s="258"/>
    </row>
    <row r="22" spans="1:17" s="223" customFormat="1" ht="71.25" customHeight="1"/>
    <row r="23" spans="1:17" s="223" customFormat="1" ht="15" customHeight="1"/>
    <row r="24" spans="1:17" s="223" customFormat="1" ht="35.25" customHeight="1">
      <c r="A24" s="257" t="s">
        <v>286</v>
      </c>
      <c r="B24" s="258"/>
      <c r="C24" s="258"/>
      <c r="D24" s="258"/>
      <c r="E24" s="258"/>
      <c r="F24" s="258"/>
      <c r="G24" s="258"/>
      <c r="H24" s="258"/>
      <c r="I24" s="258"/>
      <c r="J24" s="258"/>
      <c r="K24" s="258"/>
      <c r="L24" s="258"/>
      <c r="M24" s="258"/>
    </row>
    <row r="25" spans="1:17" s="223" customFormat="1" ht="15" customHeight="1"/>
    <row r="26" spans="1:17" s="223" customFormat="1" ht="15" customHeight="1">
      <c r="A26" s="222" t="s">
        <v>293</v>
      </c>
    </row>
    <row r="27" spans="1:17" s="223" customFormat="1" ht="51.75" customHeight="1">
      <c r="A27" s="257" t="s">
        <v>292</v>
      </c>
      <c r="B27" s="258"/>
      <c r="C27" s="258"/>
      <c r="D27" s="258"/>
      <c r="E27" s="258"/>
      <c r="F27" s="258"/>
      <c r="G27" s="258"/>
      <c r="H27" s="258"/>
      <c r="I27" s="258"/>
      <c r="J27" s="258"/>
      <c r="K27" s="258"/>
      <c r="L27" s="258"/>
      <c r="M27" s="258"/>
    </row>
    <row r="28" spans="1:17" s="223" customFormat="1" ht="15" customHeight="1"/>
    <row r="29" spans="1:17" s="223" customFormat="1" ht="15" customHeight="1">
      <c r="A29" s="222" t="s">
        <v>283</v>
      </c>
    </row>
    <row r="30" spans="1:17" s="223" customFormat="1" ht="34.5" customHeight="1">
      <c r="A30" s="257" t="s">
        <v>288</v>
      </c>
      <c r="B30" s="258"/>
      <c r="C30" s="258"/>
      <c r="D30" s="258"/>
      <c r="E30" s="258"/>
      <c r="F30" s="258"/>
      <c r="G30" s="258"/>
      <c r="H30" s="258"/>
      <c r="I30" s="258"/>
      <c r="J30" s="258"/>
      <c r="K30" s="258"/>
      <c r="L30" s="258"/>
      <c r="M30" s="258"/>
    </row>
    <row r="31" spans="1:17" s="223" customFormat="1" ht="15" customHeight="1"/>
    <row r="32" spans="1:17" s="223" customFormat="1" ht="15" customHeight="1">
      <c r="Q32" s="230"/>
    </row>
    <row r="33" spans="18:22" s="223" customFormat="1" ht="15" customHeight="1"/>
    <row r="34" spans="18:22" s="223" customFormat="1" ht="15" customHeight="1">
      <c r="R34" s="231"/>
      <c r="S34" s="231"/>
      <c r="T34" s="231"/>
      <c r="U34" s="231"/>
      <c r="V34" s="231"/>
    </row>
    <row r="35" spans="18:22" s="223" customFormat="1" ht="15" customHeight="1">
      <c r="R35" s="231"/>
      <c r="S35" s="231"/>
      <c r="T35" s="231"/>
      <c r="U35" s="231"/>
      <c r="V35" s="231"/>
    </row>
    <row r="36" spans="18:22" s="223" customFormat="1" ht="15" customHeight="1">
      <c r="R36" s="232"/>
      <c r="S36" s="232"/>
      <c r="T36"/>
      <c r="U36"/>
      <c r="V36"/>
    </row>
    <row r="37" spans="18:22" s="223" customFormat="1" ht="15" customHeight="1">
      <c r="R37" s="232"/>
      <c r="S37" s="232"/>
      <c r="T37"/>
      <c r="U37"/>
      <c r="V37"/>
    </row>
    <row r="38" spans="18:22" s="223" customFormat="1" ht="15" customHeight="1">
      <c r="R38" s="232"/>
      <c r="S38" s="232"/>
      <c r="T38"/>
      <c r="U38"/>
      <c r="V38"/>
    </row>
    <row r="39" spans="18:22" s="223" customFormat="1" ht="15" customHeight="1">
      <c r="R39" s="232"/>
      <c r="S39" s="232"/>
      <c r="T39"/>
      <c r="U39"/>
      <c r="V39"/>
    </row>
    <row r="40" spans="18:22" s="223" customFormat="1" ht="15" customHeight="1">
      <c r="R40" s="232"/>
      <c r="S40" s="232"/>
      <c r="T40"/>
      <c r="U40"/>
      <c r="V40"/>
    </row>
    <row r="41" spans="18:22" s="223" customFormat="1" ht="15" customHeight="1">
      <c r="R41" s="232"/>
      <c r="S41" s="232"/>
      <c r="T41"/>
      <c r="U41"/>
      <c r="V41"/>
    </row>
    <row r="42" spans="18:22" s="223" customFormat="1" ht="15" customHeight="1">
      <c r="R42" s="232"/>
      <c r="S42" s="232"/>
      <c r="T42"/>
      <c r="U42"/>
      <c r="V42"/>
    </row>
    <row r="43" spans="18:22" s="223" customFormat="1" ht="15" customHeight="1">
      <c r="R43" s="232"/>
      <c r="S43" s="232"/>
      <c r="T43"/>
      <c r="U43"/>
      <c r="V43"/>
    </row>
    <row r="44" spans="18:22" s="223" customFormat="1" ht="15" customHeight="1">
      <c r="R44" s="232"/>
      <c r="S44" s="232"/>
      <c r="T44"/>
      <c r="U44"/>
      <c r="V44"/>
    </row>
    <row r="45" spans="18:22" s="223" customFormat="1" ht="15" customHeight="1">
      <c r="R45" s="232"/>
      <c r="S45" s="232"/>
      <c r="T45"/>
      <c r="U45"/>
      <c r="V45"/>
    </row>
    <row r="46" spans="18:22" s="223" customFormat="1" ht="15" customHeight="1"/>
    <row r="47" spans="18:22" s="223" customFormat="1" ht="15" customHeight="1"/>
    <row r="48" spans="18:22" s="223" customFormat="1" ht="15" customHeight="1"/>
    <row r="49" spans="1:13" s="223" customFormat="1" ht="15" customHeight="1"/>
    <row r="50" spans="1:13" s="226" customFormat="1" ht="18.75" customHeight="1">
      <c r="A50" s="224" t="s">
        <v>294</v>
      </c>
      <c r="B50" s="225"/>
      <c r="C50" s="225"/>
      <c r="D50" s="225"/>
      <c r="E50" s="225"/>
      <c r="F50" s="225"/>
      <c r="G50" s="225"/>
      <c r="H50" s="225"/>
      <c r="I50" s="225"/>
      <c r="J50" s="225"/>
      <c r="K50" s="225"/>
      <c r="L50" s="225"/>
      <c r="M50" s="225"/>
    </row>
    <row r="51" spans="1:13" s="223" customFormat="1" ht="15" customHeight="1"/>
    <row r="52" spans="1:13" s="223" customFormat="1" ht="70.5" customHeight="1">
      <c r="A52" s="257" t="s">
        <v>295</v>
      </c>
      <c r="B52" s="258"/>
      <c r="C52" s="258"/>
      <c r="D52" s="258"/>
      <c r="E52" s="258"/>
      <c r="F52" s="258"/>
      <c r="G52" s="258"/>
      <c r="H52" s="258"/>
      <c r="I52" s="258"/>
      <c r="J52" s="258"/>
      <c r="K52" s="258"/>
      <c r="L52" s="258"/>
      <c r="M52" s="258"/>
    </row>
    <row r="53" spans="1:13" s="223" customFormat="1" ht="15" customHeight="1"/>
    <row r="54" spans="1:13" s="223" customFormat="1" ht="15" customHeight="1"/>
    <row r="55" spans="1:13" s="223" customFormat="1" ht="15" customHeight="1"/>
    <row r="56" spans="1:13" s="223" customFormat="1" ht="15" customHeight="1"/>
    <row r="57" spans="1:13" s="223" customFormat="1" ht="15" customHeight="1"/>
    <row r="58" spans="1:13" s="223" customFormat="1" ht="15" customHeight="1"/>
    <row r="59" spans="1:13" s="223" customFormat="1" ht="15" customHeight="1"/>
    <row r="60" spans="1:13" s="223" customFormat="1" ht="15" customHeight="1"/>
    <row r="68" spans="1:13" s="223" customFormat="1" ht="18" customHeight="1">
      <c r="A68" s="257" t="s">
        <v>296</v>
      </c>
      <c r="B68" s="258"/>
      <c r="C68" s="258"/>
      <c r="D68" s="258"/>
      <c r="E68" s="258"/>
      <c r="F68" s="258"/>
      <c r="G68" s="258"/>
      <c r="H68" s="258"/>
      <c r="I68" s="258"/>
      <c r="J68" s="258"/>
      <c r="K68" s="258"/>
      <c r="L68" s="258"/>
      <c r="M68" s="258"/>
    </row>
    <row r="70" spans="1:13" s="223" customFormat="1" ht="18" customHeight="1">
      <c r="A70" s="257" t="s">
        <v>297</v>
      </c>
      <c r="B70" s="258"/>
      <c r="C70" s="258"/>
      <c r="D70" s="258"/>
      <c r="E70" s="258"/>
      <c r="F70" s="258"/>
      <c r="G70" s="258"/>
      <c r="H70" s="258"/>
      <c r="I70" s="258"/>
      <c r="J70" s="258"/>
      <c r="K70" s="258"/>
      <c r="L70" s="258"/>
      <c r="M70" s="258"/>
    </row>
  </sheetData>
  <mergeCells count="12">
    <mergeCell ref="A5:M5"/>
    <mergeCell ref="A10:M10"/>
    <mergeCell ref="A14:M14"/>
    <mergeCell ref="A19:M19"/>
    <mergeCell ref="A52:M52"/>
    <mergeCell ref="A68:M68"/>
    <mergeCell ref="A70:M70"/>
    <mergeCell ref="G20:I20"/>
    <mergeCell ref="A21:M21"/>
    <mergeCell ref="A24:M24"/>
    <mergeCell ref="A30:M30"/>
    <mergeCell ref="A27:M27"/>
  </mergeCells>
  <phoneticPr fontId="5" type="noConversion"/>
  <hyperlinks>
    <hyperlink ref="G20" r:id="rId1"/>
  </hyperlinks>
  <pageMargins left="0.75" right="0.75" top="1" bottom="1" header="0.5" footer="0.5"/>
  <pageSetup paperSize="9" orientation="portrait" r:id="rId2"/>
  <headerFooter alignWithMargins="0"/>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6"/>
  <sheetViews>
    <sheetView showGridLines="0" workbookViewId="0">
      <selection activeCell="M29" sqref="M29"/>
    </sheetView>
  </sheetViews>
  <sheetFormatPr defaultRowHeight="12.75"/>
  <cols>
    <col min="1" max="8" width="9.140625" style="208"/>
    <col min="9" max="9" width="35.42578125" style="208" customWidth="1"/>
    <col min="10" max="16384" width="9.140625" style="208"/>
  </cols>
  <sheetData>
    <row r="1" spans="1:21" s="202" customFormat="1" ht="30" customHeight="1">
      <c r="A1" s="261" t="s">
        <v>231</v>
      </c>
      <c r="B1" s="261"/>
      <c r="C1" s="261"/>
      <c r="D1" s="261"/>
      <c r="E1" s="261"/>
      <c r="F1" s="261"/>
      <c r="G1" s="261"/>
      <c r="H1" s="261"/>
      <c r="I1" s="261"/>
      <c r="J1" s="114"/>
      <c r="K1" s="114"/>
      <c r="L1" s="114"/>
      <c r="M1" s="115"/>
      <c r="N1" s="115"/>
      <c r="O1" s="115"/>
      <c r="P1" s="115"/>
      <c r="Q1" s="115"/>
      <c r="T1" s="203"/>
      <c r="U1" s="203"/>
    </row>
    <row r="2" spans="1:21" s="202" customFormat="1">
      <c r="A2" s="204"/>
      <c r="B2" s="204"/>
      <c r="C2" s="204"/>
      <c r="D2" s="204"/>
      <c r="E2" s="204"/>
      <c r="F2" s="204"/>
      <c r="G2" s="204"/>
      <c r="H2" s="204"/>
      <c r="I2" s="205"/>
      <c r="J2" s="204"/>
      <c r="K2" s="204"/>
      <c r="L2" s="204"/>
    </row>
    <row r="3" spans="1:21" s="202" customFormat="1">
      <c r="A3" s="206"/>
      <c r="B3" s="206"/>
      <c r="I3" s="207" t="s">
        <v>232</v>
      </c>
    </row>
    <row r="4" spans="1:21" s="202" customFormat="1" ht="5.0999999999999996" customHeight="1"/>
    <row r="5" spans="1:21" ht="15">
      <c r="A5" s="262" t="s">
        <v>233</v>
      </c>
      <c r="B5" s="262"/>
      <c r="C5" s="262"/>
      <c r="D5" s="262"/>
      <c r="E5" s="262"/>
      <c r="F5" s="262"/>
      <c r="G5" s="262"/>
      <c r="H5" s="262"/>
      <c r="I5" s="262"/>
    </row>
    <row r="6" spans="1:21" s="202" customFormat="1">
      <c r="A6" s="263" t="s">
        <v>234</v>
      </c>
      <c r="B6" s="263"/>
      <c r="C6" s="263"/>
      <c r="D6" s="263"/>
      <c r="E6" s="263"/>
      <c r="F6" s="263"/>
      <c r="G6" s="263"/>
      <c r="H6" s="263"/>
      <c r="I6" s="263"/>
    </row>
    <row r="7" spans="1:21" s="202" customFormat="1">
      <c r="A7" s="260" t="s">
        <v>235</v>
      </c>
      <c r="B7" s="260"/>
      <c r="C7" s="260"/>
      <c r="D7" s="260"/>
      <c r="E7" s="260"/>
      <c r="F7" s="260"/>
      <c r="G7" s="260"/>
      <c r="H7" s="260"/>
      <c r="I7" s="260"/>
    </row>
    <row r="8" spans="1:21" s="202" customFormat="1">
      <c r="A8" s="209" t="s">
        <v>236</v>
      </c>
      <c r="B8" s="209"/>
      <c r="C8" s="209"/>
      <c r="D8" s="209"/>
      <c r="E8" s="209"/>
      <c r="F8" s="209"/>
      <c r="G8" s="209"/>
      <c r="H8" s="209"/>
      <c r="I8" s="209"/>
    </row>
    <row r="9" spans="1:21" s="202" customFormat="1">
      <c r="A9" s="260"/>
      <c r="B9" s="260"/>
      <c r="C9" s="260"/>
      <c r="D9" s="260"/>
      <c r="E9" s="260"/>
      <c r="F9" s="260"/>
      <c r="G9" s="260"/>
      <c r="H9" s="260"/>
      <c r="I9" s="260"/>
    </row>
    <row r="10" spans="1:21" s="202" customFormat="1">
      <c r="A10" s="260" t="s">
        <v>237</v>
      </c>
      <c r="B10" s="260"/>
      <c r="C10" s="260"/>
      <c r="D10" s="260"/>
      <c r="E10" s="260"/>
      <c r="F10" s="260"/>
      <c r="G10" s="260"/>
      <c r="H10" s="260"/>
      <c r="I10" s="260"/>
    </row>
    <row r="11" spans="1:21" s="202" customFormat="1">
      <c r="A11" s="260" t="s">
        <v>238</v>
      </c>
      <c r="B11" s="260"/>
      <c r="C11" s="260"/>
      <c r="D11" s="260"/>
      <c r="E11" s="260"/>
      <c r="F11" s="260"/>
      <c r="G11" s="260"/>
      <c r="H11" s="260"/>
      <c r="I11" s="260"/>
    </row>
    <row r="12" spans="1:21" s="202" customFormat="1">
      <c r="A12" s="209"/>
      <c r="B12" s="209"/>
      <c r="C12" s="209"/>
      <c r="D12" s="209"/>
      <c r="E12" s="209"/>
      <c r="F12" s="209"/>
      <c r="G12" s="209"/>
      <c r="H12" s="209"/>
      <c r="I12" s="209"/>
    </row>
    <row r="13" spans="1:21" ht="15">
      <c r="A13" s="262" t="s">
        <v>239</v>
      </c>
      <c r="B13" s="262"/>
      <c r="C13" s="262"/>
      <c r="D13" s="262"/>
      <c r="E13" s="262"/>
      <c r="F13" s="262"/>
      <c r="G13" s="262"/>
      <c r="H13" s="262"/>
      <c r="I13" s="262"/>
    </row>
    <row r="14" spans="1:21" s="202" customFormat="1">
      <c r="A14" s="260" t="s">
        <v>240</v>
      </c>
      <c r="B14" s="260"/>
      <c r="C14" s="260"/>
      <c r="D14" s="260"/>
      <c r="E14" s="260"/>
      <c r="F14" s="260"/>
      <c r="G14" s="260"/>
      <c r="H14" s="260"/>
      <c r="I14" s="260"/>
    </row>
    <row r="15" spans="1:21" s="202" customFormat="1">
      <c r="A15" s="260" t="s">
        <v>241</v>
      </c>
      <c r="B15" s="260"/>
      <c r="C15" s="260"/>
      <c r="D15" s="260"/>
      <c r="E15" s="260"/>
      <c r="F15" s="260"/>
      <c r="G15" s="260"/>
      <c r="H15" s="260"/>
      <c r="I15" s="260"/>
    </row>
    <row r="16" spans="1:21" s="202" customFormat="1">
      <c r="A16" s="209"/>
      <c r="B16" s="209"/>
      <c r="C16" s="209"/>
      <c r="D16" s="209"/>
      <c r="E16" s="209"/>
      <c r="F16" s="209"/>
      <c r="G16" s="209"/>
      <c r="H16" s="209"/>
      <c r="I16" s="209"/>
    </row>
    <row r="17" spans="1:9" ht="15">
      <c r="A17" s="262" t="s">
        <v>242</v>
      </c>
      <c r="B17" s="262"/>
      <c r="C17" s="262"/>
      <c r="D17" s="262"/>
      <c r="E17" s="262"/>
      <c r="F17" s="262"/>
      <c r="G17" s="262"/>
      <c r="H17" s="262"/>
      <c r="I17" s="262"/>
    </row>
    <row r="18" spans="1:9" s="202" customFormat="1">
      <c r="A18" s="260" t="s">
        <v>243</v>
      </c>
      <c r="B18" s="260"/>
      <c r="C18" s="260"/>
      <c r="D18" s="260"/>
      <c r="E18" s="260"/>
      <c r="F18" s="260"/>
      <c r="G18" s="260"/>
      <c r="H18" s="260"/>
      <c r="I18" s="260"/>
    </row>
    <row r="19" spans="1:9" s="202" customFormat="1">
      <c r="A19" s="210" t="s">
        <v>244</v>
      </c>
      <c r="B19" s="209"/>
      <c r="C19" s="209"/>
      <c r="D19" s="209"/>
      <c r="E19" s="209"/>
      <c r="F19" s="209"/>
      <c r="G19" s="209"/>
      <c r="H19" s="209"/>
      <c r="I19" s="209"/>
    </row>
    <row r="20" spans="1:9" s="202" customFormat="1">
      <c r="A20" s="260" t="s">
        <v>245</v>
      </c>
      <c r="B20" s="260"/>
      <c r="C20" s="260"/>
      <c r="D20" s="260"/>
      <c r="E20" s="260"/>
      <c r="F20" s="260"/>
      <c r="G20" s="260"/>
      <c r="H20" s="260"/>
      <c r="I20" s="260"/>
    </row>
    <row r="21" spans="1:9" s="202" customFormat="1">
      <c r="A21" s="260" t="s">
        <v>246</v>
      </c>
      <c r="B21" s="260"/>
      <c r="C21" s="260"/>
      <c r="D21" s="260"/>
      <c r="E21" s="260"/>
      <c r="F21" s="260"/>
      <c r="G21" s="260"/>
      <c r="H21" s="260"/>
      <c r="I21" s="260"/>
    </row>
    <row r="22" spans="1:9" s="202" customFormat="1">
      <c r="A22" s="260" t="s">
        <v>247</v>
      </c>
      <c r="B22" s="260"/>
      <c r="C22" s="260"/>
      <c r="D22" s="260"/>
      <c r="E22" s="260"/>
      <c r="F22" s="260"/>
      <c r="G22" s="260"/>
      <c r="H22" s="260"/>
      <c r="I22" s="260"/>
    </row>
    <row r="23" spans="1:9" s="202" customFormat="1" ht="15">
      <c r="A23" s="264" t="s">
        <v>248</v>
      </c>
      <c r="B23" s="264"/>
      <c r="C23" s="264"/>
      <c r="D23" s="264"/>
      <c r="E23" s="264"/>
      <c r="F23" s="264"/>
      <c r="G23" s="264"/>
      <c r="H23" s="264"/>
      <c r="I23" s="264"/>
    </row>
    <row r="24" spans="1:9" s="202" customFormat="1" ht="15">
      <c r="A24" s="264" t="s">
        <v>249</v>
      </c>
      <c r="B24" s="264"/>
      <c r="C24" s="264"/>
      <c r="D24" s="264"/>
      <c r="E24" s="264"/>
      <c r="F24" s="264"/>
      <c r="G24" s="264"/>
      <c r="H24" s="264"/>
      <c r="I24" s="264"/>
    </row>
    <row r="25" spans="1:9" s="202" customFormat="1" ht="15">
      <c r="A25" s="211" t="s">
        <v>250</v>
      </c>
      <c r="B25" s="211"/>
      <c r="C25" s="211"/>
      <c r="D25" s="211"/>
      <c r="E25" s="211"/>
      <c r="F25" s="211"/>
      <c r="G25" s="211"/>
      <c r="H25" s="211"/>
      <c r="I25" s="211"/>
    </row>
    <row r="26" spans="1:9" s="202" customFormat="1" ht="15">
      <c r="A26" s="211" t="s">
        <v>251</v>
      </c>
      <c r="B26" s="211"/>
      <c r="C26" s="211"/>
      <c r="D26" s="211"/>
      <c r="E26" s="211"/>
      <c r="F26" s="211"/>
      <c r="G26" s="211"/>
      <c r="H26" s="211"/>
      <c r="I26" s="211"/>
    </row>
    <row r="27" spans="1:9" s="202" customFormat="1" ht="15">
      <c r="A27" s="211" t="s">
        <v>252</v>
      </c>
      <c r="B27" s="211"/>
      <c r="C27" s="211"/>
      <c r="D27" s="211"/>
      <c r="E27" s="211"/>
      <c r="F27" s="211"/>
      <c r="G27" s="211"/>
      <c r="H27" s="211"/>
      <c r="I27" s="211"/>
    </row>
    <row r="28" spans="1:9" s="202" customFormat="1">
      <c r="A28" s="209"/>
      <c r="B28" s="209"/>
      <c r="C28" s="209"/>
      <c r="D28" s="209"/>
      <c r="E28" s="209"/>
      <c r="F28" s="209"/>
      <c r="G28" s="209"/>
      <c r="H28" s="209"/>
      <c r="I28" s="209"/>
    </row>
    <row r="29" spans="1:9" ht="15">
      <c r="A29" s="262" t="s">
        <v>253</v>
      </c>
      <c r="B29" s="262"/>
      <c r="C29" s="262"/>
      <c r="D29" s="262"/>
      <c r="E29" s="262"/>
      <c r="F29" s="262"/>
      <c r="G29" s="262"/>
      <c r="H29" s="262"/>
      <c r="I29" s="262"/>
    </row>
    <row r="30" spans="1:9" s="202" customFormat="1" ht="15" customHeight="1">
      <c r="A30" s="265" t="s">
        <v>254</v>
      </c>
      <c r="B30" s="265"/>
      <c r="C30" s="265"/>
      <c r="D30" s="265"/>
      <c r="E30" s="265"/>
      <c r="F30" s="265"/>
      <c r="G30" s="265"/>
      <c r="H30" s="265"/>
      <c r="I30" s="265"/>
    </row>
    <row r="31" spans="1:9" s="202" customFormat="1" ht="15" customHeight="1">
      <c r="A31" s="265" t="s">
        <v>255</v>
      </c>
      <c r="B31" s="265"/>
      <c r="C31" s="265"/>
      <c r="D31" s="265"/>
      <c r="E31" s="265"/>
      <c r="F31" s="265"/>
      <c r="G31" s="265"/>
      <c r="H31" s="265"/>
      <c r="I31" s="265"/>
    </row>
    <row r="32" spans="1:9" s="202" customFormat="1">
      <c r="A32" s="265" t="s">
        <v>256</v>
      </c>
      <c r="B32" s="260"/>
      <c r="C32" s="260"/>
      <c r="D32" s="260"/>
      <c r="E32" s="260"/>
      <c r="F32" s="260"/>
      <c r="G32" s="260"/>
      <c r="H32" s="260"/>
      <c r="I32" s="260"/>
    </row>
    <row r="33" spans="1:9" s="202" customFormat="1">
      <c r="A33" s="265" t="s">
        <v>257</v>
      </c>
      <c r="B33" s="265"/>
      <c r="C33" s="265"/>
      <c r="D33" s="265"/>
      <c r="E33" s="265"/>
      <c r="F33" s="265"/>
      <c r="G33" s="265"/>
      <c r="H33" s="265"/>
      <c r="I33" s="265"/>
    </row>
    <row r="34" spans="1:9" s="202" customFormat="1">
      <c r="A34" s="209"/>
      <c r="B34" s="209"/>
      <c r="C34" s="209"/>
      <c r="D34" s="209"/>
      <c r="E34" s="209"/>
      <c r="F34" s="209"/>
      <c r="G34" s="209"/>
      <c r="H34" s="209"/>
      <c r="I34" s="209"/>
    </row>
    <row r="35" spans="1:9" ht="15">
      <c r="A35" s="262" t="s">
        <v>258</v>
      </c>
      <c r="B35" s="262"/>
      <c r="C35" s="262"/>
      <c r="D35" s="262"/>
      <c r="E35" s="262"/>
      <c r="F35" s="262"/>
      <c r="G35" s="262"/>
      <c r="H35" s="262"/>
      <c r="I35" s="262"/>
    </row>
    <row r="36" spans="1:9" s="202" customFormat="1" ht="15">
      <c r="A36" s="260" t="s">
        <v>259</v>
      </c>
      <c r="B36" s="260"/>
      <c r="C36" s="260"/>
      <c r="D36" s="260"/>
      <c r="E36" s="260"/>
      <c r="F36" s="260"/>
      <c r="G36" s="260"/>
      <c r="H36" s="260"/>
      <c r="I36" s="260"/>
    </row>
    <row r="37" spans="1:9" s="202" customFormat="1">
      <c r="A37" s="260" t="s">
        <v>260</v>
      </c>
      <c r="B37" s="260"/>
      <c r="C37" s="260"/>
      <c r="D37" s="260"/>
      <c r="E37" s="260"/>
      <c r="F37" s="260"/>
      <c r="G37" s="260"/>
      <c r="H37" s="260"/>
      <c r="I37" s="260"/>
    </row>
    <row r="38" spans="1:9" s="202" customFormat="1">
      <c r="A38" s="209"/>
      <c r="B38" s="209"/>
      <c r="C38" s="209"/>
      <c r="D38" s="209"/>
      <c r="E38" s="209"/>
      <c r="F38" s="209"/>
      <c r="G38" s="209"/>
      <c r="H38" s="209"/>
      <c r="I38" s="209"/>
    </row>
    <row r="39" spans="1:9" ht="15">
      <c r="A39" s="262" t="s">
        <v>261</v>
      </c>
      <c r="B39" s="262"/>
      <c r="C39" s="262"/>
      <c r="D39" s="262"/>
      <c r="E39" s="262"/>
      <c r="F39" s="262"/>
      <c r="G39" s="262"/>
      <c r="H39" s="262"/>
      <c r="I39" s="262"/>
    </row>
    <row r="40" spans="1:9" s="202" customFormat="1">
      <c r="A40" s="260" t="s">
        <v>262</v>
      </c>
      <c r="B40" s="260"/>
      <c r="C40" s="260"/>
      <c r="D40" s="260"/>
      <c r="E40" s="260"/>
      <c r="F40" s="260"/>
      <c r="G40" s="260"/>
      <c r="H40" s="260"/>
      <c r="I40" s="260"/>
    </row>
    <row r="41" spans="1:9" s="202" customFormat="1">
      <c r="A41" s="260" t="s">
        <v>263</v>
      </c>
      <c r="B41" s="260"/>
      <c r="C41" s="260"/>
      <c r="D41" s="260"/>
      <c r="E41" s="260"/>
      <c r="F41" s="260"/>
      <c r="G41" s="260"/>
      <c r="H41" s="260"/>
      <c r="I41" s="260"/>
    </row>
    <row r="42" spans="1:9" s="202" customFormat="1">
      <c r="A42" s="260" t="s">
        <v>264</v>
      </c>
      <c r="B42" s="260"/>
      <c r="C42" s="260"/>
      <c r="D42" s="260"/>
      <c r="E42" s="260"/>
      <c r="F42" s="260"/>
      <c r="G42" s="260"/>
      <c r="H42" s="260"/>
      <c r="I42" s="260"/>
    </row>
    <row r="43" spans="1:9" s="202" customFormat="1">
      <c r="A43" s="260" t="s">
        <v>265</v>
      </c>
      <c r="B43" s="260"/>
      <c r="C43" s="260"/>
      <c r="D43" s="260"/>
      <c r="E43" s="260"/>
      <c r="F43" s="260"/>
      <c r="G43" s="260"/>
      <c r="H43" s="260"/>
      <c r="I43" s="260"/>
    </row>
    <row r="44" spans="1:9" s="202" customFormat="1">
      <c r="A44" s="260" t="s">
        <v>266</v>
      </c>
      <c r="B44" s="260"/>
      <c r="C44" s="260"/>
      <c r="D44" s="260"/>
      <c r="E44" s="260"/>
      <c r="F44" s="260"/>
      <c r="G44" s="260"/>
      <c r="H44" s="260"/>
      <c r="I44" s="260"/>
    </row>
    <row r="45" spans="1:9" s="202" customFormat="1">
      <c r="A45" s="260" t="s">
        <v>267</v>
      </c>
      <c r="B45" s="260"/>
      <c r="C45" s="260"/>
      <c r="D45" s="260"/>
      <c r="E45" s="260"/>
      <c r="F45" s="260"/>
      <c r="G45" s="260"/>
      <c r="H45" s="260"/>
      <c r="I45" s="260"/>
    </row>
    <row r="46" spans="1:9" s="202" customFormat="1">
      <c r="A46" s="260" t="s">
        <v>268</v>
      </c>
      <c r="B46" s="260"/>
      <c r="C46" s="260"/>
      <c r="D46" s="260"/>
      <c r="E46" s="260"/>
      <c r="F46" s="260"/>
      <c r="G46" s="260"/>
      <c r="H46" s="260"/>
      <c r="I46" s="260"/>
    </row>
    <row r="47" spans="1:9" s="202" customFormat="1">
      <c r="A47" s="260" t="s">
        <v>269</v>
      </c>
      <c r="B47" s="260"/>
      <c r="C47" s="260"/>
      <c r="D47" s="260"/>
      <c r="E47" s="260"/>
      <c r="F47" s="260"/>
      <c r="G47" s="260"/>
      <c r="H47" s="260"/>
      <c r="I47" s="260"/>
    </row>
    <row r="48" spans="1:9" s="202" customFormat="1">
      <c r="A48" s="209"/>
      <c r="B48" s="209"/>
      <c r="C48" s="209"/>
      <c r="D48" s="209"/>
      <c r="E48" s="209"/>
      <c r="F48" s="209"/>
      <c r="G48" s="209"/>
      <c r="H48" s="209"/>
      <c r="I48" s="209"/>
    </row>
    <row r="49" spans="1:9" s="214" customFormat="1" ht="9">
      <c r="A49" s="212" t="s">
        <v>270</v>
      </c>
      <c r="B49" s="213"/>
      <c r="C49" s="213"/>
      <c r="D49" s="213"/>
      <c r="E49" s="213"/>
      <c r="F49" s="213"/>
      <c r="G49" s="213"/>
      <c r="H49" s="213"/>
      <c r="I49" s="213"/>
    </row>
    <row r="50" spans="1:9" s="214" customFormat="1" ht="9">
      <c r="A50" s="213" t="s">
        <v>271</v>
      </c>
      <c r="B50" s="213"/>
      <c r="C50" s="213"/>
      <c r="D50" s="213"/>
      <c r="E50" s="213"/>
      <c r="F50" s="213"/>
      <c r="G50" s="213"/>
      <c r="H50" s="213"/>
      <c r="I50" s="213"/>
    </row>
    <row r="51" spans="1:9" s="214" customFormat="1" ht="9">
      <c r="A51" s="213" t="s">
        <v>272</v>
      </c>
      <c r="B51" s="213"/>
      <c r="C51" s="213"/>
      <c r="D51" s="213"/>
      <c r="E51" s="213"/>
      <c r="F51" s="213"/>
      <c r="G51" s="213"/>
      <c r="H51" s="213"/>
      <c r="I51" s="213"/>
    </row>
    <row r="52" spans="1:9" s="202" customFormat="1">
      <c r="A52" s="209"/>
      <c r="B52" s="209"/>
      <c r="C52" s="209"/>
      <c r="D52" s="209"/>
      <c r="E52" s="209"/>
      <c r="F52" s="209"/>
      <c r="G52" s="209"/>
      <c r="H52" s="209"/>
      <c r="I52" s="209"/>
    </row>
    <row r="53" spans="1:9" ht="15">
      <c r="A53" s="262" t="s">
        <v>273</v>
      </c>
      <c r="B53" s="262"/>
      <c r="C53" s="262"/>
      <c r="D53" s="262"/>
      <c r="E53" s="262"/>
      <c r="F53" s="262"/>
      <c r="G53" s="262"/>
      <c r="H53" s="262"/>
      <c r="I53" s="262"/>
    </row>
    <row r="54" spans="1:9" s="202" customFormat="1">
      <c r="A54" s="260" t="s">
        <v>274</v>
      </c>
      <c r="B54" s="260"/>
      <c r="C54" s="260"/>
      <c r="D54" s="260"/>
      <c r="E54" s="260"/>
      <c r="F54" s="260"/>
      <c r="G54" s="260"/>
      <c r="H54" s="260"/>
      <c r="I54" s="260"/>
    </row>
    <row r="55" spans="1:9" s="202" customFormat="1">
      <c r="A55" s="209" t="s">
        <v>275</v>
      </c>
      <c r="B55" s="209"/>
      <c r="C55" s="209"/>
      <c r="D55" s="209"/>
      <c r="E55" s="209"/>
      <c r="F55" s="209"/>
      <c r="G55" s="209"/>
      <c r="H55" s="209"/>
      <c r="I55" s="209"/>
    </row>
    <row r="56" spans="1:9">
      <c r="A56" s="215"/>
      <c r="B56" s="215"/>
      <c r="C56" s="215"/>
      <c r="D56" s="215"/>
      <c r="E56" s="215"/>
      <c r="F56" s="215"/>
      <c r="G56" s="215"/>
      <c r="H56" s="215"/>
      <c r="I56" s="215"/>
    </row>
  </sheetData>
  <mergeCells count="36">
    <mergeCell ref="A54:I54"/>
    <mergeCell ref="A37:I37"/>
    <mergeCell ref="A39:I39"/>
    <mergeCell ref="A40:I40"/>
    <mergeCell ref="A41:I41"/>
    <mergeCell ref="A42:I42"/>
    <mergeCell ref="A43:I43"/>
    <mergeCell ref="A44:I44"/>
    <mergeCell ref="A45:I45"/>
    <mergeCell ref="A46:I46"/>
    <mergeCell ref="A47:I47"/>
    <mergeCell ref="A53:I53"/>
    <mergeCell ref="A36:I36"/>
    <mergeCell ref="A20:I20"/>
    <mergeCell ref="A21:I21"/>
    <mergeCell ref="A22:I22"/>
    <mergeCell ref="A23:I23"/>
    <mergeCell ref="A24:I24"/>
    <mergeCell ref="A29:I29"/>
    <mergeCell ref="A30:I30"/>
    <mergeCell ref="A31:I31"/>
    <mergeCell ref="A32:I32"/>
    <mergeCell ref="A33:I33"/>
    <mergeCell ref="A35:I35"/>
    <mergeCell ref="A18:I18"/>
    <mergeCell ref="A1:I1"/>
    <mergeCell ref="A5:I5"/>
    <mergeCell ref="A6:I6"/>
    <mergeCell ref="A7:I7"/>
    <mergeCell ref="A9:I9"/>
    <mergeCell ref="A10:I10"/>
    <mergeCell ref="A11:I11"/>
    <mergeCell ref="A13:I13"/>
    <mergeCell ref="A14:I14"/>
    <mergeCell ref="A15:I15"/>
    <mergeCell ref="A17:I17"/>
  </mergeCells>
  <phoneticPr fontId="5"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205"/>
  <sheetViews>
    <sheetView showGridLines="0" workbookViewId="0">
      <pane ySplit="8" topLeftCell="A9" activePane="bottomLeft" state="frozen"/>
      <selection pane="bottomLeft" activeCell="A12" sqref="A12"/>
    </sheetView>
  </sheetViews>
  <sheetFormatPr defaultRowHeight="12.75"/>
  <cols>
    <col min="1" max="1" width="24.7109375" style="92" customWidth="1"/>
    <col min="2" max="2" width="14.7109375" style="91" customWidth="1"/>
    <col min="3" max="3" width="21.28515625" style="92" customWidth="1"/>
    <col min="4" max="4" width="12.28515625" style="92" customWidth="1"/>
    <col min="5" max="5" width="3.7109375" style="92" customWidth="1"/>
    <col min="6" max="6" width="10.85546875" style="92" customWidth="1"/>
    <col min="7" max="7" width="3.7109375" style="92" customWidth="1"/>
    <col min="8" max="8" width="10.85546875" style="92" customWidth="1"/>
    <col min="9" max="9" width="3.7109375" style="92" customWidth="1"/>
    <col min="10" max="10" width="10.85546875" style="92" customWidth="1"/>
    <col min="11" max="11" width="3.7109375" style="92" customWidth="1"/>
    <col min="12" max="12" width="10.85546875" style="92" customWidth="1"/>
    <col min="13" max="16384" width="9.140625" style="52"/>
  </cols>
  <sheetData>
    <row r="1" spans="1:16" s="45" customFormat="1" ht="54.95" customHeight="1">
      <c r="A1" s="104" t="s">
        <v>230</v>
      </c>
      <c r="B1" s="105"/>
      <c r="C1" s="106"/>
      <c r="D1" s="106"/>
      <c r="E1" s="106"/>
      <c r="F1" s="106"/>
      <c r="G1" s="106"/>
      <c r="H1" s="106"/>
      <c r="I1" s="106"/>
      <c r="J1" s="106"/>
      <c r="K1" s="106"/>
      <c r="L1" s="107"/>
      <c r="M1" s="126"/>
    </row>
    <row r="2" spans="1:16" s="45" customFormat="1" ht="33.75" customHeight="1">
      <c r="A2" s="108" t="str">
        <f>IF(Settings!$E$5="Enable",Settings!$B$5,"")</f>
        <v>My Company name</v>
      </c>
      <c r="B2" s="109"/>
      <c r="C2" s="110"/>
      <c r="D2" s="110"/>
      <c r="E2" s="110"/>
      <c r="F2" s="110"/>
      <c r="G2" s="110"/>
      <c r="H2" s="110"/>
      <c r="I2" s="110"/>
      <c r="J2" s="110"/>
      <c r="K2" s="110"/>
      <c r="L2" s="90"/>
      <c r="M2" s="126"/>
    </row>
    <row r="3" spans="1:16" s="50" customFormat="1" ht="18" customHeight="1">
      <c r="A3" s="111" t="str">
        <f>IF(Settings!$E$6="Enable",Settings!$B$6,"")</f>
        <v>My company slogan</v>
      </c>
      <c r="B3" s="76"/>
      <c r="H3" s="76"/>
      <c r="I3" s="76"/>
      <c r="L3" s="112"/>
      <c r="M3" s="76"/>
      <c r="N3" s="237"/>
      <c r="O3" s="237"/>
      <c r="P3" s="237"/>
    </row>
    <row r="4" spans="1:16" ht="15">
      <c r="A4" s="59"/>
      <c r="B4" s="111"/>
      <c r="C4" s="59"/>
      <c r="D4" s="59"/>
      <c r="E4" s="59"/>
      <c r="F4" s="59"/>
      <c r="G4" s="59"/>
      <c r="H4" s="59"/>
      <c r="I4" s="59"/>
      <c r="J4" s="113"/>
      <c r="K4" s="113"/>
      <c r="L4" s="116" t="s">
        <v>229</v>
      </c>
      <c r="N4" s="25"/>
    </row>
    <row r="5" spans="1:16" ht="15">
      <c r="A5" s="59"/>
      <c r="B5" s="111"/>
      <c r="C5" s="59"/>
      <c r="D5" s="59"/>
      <c r="E5" s="59"/>
      <c r="F5" s="59"/>
      <c r="G5" s="59"/>
      <c r="H5" s="59"/>
      <c r="I5" s="59"/>
      <c r="J5" s="113"/>
      <c r="K5" s="113"/>
      <c r="L5" s="58"/>
      <c r="N5" s="25"/>
    </row>
    <row r="6" spans="1:16" ht="30" customHeight="1">
      <c r="A6" s="64" t="s">
        <v>126</v>
      </c>
      <c r="B6" s="117"/>
      <c r="C6" s="117"/>
      <c r="D6" s="117"/>
      <c r="E6" s="117"/>
      <c r="F6" s="117"/>
      <c r="G6" s="117"/>
      <c r="H6" s="117"/>
      <c r="I6" s="117"/>
      <c r="J6" s="117"/>
      <c r="K6" s="117"/>
      <c r="L6" s="117"/>
    </row>
    <row r="7" spans="1:16">
      <c r="A7" s="118"/>
      <c r="B7" s="119"/>
      <c r="C7" s="118"/>
      <c r="D7" s="120"/>
      <c r="E7" s="120"/>
      <c r="F7" s="120"/>
      <c r="G7" s="120"/>
      <c r="H7" s="120"/>
      <c r="I7" s="120"/>
      <c r="J7" s="120"/>
      <c r="K7" s="120"/>
      <c r="L7" s="120"/>
      <c r="M7" s="62"/>
      <c r="N7" s="62"/>
      <c r="O7" s="62"/>
    </row>
    <row r="8" spans="1:16" s="45" customFormat="1" ht="18" customHeight="1">
      <c r="A8" s="74" t="s">
        <v>162</v>
      </c>
      <c r="B8" s="74" t="s">
        <v>163</v>
      </c>
      <c r="C8" s="74" t="s">
        <v>164</v>
      </c>
      <c r="D8" s="75" t="s">
        <v>165</v>
      </c>
      <c r="E8" s="236" t="s">
        <v>0</v>
      </c>
      <c r="F8" s="236"/>
      <c r="G8" s="236"/>
      <c r="H8" s="236"/>
      <c r="I8" s="236" t="s">
        <v>142</v>
      </c>
      <c r="J8" s="236"/>
      <c r="K8" s="236"/>
      <c r="L8" s="236"/>
      <c r="M8" s="20"/>
      <c r="N8" s="20"/>
      <c r="O8" s="20"/>
    </row>
    <row r="9" spans="1:16" s="45" customFormat="1" ht="6.95" customHeight="1">
      <c r="A9" s="50"/>
      <c r="B9" s="50"/>
      <c r="C9" s="50"/>
      <c r="D9" s="20"/>
      <c r="E9" s="20"/>
      <c r="F9" s="20"/>
      <c r="G9" s="20"/>
      <c r="H9" s="20"/>
      <c r="I9" s="20"/>
      <c r="J9" s="20"/>
      <c r="K9" s="20"/>
      <c r="L9" s="20"/>
      <c r="M9" s="20"/>
      <c r="N9" s="20"/>
      <c r="O9" s="20"/>
    </row>
    <row r="10" spans="1:16" s="45" customFormat="1" ht="18" customHeight="1" thickBot="1">
      <c r="A10" s="78" t="s">
        <v>160</v>
      </c>
      <c r="B10" s="78" t="s">
        <v>3</v>
      </c>
      <c r="C10" s="78" t="s">
        <v>161</v>
      </c>
      <c r="D10" s="22" t="str">
        <f>Settings!C18&amp; "ml Shots"</f>
        <v>25ml Shots</v>
      </c>
      <c r="E10" s="235" t="s">
        <v>86</v>
      </c>
      <c r="F10" s="235"/>
      <c r="G10" s="235" t="s">
        <v>87</v>
      </c>
      <c r="H10" s="235"/>
      <c r="I10" s="235" t="s">
        <v>87</v>
      </c>
      <c r="J10" s="235"/>
      <c r="K10" s="235" t="s">
        <v>86</v>
      </c>
      <c r="L10" s="235"/>
      <c r="M10" s="20"/>
      <c r="N10" s="20"/>
      <c r="O10" s="20"/>
    </row>
    <row r="11" spans="1:16" s="45" customFormat="1" ht="6.95" customHeight="1" thickTop="1">
      <c r="A11" s="91"/>
      <c r="B11" s="91"/>
      <c r="C11" s="91"/>
      <c r="D11" s="94"/>
      <c r="E11" s="94"/>
      <c r="F11" s="94"/>
      <c r="G11" s="94"/>
      <c r="H11" s="94"/>
      <c r="I11" s="94"/>
      <c r="J11" s="94"/>
      <c r="K11" s="94"/>
      <c r="L11" s="94"/>
      <c r="M11" s="20"/>
      <c r="N11" s="20"/>
      <c r="O11" s="20"/>
    </row>
    <row r="12" spans="1:16" s="29" customFormat="1" ht="15" customHeight="1">
      <c r="A12" s="95" t="s">
        <v>4</v>
      </c>
      <c r="B12" s="95" t="s">
        <v>175</v>
      </c>
      <c r="C12" s="95" t="s">
        <v>5</v>
      </c>
      <c r="D12" s="47">
        <f>IF(ISBLANK(C12),"",INDEX(spirit_size,MATCH(C12,spirits,0),2)/Settings!$C$18)</f>
        <v>28</v>
      </c>
      <c r="E12" s="27" t="str">
        <f>IF(ISBLANK(F12),"",Settings!$B$14)</f>
        <v>$</v>
      </c>
      <c r="F12" s="96">
        <v>21.35</v>
      </c>
      <c r="G12" s="48" t="str">
        <f>IF(OR(ISBLANK(H12),H12=""),"",Settings!$B$14)</f>
        <v>$</v>
      </c>
      <c r="H12" s="49">
        <f>IF(ISBLANK(F12),"",F12/D12)</f>
        <v>0.76250000000000007</v>
      </c>
      <c r="I12" s="27" t="str">
        <f>IF(ISBLANK(J12),"",Settings!$B$14)</f>
        <v>$</v>
      </c>
      <c r="J12" s="96">
        <v>2.89</v>
      </c>
      <c r="K12" s="48" t="str">
        <f>IF(OR(ISBLANK(L12),L12=""),"",Settings!$B$14)</f>
        <v>$</v>
      </c>
      <c r="L12" s="30">
        <f t="shared" ref="L12:L55" si="0">IF(ISBLANK(J12),"",J12*D12)</f>
        <v>80.92</v>
      </c>
      <c r="M12" s="83"/>
      <c r="N12" s="83"/>
      <c r="O12" s="83"/>
    </row>
    <row r="13" spans="1:16" s="29" customFormat="1" ht="15" customHeight="1">
      <c r="A13" s="95" t="s">
        <v>6</v>
      </c>
      <c r="B13" s="95" t="s">
        <v>175</v>
      </c>
      <c r="C13" s="95" t="s">
        <v>5</v>
      </c>
      <c r="D13" s="47">
        <f>IF(ISBLANK(C13),"",INDEX(spirit_size,MATCH(C13,spirits,0),2)/Settings!$C$18)</f>
        <v>28</v>
      </c>
      <c r="E13" s="27" t="str">
        <f>IF(ISBLANK(F13),"",Settings!$B$14)</f>
        <v>$</v>
      </c>
      <c r="F13" s="96">
        <v>9.9700000000000006</v>
      </c>
      <c r="G13" s="48" t="str">
        <f>IF(OR(ISBLANK(H13),H13=""),"",Settings!$B$14)</f>
        <v>$</v>
      </c>
      <c r="H13" s="49">
        <f t="shared" ref="H13:H55" si="1">IF(ISBLANK(F13),"",F13/D13)</f>
        <v>0.35607142857142859</v>
      </c>
      <c r="I13" s="27" t="str">
        <f>IF(ISBLANK(J13),"",Settings!$B$14)</f>
        <v>$</v>
      </c>
      <c r="J13" s="96">
        <v>1.94</v>
      </c>
      <c r="K13" s="48" t="str">
        <f>IF(OR(ISBLANK(L13),L13=""),"",Settings!$B$14)</f>
        <v>$</v>
      </c>
      <c r="L13" s="30">
        <f t="shared" si="0"/>
        <v>54.32</v>
      </c>
      <c r="M13" s="83"/>
      <c r="N13" s="83"/>
      <c r="O13" s="83"/>
    </row>
    <row r="14" spans="1:16" s="29" customFormat="1" ht="15" customHeight="1">
      <c r="A14" s="95" t="s">
        <v>6</v>
      </c>
      <c r="B14" s="95" t="s">
        <v>175</v>
      </c>
      <c r="C14" s="95" t="s">
        <v>88</v>
      </c>
      <c r="D14" s="47">
        <f>IF(ISBLANK(C14),"",INDEX(spirit_size,MATCH(C14,spirits,0),2)/Settings!$C$18)</f>
        <v>60</v>
      </c>
      <c r="E14" s="27" t="str">
        <f>IF(ISBLANK(F14),"",Settings!$B$14)</f>
        <v>$</v>
      </c>
      <c r="F14" s="96">
        <v>20.059999999999999</v>
      </c>
      <c r="G14" s="48" t="str">
        <f>IF(OR(ISBLANK(H14),H14=""),"",Settings!$B$14)</f>
        <v>$</v>
      </c>
      <c r="H14" s="49">
        <f t="shared" si="1"/>
        <v>0.33433333333333332</v>
      </c>
      <c r="I14" s="27" t="str">
        <f>IF(ISBLANK(J14),"",Settings!$B$14)</f>
        <v>$</v>
      </c>
      <c r="J14" s="96">
        <v>1.94</v>
      </c>
      <c r="K14" s="48" t="str">
        <f>IF(OR(ISBLANK(L14),L14=""),"",Settings!$B$14)</f>
        <v>$</v>
      </c>
      <c r="L14" s="30">
        <f t="shared" si="0"/>
        <v>116.39999999999999</v>
      </c>
      <c r="M14" s="83"/>
      <c r="N14" s="83"/>
      <c r="O14" s="83"/>
    </row>
    <row r="15" spans="1:16" s="29" customFormat="1" ht="15" customHeight="1">
      <c r="A15" s="95" t="s">
        <v>8</v>
      </c>
      <c r="B15" s="95" t="s">
        <v>175</v>
      </c>
      <c r="C15" s="95" t="s">
        <v>33</v>
      </c>
      <c r="D15" s="47">
        <f>IF(ISBLANK(C15),"",INDEX(spirit_size,MATCH(C15,spirits,0),2)/Settings!$C$18)</f>
        <v>30</v>
      </c>
      <c r="E15" s="27" t="str">
        <f>IF(ISBLANK(F15),"",Settings!$B$14)</f>
        <v>$</v>
      </c>
      <c r="F15" s="96">
        <v>14.45</v>
      </c>
      <c r="G15" s="48" t="str">
        <f>IF(OR(ISBLANK(H15),H15=""),"",Settings!$B$14)</f>
        <v>$</v>
      </c>
      <c r="H15" s="49">
        <f t="shared" si="1"/>
        <v>0.48166666666666663</v>
      </c>
      <c r="I15" s="27" t="str">
        <f>IF(ISBLANK(J15),"",Settings!$B$14)</f>
        <v>$</v>
      </c>
      <c r="J15" s="96">
        <v>2.56</v>
      </c>
      <c r="K15" s="48" t="str">
        <f>IF(OR(ISBLANK(L15),L15=""),"",Settings!$B$14)</f>
        <v>$</v>
      </c>
      <c r="L15" s="30">
        <f t="shared" si="0"/>
        <v>76.8</v>
      </c>
      <c r="M15" s="83"/>
      <c r="N15" s="83"/>
      <c r="O15" s="83"/>
    </row>
    <row r="16" spans="1:16" s="29" customFormat="1" ht="15" customHeight="1">
      <c r="A16" s="95" t="s">
        <v>9</v>
      </c>
      <c r="B16" s="95" t="s">
        <v>175</v>
      </c>
      <c r="C16" s="95" t="s">
        <v>5</v>
      </c>
      <c r="D16" s="47">
        <f>IF(ISBLANK(C16),"",INDEX(spirit_size,MATCH(C16,spirits,0),2)/Settings!$C$18)</f>
        <v>28</v>
      </c>
      <c r="E16" s="27" t="str">
        <f>IF(ISBLANK(F16),"",Settings!$B$14)</f>
        <v>$</v>
      </c>
      <c r="F16" s="96">
        <v>17.850000000000001</v>
      </c>
      <c r="G16" s="48" t="str">
        <f>IF(OR(ISBLANK(H16),H16=""),"",Settings!$B$14)</f>
        <v>$</v>
      </c>
      <c r="H16" s="49">
        <f t="shared" si="1"/>
        <v>0.63750000000000007</v>
      </c>
      <c r="I16" s="27" t="str">
        <f>IF(ISBLANK(J16),"",Settings!$B$14)</f>
        <v>$</v>
      </c>
      <c r="J16" s="96">
        <v>2.79</v>
      </c>
      <c r="K16" s="48" t="str">
        <f>IF(OR(ISBLANK(L16),L16=""),"",Settings!$B$14)</f>
        <v>$</v>
      </c>
      <c r="L16" s="30">
        <f t="shared" si="0"/>
        <v>78.12</v>
      </c>
      <c r="M16" s="83"/>
      <c r="N16" s="83"/>
      <c r="O16" s="83"/>
    </row>
    <row r="17" spans="1:15" s="29" customFormat="1" ht="15" customHeight="1">
      <c r="A17" s="95" t="s">
        <v>10</v>
      </c>
      <c r="B17" s="95" t="s">
        <v>175</v>
      </c>
      <c r="C17" s="95" t="s">
        <v>5</v>
      </c>
      <c r="D17" s="47">
        <f>IF(ISBLANK(C17),"",INDEX(spirit_size,MATCH(C17,spirits,0),2)/Settings!$C$18)</f>
        <v>28</v>
      </c>
      <c r="E17" s="27" t="str">
        <f>IF(ISBLANK(F17),"",Settings!$B$14)</f>
        <v>$</v>
      </c>
      <c r="F17" s="96">
        <v>12.06</v>
      </c>
      <c r="G17" s="48" t="str">
        <f>IF(OR(ISBLANK(H17),H17=""),"",Settings!$B$14)</f>
        <v>$</v>
      </c>
      <c r="H17" s="49">
        <f t="shared" si="1"/>
        <v>0.43071428571428572</v>
      </c>
      <c r="I17" s="27" t="str">
        <f>IF(ISBLANK(J17),"",Settings!$B$14)</f>
        <v>$</v>
      </c>
      <c r="J17" s="96">
        <v>2.06</v>
      </c>
      <c r="K17" s="48" t="str">
        <f>IF(OR(ISBLANK(L17),L17=""),"",Settings!$B$14)</f>
        <v>$</v>
      </c>
      <c r="L17" s="30">
        <f t="shared" si="0"/>
        <v>57.68</v>
      </c>
      <c r="M17" s="83"/>
      <c r="N17" s="83"/>
      <c r="O17" s="83"/>
    </row>
    <row r="18" spans="1:15" s="29" customFormat="1" ht="15" customHeight="1">
      <c r="A18" s="95" t="s">
        <v>10</v>
      </c>
      <c r="B18" s="95" t="s">
        <v>175</v>
      </c>
      <c r="C18" s="95" t="s">
        <v>7</v>
      </c>
      <c r="D18" s="47">
        <f>IF(ISBLANK(C18),"",INDEX(spirit_size,MATCH(C18,spirits,0),2)/Settings!$C$18)</f>
        <v>60</v>
      </c>
      <c r="E18" s="27" t="str">
        <f>IF(ISBLANK(F18),"",Settings!$B$14)</f>
        <v>$</v>
      </c>
      <c r="F18" s="96">
        <v>25.17</v>
      </c>
      <c r="G18" s="48" t="str">
        <f>IF(OR(ISBLANK(H18),H18=""),"",Settings!$B$14)</f>
        <v>$</v>
      </c>
      <c r="H18" s="49">
        <f t="shared" si="1"/>
        <v>0.41950000000000004</v>
      </c>
      <c r="I18" s="27" t="str">
        <f>IF(ISBLANK(J18),"",Settings!$B$14)</f>
        <v>$</v>
      </c>
      <c r="J18" s="96">
        <v>2.06</v>
      </c>
      <c r="K18" s="48" t="str">
        <f>IF(OR(ISBLANK(L18),L18=""),"",Settings!$B$14)</f>
        <v>$</v>
      </c>
      <c r="L18" s="30">
        <f t="shared" si="0"/>
        <v>123.60000000000001</v>
      </c>
      <c r="M18" s="83"/>
      <c r="N18" s="83"/>
      <c r="O18" s="83"/>
    </row>
    <row r="19" spans="1:15" s="29" customFormat="1" ht="15" customHeight="1">
      <c r="A19" s="95" t="s">
        <v>11</v>
      </c>
      <c r="B19" s="95" t="s">
        <v>175</v>
      </c>
      <c r="C19" s="95" t="s">
        <v>5</v>
      </c>
      <c r="D19" s="47">
        <f>IF(ISBLANK(C19),"",INDEX(spirit_size,MATCH(C19,spirits,0),2)/Settings!$C$18)</f>
        <v>28</v>
      </c>
      <c r="E19" s="27" t="str">
        <f>IF(ISBLANK(F19),"",Settings!$B$14)</f>
        <v>$</v>
      </c>
      <c r="F19" s="96">
        <v>11.39</v>
      </c>
      <c r="G19" s="48" t="str">
        <f>IF(OR(ISBLANK(H19),H19=""),"",Settings!$B$14)</f>
        <v>$</v>
      </c>
      <c r="H19" s="49">
        <f t="shared" si="1"/>
        <v>0.40678571428571431</v>
      </c>
      <c r="I19" s="27" t="str">
        <f>IF(ISBLANK(J19),"",Settings!$B$14)</f>
        <v>$</v>
      </c>
      <c r="J19" s="96">
        <v>2.06</v>
      </c>
      <c r="K19" s="48" t="str">
        <f>IF(OR(ISBLANK(L19),L19=""),"",Settings!$B$14)</f>
        <v>$</v>
      </c>
      <c r="L19" s="30">
        <f t="shared" si="0"/>
        <v>57.68</v>
      </c>
      <c r="M19" s="83"/>
      <c r="N19" s="83"/>
      <c r="O19" s="83"/>
    </row>
    <row r="20" spans="1:15" s="29" customFormat="1" ht="15" customHeight="1">
      <c r="A20" s="95" t="s">
        <v>12</v>
      </c>
      <c r="B20" s="95" t="s">
        <v>175</v>
      </c>
      <c r="C20" s="95" t="s">
        <v>5</v>
      </c>
      <c r="D20" s="47">
        <f>IF(ISBLANK(C20),"",INDEX(spirit_size,MATCH(C20,spirits,0),2)/Settings!$C$18)</f>
        <v>28</v>
      </c>
      <c r="E20" s="27" t="str">
        <f>IF(ISBLANK(F20),"",Settings!$B$14)</f>
        <v>$</v>
      </c>
      <c r="F20" s="96">
        <v>10.28</v>
      </c>
      <c r="G20" s="48" t="str">
        <f>IF(OR(ISBLANK(H20),H20=""),"",Settings!$B$14)</f>
        <v>$</v>
      </c>
      <c r="H20" s="49">
        <f t="shared" si="1"/>
        <v>0.3671428571428571</v>
      </c>
      <c r="I20" s="27" t="str">
        <f>IF(ISBLANK(J20),"",Settings!$B$14)</f>
        <v>$</v>
      </c>
      <c r="J20" s="96">
        <v>2.06</v>
      </c>
      <c r="K20" s="48" t="str">
        <f>IF(OR(ISBLANK(L20),L20=""),"",Settings!$B$14)</f>
        <v>$</v>
      </c>
      <c r="L20" s="30">
        <f t="shared" si="0"/>
        <v>57.68</v>
      </c>
      <c r="M20" s="83"/>
      <c r="N20" s="83"/>
      <c r="O20" s="83"/>
    </row>
    <row r="21" spans="1:15" s="29" customFormat="1" ht="15" customHeight="1">
      <c r="A21" s="95" t="s">
        <v>12</v>
      </c>
      <c r="B21" s="95" t="s">
        <v>175</v>
      </c>
      <c r="C21" s="95" t="s">
        <v>7</v>
      </c>
      <c r="D21" s="47">
        <f>IF(ISBLANK(C21),"",INDEX(spirit_size,MATCH(C21,spirits,0),2)/Settings!$C$18)</f>
        <v>60</v>
      </c>
      <c r="E21" s="27" t="str">
        <f>IF(ISBLANK(F21),"",Settings!$B$14)</f>
        <v>$</v>
      </c>
      <c r="F21" s="96">
        <v>20.77</v>
      </c>
      <c r="G21" s="48" t="str">
        <f>IF(OR(ISBLANK(H21),H21=""),"",Settings!$B$14)</f>
        <v>$</v>
      </c>
      <c r="H21" s="49">
        <f t="shared" si="1"/>
        <v>0.34616666666666668</v>
      </c>
      <c r="I21" s="27" t="str">
        <f>IF(ISBLANK(J21),"",Settings!$B$14)</f>
        <v>$</v>
      </c>
      <c r="J21" s="96">
        <v>2.06</v>
      </c>
      <c r="K21" s="48" t="str">
        <f>IF(OR(ISBLANK(L21),L21=""),"",Settings!$B$14)</f>
        <v>$</v>
      </c>
      <c r="L21" s="30">
        <f t="shared" si="0"/>
        <v>123.60000000000001</v>
      </c>
      <c r="M21" s="83"/>
      <c r="N21" s="83"/>
      <c r="O21" s="83"/>
    </row>
    <row r="22" spans="1:15" s="29" customFormat="1" ht="15" customHeight="1">
      <c r="A22" s="95" t="s">
        <v>13</v>
      </c>
      <c r="B22" s="95" t="s">
        <v>175</v>
      </c>
      <c r="C22" s="95" t="s">
        <v>5</v>
      </c>
      <c r="D22" s="47">
        <f>IF(ISBLANK(C22),"",INDEX(spirit_size,MATCH(C22,spirits,0),2)/Settings!$C$18)</f>
        <v>28</v>
      </c>
      <c r="E22" s="27" t="str">
        <f>IF(ISBLANK(F22),"",Settings!$B$14)</f>
        <v>$</v>
      </c>
      <c r="F22" s="96">
        <v>10.91</v>
      </c>
      <c r="G22" s="48" t="str">
        <f>IF(OR(ISBLANK(H22),H22=""),"",Settings!$B$14)</f>
        <v>$</v>
      </c>
      <c r="H22" s="49">
        <f t="shared" si="1"/>
        <v>0.38964285714285712</v>
      </c>
      <c r="I22" s="27" t="str">
        <f>IF(ISBLANK(J22),"",Settings!$B$14)</f>
        <v>$</v>
      </c>
      <c r="J22" s="96">
        <v>2.06</v>
      </c>
      <c r="K22" s="48" t="str">
        <f>IF(OR(ISBLANK(L22),L22=""),"",Settings!$B$14)</f>
        <v>$</v>
      </c>
      <c r="L22" s="30">
        <f t="shared" si="0"/>
        <v>57.68</v>
      </c>
      <c r="M22" s="83"/>
      <c r="N22" s="83"/>
      <c r="O22" s="83"/>
    </row>
    <row r="23" spans="1:15" s="29" customFormat="1" ht="15" customHeight="1">
      <c r="A23" s="95" t="s">
        <v>13</v>
      </c>
      <c r="B23" s="95" t="s">
        <v>175</v>
      </c>
      <c r="C23" s="95" t="s">
        <v>88</v>
      </c>
      <c r="D23" s="47">
        <f>IF(ISBLANK(C23),"",INDEX(spirit_size,MATCH(C23,spirits,0),2)/Settings!$C$18)</f>
        <v>60</v>
      </c>
      <c r="E23" s="27" t="str">
        <f>IF(ISBLANK(F23),"",Settings!$B$14)</f>
        <v>$</v>
      </c>
      <c r="F23" s="96">
        <v>22.57</v>
      </c>
      <c r="G23" s="48" t="str">
        <f>IF(OR(ISBLANK(H23),H23=""),"",Settings!$B$14)</f>
        <v>$</v>
      </c>
      <c r="H23" s="49">
        <f t="shared" si="1"/>
        <v>0.37616666666666665</v>
      </c>
      <c r="I23" s="27" t="str">
        <f>IF(ISBLANK(J23),"",Settings!$B$14)</f>
        <v>$</v>
      </c>
      <c r="J23" s="96">
        <v>2.06</v>
      </c>
      <c r="K23" s="48" t="str">
        <f>IF(OR(ISBLANK(L23),L23=""),"",Settings!$B$14)</f>
        <v>$</v>
      </c>
      <c r="L23" s="30">
        <f t="shared" si="0"/>
        <v>123.60000000000001</v>
      </c>
      <c r="M23" s="83"/>
      <c r="N23" s="83"/>
      <c r="O23" s="83"/>
    </row>
    <row r="24" spans="1:15" s="29" customFormat="1" ht="15" customHeight="1">
      <c r="A24" s="95" t="s">
        <v>14</v>
      </c>
      <c r="B24" s="95" t="s">
        <v>175</v>
      </c>
      <c r="C24" s="95" t="s">
        <v>5</v>
      </c>
      <c r="D24" s="47">
        <f>IF(ISBLANK(C24),"",INDEX(spirit_size,MATCH(C24,spirits,0),2)/Settings!$C$18)</f>
        <v>28</v>
      </c>
      <c r="E24" s="27" t="str">
        <f>IF(ISBLANK(F24),"",Settings!$B$14)</f>
        <v>$</v>
      </c>
      <c r="F24" s="96">
        <v>8.84</v>
      </c>
      <c r="G24" s="48" t="str">
        <f>IF(OR(ISBLANK(H24),H24=""),"",Settings!$B$14)</f>
        <v>$</v>
      </c>
      <c r="H24" s="49">
        <f t="shared" si="1"/>
        <v>0.31571428571428573</v>
      </c>
      <c r="I24" s="27" t="str">
        <f>IF(ISBLANK(J24),"",Settings!$B$14)</f>
        <v>$</v>
      </c>
      <c r="J24" s="96">
        <v>1.89</v>
      </c>
      <c r="K24" s="48" t="str">
        <f>IF(OR(ISBLANK(L24),L24=""),"",Settings!$B$14)</f>
        <v>$</v>
      </c>
      <c r="L24" s="30">
        <f t="shared" si="0"/>
        <v>52.919999999999995</v>
      </c>
      <c r="M24" s="83"/>
      <c r="N24" s="83"/>
      <c r="O24" s="83"/>
    </row>
    <row r="25" spans="1:15" s="29" customFormat="1" ht="15" customHeight="1">
      <c r="A25" s="95" t="s">
        <v>14</v>
      </c>
      <c r="B25" s="95" t="s">
        <v>175</v>
      </c>
      <c r="C25" s="95" t="s">
        <v>7</v>
      </c>
      <c r="D25" s="47">
        <f>IF(ISBLANK(C25),"",INDEX(spirit_size,MATCH(C25,spirits,0),2)/Settings!$C$18)</f>
        <v>60</v>
      </c>
      <c r="E25" s="27" t="str">
        <f>IF(ISBLANK(F25),"",Settings!$B$14)</f>
        <v>$</v>
      </c>
      <c r="F25" s="96">
        <v>18.23</v>
      </c>
      <c r="G25" s="48" t="str">
        <f>IF(OR(ISBLANK(H25),H25=""),"",Settings!$B$14)</f>
        <v>$</v>
      </c>
      <c r="H25" s="49">
        <f t="shared" si="1"/>
        <v>0.30383333333333334</v>
      </c>
      <c r="I25" s="27" t="str">
        <f>IF(ISBLANK(J25),"",Settings!$B$14)</f>
        <v>$</v>
      </c>
      <c r="J25" s="96">
        <v>1.89</v>
      </c>
      <c r="K25" s="48" t="str">
        <f>IF(OR(ISBLANK(L25),L25=""),"",Settings!$B$14)</f>
        <v>$</v>
      </c>
      <c r="L25" s="30">
        <f t="shared" si="0"/>
        <v>113.39999999999999</v>
      </c>
      <c r="M25" s="83"/>
      <c r="N25" s="83"/>
      <c r="O25" s="83"/>
    </row>
    <row r="26" spans="1:15" s="29" customFormat="1" ht="15" customHeight="1">
      <c r="A26" s="95" t="s">
        <v>15</v>
      </c>
      <c r="B26" s="95" t="s">
        <v>175</v>
      </c>
      <c r="C26" s="95" t="s">
        <v>5</v>
      </c>
      <c r="D26" s="47">
        <f>IF(ISBLANK(C26),"",INDEX(spirit_size,MATCH(C26,spirits,0),2)/Settings!$C$18)</f>
        <v>28</v>
      </c>
      <c r="E26" s="27" t="str">
        <f>IF(ISBLANK(F26),"",Settings!$B$14)</f>
        <v>$</v>
      </c>
      <c r="F26" s="96">
        <v>10.17</v>
      </c>
      <c r="G26" s="48" t="str">
        <f>IF(OR(ISBLANK(H26),H26=""),"",Settings!$B$14)</f>
        <v>$</v>
      </c>
      <c r="H26" s="49">
        <f t="shared" si="1"/>
        <v>0.36321428571428571</v>
      </c>
      <c r="I26" s="27" t="str">
        <f>IF(ISBLANK(J26),"",Settings!$B$14)</f>
        <v>$</v>
      </c>
      <c r="J26" s="96">
        <v>2.4500000000000002</v>
      </c>
      <c r="K26" s="48" t="str">
        <f>IF(OR(ISBLANK(L26),L26=""),"",Settings!$B$14)</f>
        <v>$</v>
      </c>
      <c r="L26" s="30">
        <f t="shared" si="0"/>
        <v>68.600000000000009</v>
      </c>
      <c r="M26" s="83"/>
      <c r="N26" s="83"/>
      <c r="O26" s="83"/>
    </row>
    <row r="27" spans="1:15" s="29" customFormat="1" ht="15" customHeight="1">
      <c r="A27" s="95" t="s">
        <v>16</v>
      </c>
      <c r="B27" s="95" t="s">
        <v>175</v>
      </c>
      <c r="C27" s="95" t="s">
        <v>5</v>
      </c>
      <c r="D27" s="47">
        <f>IF(ISBLANK(C27),"",INDEX(spirit_size,MATCH(C27,spirits,0),2)/Settings!$C$18)</f>
        <v>28</v>
      </c>
      <c r="E27" s="27" t="str">
        <f>IF(ISBLANK(F27),"",Settings!$B$14)</f>
        <v>$</v>
      </c>
      <c r="F27" s="96">
        <v>8.9600000000000009</v>
      </c>
      <c r="G27" s="48" t="str">
        <f>IF(OR(ISBLANK(H27),H27=""),"",Settings!$B$14)</f>
        <v>$</v>
      </c>
      <c r="H27" s="49">
        <f t="shared" si="1"/>
        <v>0.32</v>
      </c>
      <c r="I27" s="27" t="str">
        <f>IF(ISBLANK(J27),"",Settings!$B$14)</f>
        <v>$</v>
      </c>
      <c r="J27" s="96">
        <v>1.89</v>
      </c>
      <c r="K27" s="48" t="str">
        <f>IF(OR(ISBLANK(L27),L27=""),"",Settings!$B$14)</f>
        <v>$</v>
      </c>
      <c r="L27" s="30">
        <f t="shared" si="0"/>
        <v>52.919999999999995</v>
      </c>
      <c r="M27" s="83"/>
      <c r="N27" s="83"/>
      <c r="O27" s="83"/>
    </row>
    <row r="28" spans="1:15" s="29" customFormat="1" ht="15" customHeight="1">
      <c r="A28" s="95" t="s">
        <v>16</v>
      </c>
      <c r="B28" s="95" t="s">
        <v>175</v>
      </c>
      <c r="C28" s="95" t="s">
        <v>7</v>
      </c>
      <c r="D28" s="47">
        <f>IF(ISBLANK(C28),"",INDEX(spirit_size,MATCH(C28,spirits,0),2)/Settings!$C$18)</f>
        <v>60</v>
      </c>
      <c r="E28" s="27" t="str">
        <f>IF(ISBLANK(F28),"",Settings!$B$14)</f>
        <v>$</v>
      </c>
      <c r="F28" s="96">
        <v>18.46</v>
      </c>
      <c r="G28" s="48" t="str">
        <f>IF(OR(ISBLANK(H28),H28=""),"",Settings!$B$14)</f>
        <v>$</v>
      </c>
      <c r="H28" s="49">
        <f t="shared" si="1"/>
        <v>0.3076666666666667</v>
      </c>
      <c r="I28" s="27" t="str">
        <f>IF(ISBLANK(J28),"",Settings!$B$14)</f>
        <v>$</v>
      </c>
      <c r="J28" s="96">
        <v>1.89</v>
      </c>
      <c r="K28" s="48" t="str">
        <f>IF(OR(ISBLANK(L28),L28=""),"",Settings!$B$14)</f>
        <v>$</v>
      </c>
      <c r="L28" s="30">
        <f t="shared" si="0"/>
        <v>113.39999999999999</v>
      </c>
      <c r="M28" s="83"/>
      <c r="N28" s="83"/>
      <c r="O28" s="83"/>
    </row>
    <row r="29" spans="1:15" s="29" customFormat="1" ht="15" customHeight="1">
      <c r="A29" s="95" t="s">
        <v>17</v>
      </c>
      <c r="B29" s="95" t="s">
        <v>175</v>
      </c>
      <c r="C29" s="95" t="s">
        <v>5</v>
      </c>
      <c r="D29" s="47">
        <f>IF(ISBLANK(C29),"",INDEX(spirit_size,MATCH(C29,spirits,0),2)/Settings!$C$18)</f>
        <v>28</v>
      </c>
      <c r="E29" s="27" t="str">
        <f>IF(ISBLANK(F29),"",Settings!$B$14)</f>
        <v>$</v>
      </c>
      <c r="F29" s="96">
        <v>9.4600000000000009</v>
      </c>
      <c r="G29" s="48" t="str">
        <f>IF(OR(ISBLANK(H29),H29=""),"",Settings!$B$14)</f>
        <v>$</v>
      </c>
      <c r="H29" s="49">
        <f t="shared" si="1"/>
        <v>0.33785714285714291</v>
      </c>
      <c r="I29" s="27" t="str">
        <f>IF(ISBLANK(J29),"",Settings!$B$14)</f>
        <v>$</v>
      </c>
      <c r="J29" s="96">
        <v>2.4500000000000002</v>
      </c>
      <c r="K29" s="48" t="str">
        <f>IF(OR(ISBLANK(L29),L29=""),"",Settings!$B$14)</f>
        <v>$</v>
      </c>
      <c r="L29" s="30">
        <f t="shared" si="0"/>
        <v>68.600000000000009</v>
      </c>
      <c r="M29" s="83"/>
      <c r="N29" s="83"/>
      <c r="O29" s="83"/>
    </row>
    <row r="30" spans="1:15" s="29" customFormat="1" ht="15" customHeight="1">
      <c r="A30" s="95" t="s">
        <v>18</v>
      </c>
      <c r="B30" s="95" t="s">
        <v>175</v>
      </c>
      <c r="C30" s="95" t="s">
        <v>5</v>
      </c>
      <c r="D30" s="47">
        <f>IF(ISBLANK(C30),"",INDEX(spirit_size,MATCH(C30,spirits,0),2)/Settings!$C$18)</f>
        <v>28</v>
      </c>
      <c r="E30" s="27" t="str">
        <f>IF(ISBLANK(F30),"",Settings!$B$14)</f>
        <v>$</v>
      </c>
      <c r="F30" s="96">
        <v>8.51</v>
      </c>
      <c r="G30" s="48" t="str">
        <f>IF(OR(ISBLANK(H30),H30=""),"",Settings!$B$14)</f>
        <v>$</v>
      </c>
      <c r="H30" s="49">
        <f t="shared" si="1"/>
        <v>0.30392857142857144</v>
      </c>
      <c r="I30" s="27" t="str">
        <f>IF(ISBLANK(J30),"",Settings!$B$14)</f>
        <v>$</v>
      </c>
      <c r="J30" s="96">
        <v>1.89</v>
      </c>
      <c r="K30" s="48" t="str">
        <f>IF(OR(ISBLANK(L30),L30=""),"",Settings!$B$14)</f>
        <v>$</v>
      </c>
      <c r="L30" s="30">
        <f t="shared" si="0"/>
        <v>52.919999999999995</v>
      </c>
      <c r="M30" s="83"/>
      <c r="N30" s="83"/>
      <c r="O30" s="83"/>
    </row>
    <row r="31" spans="1:15" s="29" customFormat="1" ht="15" customHeight="1">
      <c r="A31" s="95" t="s">
        <v>19</v>
      </c>
      <c r="B31" s="95" t="s">
        <v>175</v>
      </c>
      <c r="C31" s="95" t="s">
        <v>5</v>
      </c>
      <c r="D31" s="47">
        <f>IF(ISBLANK(C31),"",INDEX(spirit_size,MATCH(C31,spirits,0),2)/Settings!$C$18)</f>
        <v>28</v>
      </c>
      <c r="E31" s="27" t="str">
        <f>IF(ISBLANK(F31),"",Settings!$B$14)</f>
        <v>$</v>
      </c>
      <c r="F31" s="96">
        <v>9.42</v>
      </c>
      <c r="G31" s="48" t="str">
        <f>IF(OR(ISBLANK(H31),H31=""),"",Settings!$B$14)</f>
        <v>$</v>
      </c>
      <c r="H31" s="49">
        <f t="shared" si="1"/>
        <v>0.33642857142857141</v>
      </c>
      <c r="I31" s="27" t="str">
        <f>IF(ISBLANK(J31),"",Settings!$B$14)</f>
        <v>$</v>
      </c>
      <c r="J31" s="96">
        <v>1.89</v>
      </c>
      <c r="K31" s="48" t="str">
        <f>IF(OR(ISBLANK(L31),L31=""),"",Settings!$B$14)</f>
        <v>$</v>
      </c>
      <c r="L31" s="30">
        <f t="shared" si="0"/>
        <v>52.919999999999995</v>
      </c>
      <c r="M31" s="83"/>
      <c r="N31" s="83"/>
      <c r="O31" s="83"/>
    </row>
    <row r="32" spans="1:15" s="29" customFormat="1" ht="15" customHeight="1">
      <c r="A32" s="95" t="s">
        <v>19</v>
      </c>
      <c r="B32" s="95" t="s">
        <v>175</v>
      </c>
      <c r="C32" s="95" t="s">
        <v>7</v>
      </c>
      <c r="D32" s="47">
        <f>IF(ISBLANK(C32),"",INDEX(spirit_size,MATCH(C32,spirits,0),2)/Settings!$C$18)</f>
        <v>60</v>
      </c>
      <c r="E32" s="27" t="str">
        <f>IF(ISBLANK(F32),"",Settings!$B$14)</f>
        <v>$</v>
      </c>
      <c r="F32" s="96">
        <v>20.58</v>
      </c>
      <c r="G32" s="48" t="str">
        <f>IF(OR(ISBLANK(H32),H32=""),"",Settings!$B$14)</f>
        <v>$</v>
      </c>
      <c r="H32" s="49">
        <f t="shared" si="1"/>
        <v>0.34299999999999997</v>
      </c>
      <c r="I32" s="27" t="str">
        <f>IF(ISBLANK(J32),"",Settings!$B$14)</f>
        <v>$</v>
      </c>
      <c r="J32" s="96">
        <v>1.89</v>
      </c>
      <c r="K32" s="48" t="str">
        <f>IF(OR(ISBLANK(L32),L32=""),"",Settings!$B$14)</f>
        <v>$</v>
      </c>
      <c r="L32" s="30">
        <f t="shared" si="0"/>
        <v>113.39999999999999</v>
      </c>
      <c r="M32" s="83"/>
      <c r="N32" s="83"/>
      <c r="O32" s="83"/>
    </row>
    <row r="33" spans="1:15" s="29" customFormat="1" ht="15" customHeight="1">
      <c r="A33" s="95" t="s">
        <v>20</v>
      </c>
      <c r="B33" s="95" t="s">
        <v>175</v>
      </c>
      <c r="C33" s="95" t="s">
        <v>5</v>
      </c>
      <c r="D33" s="47">
        <f>IF(ISBLANK(C33),"",INDEX(spirit_size,MATCH(C33,spirits,0),2)/Settings!$C$18)</f>
        <v>28</v>
      </c>
      <c r="E33" s="27" t="str">
        <f>IF(ISBLANK(F33),"",Settings!$B$14)</f>
        <v>$</v>
      </c>
      <c r="F33" s="96">
        <v>11.58</v>
      </c>
      <c r="G33" s="48" t="str">
        <f>IF(OR(ISBLANK(H33),H33=""),"",Settings!$B$14)</f>
        <v>$</v>
      </c>
      <c r="H33" s="49">
        <f t="shared" si="1"/>
        <v>0.41357142857142859</v>
      </c>
      <c r="I33" s="27" t="str">
        <f>IF(ISBLANK(J33),"",Settings!$B$14)</f>
        <v>$</v>
      </c>
      <c r="J33" s="96">
        <v>2.56</v>
      </c>
      <c r="K33" s="48" t="str">
        <f>IF(OR(ISBLANK(L33),L33=""),"",Settings!$B$14)</f>
        <v>$</v>
      </c>
      <c r="L33" s="30">
        <f t="shared" si="0"/>
        <v>71.680000000000007</v>
      </c>
      <c r="M33" s="83"/>
      <c r="N33" s="83"/>
      <c r="O33" s="83"/>
    </row>
    <row r="34" spans="1:15" s="29" customFormat="1" ht="15" customHeight="1">
      <c r="A34" s="95" t="s">
        <v>20</v>
      </c>
      <c r="B34" s="95" t="s">
        <v>175</v>
      </c>
      <c r="C34" s="95" t="s">
        <v>7</v>
      </c>
      <c r="D34" s="47">
        <f>IF(ISBLANK(C34),"",INDEX(spirit_size,MATCH(C34,spirits,0),2)/Settings!$C$18)</f>
        <v>60</v>
      </c>
      <c r="E34" s="27" t="str">
        <f>IF(ISBLANK(F34),"",Settings!$B$14)</f>
        <v>$</v>
      </c>
      <c r="F34" s="96">
        <v>24.71</v>
      </c>
      <c r="G34" s="48" t="str">
        <f>IF(OR(ISBLANK(H34),H34=""),"",Settings!$B$14)</f>
        <v>$</v>
      </c>
      <c r="H34" s="49">
        <f t="shared" si="1"/>
        <v>0.41183333333333333</v>
      </c>
      <c r="I34" s="27" t="str">
        <f>IF(ISBLANK(J34),"",Settings!$B$14)</f>
        <v>$</v>
      </c>
      <c r="J34" s="96">
        <v>2.56</v>
      </c>
      <c r="K34" s="48" t="str">
        <f>IF(OR(ISBLANK(L34),L34=""),"",Settings!$B$14)</f>
        <v>$</v>
      </c>
      <c r="L34" s="30">
        <f t="shared" si="0"/>
        <v>153.6</v>
      </c>
      <c r="M34" s="83"/>
      <c r="N34" s="83"/>
      <c r="O34" s="83"/>
    </row>
    <row r="35" spans="1:15" s="29" customFormat="1" ht="15" customHeight="1">
      <c r="A35" s="95" t="s">
        <v>21</v>
      </c>
      <c r="B35" s="95" t="s">
        <v>175</v>
      </c>
      <c r="C35" s="95" t="s">
        <v>5</v>
      </c>
      <c r="D35" s="47">
        <f>IF(ISBLANK(C35),"",INDEX(spirit_size,MATCH(C35,spirits,0),2)/Settings!$C$18)</f>
        <v>28</v>
      </c>
      <c r="E35" s="27" t="str">
        <f>IF(ISBLANK(F35),"",Settings!$B$14)</f>
        <v>$</v>
      </c>
      <c r="F35" s="96">
        <v>18.36</v>
      </c>
      <c r="G35" s="48" t="str">
        <f>IF(OR(ISBLANK(H35),H35=""),"",Settings!$B$14)</f>
        <v>$</v>
      </c>
      <c r="H35" s="49">
        <f t="shared" si="1"/>
        <v>0.65571428571428569</v>
      </c>
      <c r="I35" s="27" t="str">
        <f>IF(ISBLANK(J35),"",Settings!$B$14)</f>
        <v>$</v>
      </c>
      <c r="J35" s="96">
        <v>3.12</v>
      </c>
      <c r="K35" s="48" t="str">
        <f>IF(OR(ISBLANK(L35),L35=""),"",Settings!$B$14)</f>
        <v>$</v>
      </c>
      <c r="L35" s="30">
        <f t="shared" si="0"/>
        <v>87.36</v>
      </c>
      <c r="M35" s="83"/>
      <c r="N35" s="83"/>
      <c r="O35" s="83"/>
    </row>
    <row r="36" spans="1:15" s="29" customFormat="1" ht="15" customHeight="1">
      <c r="A36" s="95" t="s">
        <v>22</v>
      </c>
      <c r="B36" s="95" t="s">
        <v>175</v>
      </c>
      <c r="C36" s="95" t="s">
        <v>5</v>
      </c>
      <c r="D36" s="47">
        <f>IF(ISBLANK(C36),"",INDEX(spirit_size,MATCH(C36,spirits,0),2)/Settings!$C$18)</f>
        <v>28</v>
      </c>
      <c r="E36" s="27" t="str">
        <f>IF(ISBLANK(F36),"",Settings!$B$14)</f>
        <v>$</v>
      </c>
      <c r="F36" s="96">
        <v>8.6999999999999993</v>
      </c>
      <c r="G36" s="48" t="str">
        <f>IF(OR(ISBLANK(H36),H36=""),"",Settings!$B$14)</f>
        <v>$</v>
      </c>
      <c r="H36" s="49">
        <f t="shared" si="1"/>
        <v>0.31071428571428567</v>
      </c>
      <c r="I36" s="27" t="str">
        <f>IF(ISBLANK(J36),"",Settings!$B$14)</f>
        <v>$</v>
      </c>
      <c r="J36" s="96">
        <v>2.06</v>
      </c>
      <c r="K36" s="48" t="str">
        <f>IF(OR(ISBLANK(L36),L36=""),"",Settings!$B$14)</f>
        <v>$</v>
      </c>
      <c r="L36" s="30">
        <f t="shared" si="0"/>
        <v>57.68</v>
      </c>
      <c r="M36" s="83"/>
      <c r="N36" s="83"/>
      <c r="O36" s="83"/>
    </row>
    <row r="37" spans="1:15" s="29" customFormat="1" ht="15" customHeight="1">
      <c r="A37" s="95" t="s">
        <v>22</v>
      </c>
      <c r="B37" s="95" t="s">
        <v>175</v>
      </c>
      <c r="C37" s="95" t="s">
        <v>7</v>
      </c>
      <c r="D37" s="47">
        <f>IF(ISBLANK(C37),"",INDEX(spirit_size,MATCH(C37,spirits,0),2)/Settings!$C$18)</f>
        <v>60</v>
      </c>
      <c r="E37" s="27" t="str">
        <f>IF(ISBLANK(F37),"",Settings!$B$14)</f>
        <v>$</v>
      </c>
      <c r="F37" s="96">
        <v>17.84</v>
      </c>
      <c r="G37" s="48" t="str">
        <f>IF(OR(ISBLANK(H37),H37=""),"",Settings!$B$14)</f>
        <v>$</v>
      </c>
      <c r="H37" s="49">
        <f t="shared" si="1"/>
        <v>0.29733333333333334</v>
      </c>
      <c r="I37" s="27" t="str">
        <f>IF(ISBLANK(J37),"",Settings!$B$14)</f>
        <v>$</v>
      </c>
      <c r="J37" s="96">
        <v>2.06</v>
      </c>
      <c r="K37" s="48" t="str">
        <f>IF(OR(ISBLANK(L37),L37=""),"",Settings!$B$14)</f>
        <v>$</v>
      </c>
      <c r="L37" s="30">
        <f t="shared" si="0"/>
        <v>123.60000000000001</v>
      </c>
      <c r="M37" s="83"/>
      <c r="N37" s="83"/>
      <c r="O37" s="83"/>
    </row>
    <row r="38" spans="1:15" s="29" customFormat="1" ht="15" customHeight="1">
      <c r="A38" s="95" t="s">
        <v>23</v>
      </c>
      <c r="B38" s="95" t="s">
        <v>175</v>
      </c>
      <c r="C38" s="95" t="s">
        <v>5</v>
      </c>
      <c r="D38" s="47">
        <f>IF(ISBLANK(C38),"",INDEX(spirit_size,MATCH(C38,spirits,0),2)/Settings!$C$18)</f>
        <v>28</v>
      </c>
      <c r="E38" s="27" t="str">
        <f>IF(ISBLANK(F38),"",Settings!$B$14)</f>
        <v>$</v>
      </c>
      <c r="F38" s="96">
        <v>11.51</v>
      </c>
      <c r="G38" s="48" t="str">
        <f>IF(OR(ISBLANK(H38),H38=""),"",Settings!$B$14)</f>
        <v>$</v>
      </c>
      <c r="H38" s="49">
        <f t="shared" si="1"/>
        <v>0.41107142857142859</v>
      </c>
      <c r="I38" s="27" t="str">
        <f>IF(ISBLANK(J38),"",Settings!$B$14)</f>
        <v>$</v>
      </c>
      <c r="J38" s="96">
        <v>2.06</v>
      </c>
      <c r="K38" s="48" t="str">
        <f>IF(OR(ISBLANK(L38),L38=""),"",Settings!$B$14)</f>
        <v>$</v>
      </c>
      <c r="L38" s="30">
        <f t="shared" si="0"/>
        <v>57.68</v>
      </c>
      <c r="M38" s="83"/>
      <c r="N38" s="83"/>
      <c r="O38" s="83"/>
    </row>
    <row r="39" spans="1:15" s="29" customFormat="1" ht="15" customHeight="1">
      <c r="A39" s="95" t="s">
        <v>24</v>
      </c>
      <c r="B39" s="95" t="s">
        <v>175</v>
      </c>
      <c r="C39" s="95" t="s">
        <v>5</v>
      </c>
      <c r="D39" s="47">
        <f>IF(ISBLANK(C39),"",INDEX(spirit_size,MATCH(C39,spirits,0),2)/Settings!$C$18)</f>
        <v>28</v>
      </c>
      <c r="E39" s="27" t="str">
        <f>IF(ISBLANK(F39),"",Settings!$B$14)</f>
        <v>$</v>
      </c>
      <c r="F39" s="96">
        <v>12.92</v>
      </c>
      <c r="G39" s="48" t="str">
        <f>IF(OR(ISBLANK(H39),H39=""),"",Settings!$B$14)</f>
        <v>$</v>
      </c>
      <c r="H39" s="49">
        <f t="shared" si="1"/>
        <v>0.46142857142857141</v>
      </c>
      <c r="I39" s="27" t="str">
        <f>IF(ISBLANK(J39),"",Settings!$B$14)</f>
        <v>$</v>
      </c>
      <c r="J39" s="96">
        <v>2.06</v>
      </c>
      <c r="K39" s="48" t="str">
        <f>IF(OR(ISBLANK(L39),L39=""),"",Settings!$B$14)</f>
        <v>$</v>
      </c>
      <c r="L39" s="30">
        <f t="shared" si="0"/>
        <v>57.68</v>
      </c>
      <c r="M39" s="83"/>
      <c r="N39" s="83"/>
      <c r="O39" s="83"/>
    </row>
    <row r="40" spans="1:15" s="29" customFormat="1" ht="15" customHeight="1">
      <c r="A40" s="95" t="s">
        <v>25</v>
      </c>
      <c r="B40" s="95" t="s">
        <v>175</v>
      </c>
      <c r="C40" s="95" t="s">
        <v>5</v>
      </c>
      <c r="D40" s="47">
        <f>IF(ISBLANK(C40),"",INDEX(spirit_size,MATCH(C40,spirits,0),2)/Settings!$C$18)</f>
        <v>28</v>
      </c>
      <c r="E40" s="27" t="str">
        <f>IF(ISBLANK(F40),"",Settings!$B$14)</f>
        <v>$</v>
      </c>
      <c r="F40" s="96">
        <v>7.82</v>
      </c>
      <c r="G40" s="48" t="str">
        <f>IF(OR(ISBLANK(H40),H40=""),"",Settings!$B$14)</f>
        <v>$</v>
      </c>
      <c r="H40" s="49">
        <f t="shared" si="1"/>
        <v>0.2792857142857143</v>
      </c>
      <c r="I40" s="27" t="str">
        <f>IF(ISBLANK(J40),"",Settings!$B$14)</f>
        <v>$</v>
      </c>
      <c r="J40" s="96">
        <v>1.89</v>
      </c>
      <c r="K40" s="48" t="str">
        <f>IF(OR(ISBLANK(L40),L40=""),"",Settings!$B$14)</f>
        <v>$</v>
      </c>
      <c r="L40" s="30">
        <f t="shared" si="0"/>
        <v>52.919999999999995</v>
      </c>
      <c r="M40" s="83"/>
      <c r="N40" s="83"/>
      <c r="O40" s="83"/>
    </row>
    <row r="41" spans="1:15" s="29" customFormat="1" ht="15" customHeight="1">
      <c r="A41" s="95" t="s">
        <v>25</v>
      </c>
      <c r="B41" s="95" t="s">
        <v>175</v>
      </c>
      <c r="C41" s="95" t="s">
        <v>7</v>
      </c>
      <c r="D41" s="47">
        <f>IF(ISBLANK(C41),"",INDEX(spirit_size,MATCH(C41,spirits,0),2)/Settings!$C$18)</f>
        <v>60</v>
      </c>
      <c r="E41" s="27" t="str">
        <f>IF(ISBLANK(F41),"",Settings!$B$14)</f>
        <v>$</v>
      </c>
      <c r="F41" s="96">
        <v>16.23</v>
      </c>
      <c r="G41" s="48" t="str">
        <f>IF(OR(ISBLANK(H41),H41=""),"",Settings!$B$14)</f>
        <v>$</v>
      </c>
      <c r="H41" s="49">
        <f t="shared" si="1"/>
        <v>0.27050000000000002</v>
      </c>
      <c r="I41" s="27" t="str">
        <f>IF(ISBLANK(J41),"",Settings!$B$14)</f>
        <v>$</v>
      </c>
      <c r="J41" s="96">
        <v>1.89</v>
      </c>
      <c r="K41" s="48" t="str">
        <f>IF(OR(ISBLANK(L41),L41=""),"",Settings!$B$14)</f>
        <v>$</v>
      </c>
      <c r="L41" s="30">
        <f t="shared" si="0"/>
        <v>113.39999999999999</v>
      </c>
      <c r="M41" s="83"/>
      <c r="N41" s="83"/>
      <c r="O41" s="83"/>
    </row>
    <row r="42" spans="1:15" s="29" customFormat="1" ht="15" customHeight="1">
      <c r="A42" s="95" t="s">
        <v>26</v>
      </c>
      <c r="B42" s="95" t="s">
        <v>175</v>
      </c>
      <c r="C42" s="95" t="s">
        <v>5</v>
      </c>
      <c r="D42" s="47">
        <f>IF(ISBLANK(C42),"",INDEX(spirit_size,MATCH(C42,spirits,0),2)/Settings!$C$18)</f>
        <v>28</v>
      </c>
      <c r="E42" s="27" t="str">
        <f>IF(ISBLANK(F42),"",Settings!$B$14)</f>
        <v>$</v>
      </c>
      <c r="F42" s="96">
        <v>7.6</v>
      </c>
      <c r="G42" s="48" t="str">
        <f>IF(OR(ISBLANK(H42),H42=""),"",Settings!$B$14)</f>
        <v>$</v>
      </c>
      <c r="H42" s="49">
        <f t="shared" si="1"/>
        <v>0.27142857142857141</v>
      </c>
      <c r="I42" s="27" t="str">
        <f>IF(ISBLANK(J42),"",Settings!$B$14)</f>
        <v>$</v>
      </c>
      <c r="J42" s="96">
        <v>1.89</v>
      </c>
      <c r="K42" s="48" t="str">
        <f>IF(OR(ISBLANK(L42),L42=""),"",Settings!$B$14)</f>
        <v>$</v>
      </c>
      <c r="L42" s="30">
        <f t="shared" si="0"/>
        <v>52.919999999999995</v>
      </c>
      <c r="M42" s="83"/>
      <c r="N42" s="83"/>
      <c r="O42" s="83"/>
    </row>
    <row r="43" spans="1:15" s="29" customFormat="1" ht="15" customHeight="1">
      <c r="A43" s="95" t="s">
        <v>26</v>
      </c>
      <c r="B43" s="95" t="s">
        <v>175</v>
      </c>
      <c r="C43" s="95" t="s">
        <v>5</v>
      </c>
      <c r="D43" s="47">
        <f>IF(ISBLANK(C43),"",INDEX(spirit_size,MATCH(C43,spirits,0),2)/Settings!$C$18)</f>
        <v>28</v>
      </c>
      <c r="E43" s="27" t="str">
        <f>IF(ISBLANK(F43),"",Settings!$B$14)</f>
        <v>$</v>
      </c>
      <c r="F43" s="96">
        <v>15.01</v>
      </c>
      <c r="G43" s="48" t="str">
        <f>IF(OR(ISBLANK(H43),H43=""),"",Settings!$B$14)</f>
        <v>$</v>
      </c>
      <c r="H43" s="49">
        <f t="shared" si="1"/>
        <v>0.53607142857142853</v>
      </c>
      <c r="I43" s="27" t="str">
        <f>IF(ISBLANK(J43),"",Settings!$B$14)</f>
        <v>$</v>
      </c>
      <c r="J43" s="96">
        <v>1.89</v>
      </c>
      <c r="K43" s="48" t="str">
        <f>IF(OR(ISBLANK(L43),L43=""),"",Settings!$B$14)</f>
        <v>$</v>
      </c>
      <c r="L43" s="30">
        <f t="shared" si="0"/>
        <v>52.919999999999995</v>
      </c>
      <c r="M43" s="83"/>
      <c r="N43" s="83"/>
      <c r="O43" s="83"/>
    </row>
    <row r="44" spans="1:15" s="29" customFormat="1" ht="15" customHeight="1">
      <c r="A44" s="95" t="s">
        <v>27</v>
      </c>
      <c r="B44" s="95" t="s">
        <v>175</v>
      </c>
      <c r="C44" s="95" t="s">
        <v>5</v>
      </c>
      <c r="D44" s="47">
        <f>IF(ISBLANK(C44),"",INDEX(spirit_size,MATCH(C44,spirits,0),2)/Settings!$C$18)</f>
        <v>28</v>
      </c>
      <c r="E44" s="27" t="str">
        <f>IF(ISBLANK(F44),"",Settings!$B$14)</f>
        <v>$</v>
      </c>
      <c r="F44" s="96">
        <v>10.27</v>
      </c>
      <c r="G44" s="48" t="str">
        <f>IF(OR(ISBLANK(H44),H44=""),"",Settings!$B$14)</f>
        <v>$</v>
      </c>
      <c r="H44" s="49">
        <f t="shared" si="1"/>
        <v>0.36678571428571427</v>
      </c>
      <c r="I44" s="27" t="str">
        <f>IF(ISBLANK(J44),"",Settings!$B$14)</f>
        <v>$</v>
      </c>
      <c r="J44" s="96">
        <v>2.06</v>
      </c>
      <c r="K44" s="48" t="str">
        <f>IF(OR(ISBLANK(L44),L44=""),"",Settings!$B$14)</f>
        <v>$</v>
      </c>
      <c r="L44" s="30">
        <f t="shared" si="0"/>
        <v>57.68</v>
      </c>
      <c r="M44" s="83"/>
      <c r="N44" s="83"/>
      <c r="O44" s="83"/>
    </row>
    <row r="45" spans="1:15" s="29" customFormat="1" ht="15" customHeight="1">
      <c r="A45" s="95" t="s">
        <v>28</v>
      </c>
      <c r="B45" s="95" t="s">
        <v>175</v>
      </c>
      <c r="C45" s="95" t="s">
        <v>5</v>
      </c>
      <c r="D45" s="47">
        <f>IF(ISBLANK(C45),"",INDEX(spirit_size,MATCH(C45,spirits,0),2)/Settings!$C$18)</f>
        <v>28</v>
      </c>
      <c r="E45" s="27" t="str">
        <f>IF(ISBLANK(F45),"",Settings!$B$14)</f>
        <v>$</v>
      </c>
      <c r="F45" s="96">
        <v>8.9716000000000005</v>
      </c>
      <c r="G45" s="48" t="str">
        <f>IF(OR(ISBLANK(H45),H45=""),"",Settings!$B$14)</f>
        <v>$</v>
      </c>
      <c r="H45" s="49">
        <f t="shared" si="1"/>
        <v>0.32041428571428571</v>
      </c>
      <c r="I45" s="27" t="str">
        <f>IF(ISBLANK(J45),"",Settings!$B$14)</f>
        <v>$</v>
      </c>
      <c r="J45" s="96">
        <v>2.06</v>
      </c>
      <c r="K45" s="48" t="str">
        <f>IF(OR(ISBLANK(L45),L45=""),"",Settings!$B$14)</f>
        <v>$</v>
      </c>
      <c r="L45" s="30">
        <f t="shared" si="0"/>
        <v>57.68</v>
      </c>
      <c r="M45" s="83"/>
      <c r="N45" s="83"/>
      <c r="O45" s="83"/>
    </row>
    <row r="46" spans="1:15" s="29" customFormat="1" ht="15" customHeight="1">
      <c r="A46" s="95" t="s">
        <v>29</v>
      </c>
      <c r="B46" s="95" t="s">
        <v>175</v>
      </c>
      <c r="C46" s="95" t="s">
        <v>5</v>
      </c>
      <c r="D46" s="47">
        <f>IF(ISBLANK(C46),"",INDEX(spirit_size,MATCH(C46,spirits,0),2)/Settings!$C$18)</f>
        <v>28</v>
      </c>
      <c r="E46" s="27" t="str">
        <f>IF(ISBLANK(F46),"",Settings!$B$14)</f>
        <v>$</v>
      </c>
      <c r="F46" s="96">
        <v>9.83</v>
      </c>
      <c r="G46" s="48" t="str">
        <f>IF(OR(ISBLANK(H46),H46=""),"",Settings!$B$14)</f>
        <v>$</v>
      </c>
      <c r="H46" s="49">
        <f t="shared" si="1"/>
        <v>0.35107142857142859</v>
      </c>
      <c r="I46" s="27" t="str">
        <f>IF(ISBLANK(J46),"",Settings!$B$14)</f>
        <v>$</v>
      </c>
      <c r="J46" s="96">
        <v>2.06</v>
      </c>
      <c r="K46" s="48" t="str">
        <f>IF(OR(ISBLANK(L46),L46=""),"",Settings!$B$14)</f>
        <v>$</v>
      </c>
      <c r="L46" s="30">
        <f t="shared" si="0"/>
        <v>57.68</v>
      </c>
      <c r="M46" s="83"/>
      <c r="N46" s="83"/>
      <c r="O46" s="83"/>
    </row>
    <row r="47" spans="1:15" s="29" customFormat="1" ht="15" customHeight="1">
      <c r="A47" s="95" t="s">
        <v>29</v>
      </c>
      <c r="B47" s="95" t="s">
        <v>175</v>
      </c>
      <c r="C47" s="95" t="s">
        <v>88</v>
      </c>
      <c r="D47" s="47">
        <f>IF(ISBLANK(C47),"",INDEX(spirit_size,MATCH(C47,spirits,0),2)/Settings!$C$18)</f>
        <v>60</v>
      </c>
      <c r="E47" s="27" t="str">
        <f>IF(ISBLANK(F47),"",Settings!$B$14)</f>
        <v>$</v>
      </c>
      <c r="F47" s="96">
        <v>20.71</v>
      </c>
      <c r="G47" s="48" t="str">
        <f>IF(OR(ISBLANK(H47),H47=""),"",Settings!$B$14)</f>
        <v>$</v>
      </c>
      <c r="H47" s="49">
        <f t="shared" si="1"/>
        <v>0.34516666666666668</v>
      </c>
      <c r="I47" s="27" t="str">
        <f>IF(ISBLANK(J47),"",Settings!$B$14)</f>
        <v>$</v>
      </c>
      <c r="J47" s="96">
        <v>2.06</v>
      </c>
      <c r="K47" s="48" t="str">
        <f>IF(OR(ISBLANK(L47),L47=""),"",Settings!$B$14)</f>
        <v>$</v>
      </c>
      <c r="L47" s="30">
        <f t="shared" si="0"/>
        <v>123.60000000000001</v>
      </c>
      <c r="M47" s="83"/>
      <c r="N47" s="83"/>
      <c r="O47" s="83"/>
    </row>
    <row r="48" spans="1:15" s="29" customFormat="1" ht="15" customHeight="1">
      <c r="A48" s="95"/>
      <c r="B48" s="95"/>
      <c r="C48" s="95"/>
      <c r="D48" s="47" t="str">
        <f>IF(ISBLANK(C48),"",INDEX(spirit_size,MATCH(C48,spirits,0),2)/Settings!$C$18)</f>
        <v/>
      </c>
      <c r="E48" s="27" t="str">
        <f>IF(ISBLANK(F48),"",Settings!$B$14)</f>
        <v/>
      </c>
      <c r="F48" s="96"/>
      <c r="G48" s="48" t="str">
        <f>IF(OR(ISBLANK(H48),H48=""),"",Settings!$B$14)</f>
        <v/>
      </c>
      <c r="H48" s="49" t="str">
        <f t="shared" si="1"/>
        <v/>
      </c>
      <c r="I48" s="27" t="str">
        <f>IF(ISBLANK(J48),"",Settings!$B$14)</f>
        <v/>
      </c>
      <c r="J48" s="96"/>
      <c r="K48" s="48" t="str">
        <f>IF(OR(ISBLANK(L48),L48=""),"",Settings!$B$14)</f>
        <v/>
      </c>
      <c r="L48" s="30" t="str">
        <f t="shared" si="0"/>
        <v/>
      </c>
      <c r="M48" s="83"/>
      <c r="N48" s="83"/>
      <c r="O48" s="83"/>
    </row>
    <row r="49" spans="1:15" s="29" customFormat="1" ht="15" customHeight="1">
      <c r="A49" s="95"/>
      <c r="B49" s="95"/>
      <c r="C49" s="95"/>
      <c r="D49" s="47" t="str">
        <f>IF(ISBLANK(C49),"",INDEX(spirit_size,MATCH(C49,spirits,0),2)/Settings!$C$18)</f>
        <v/>
      </c>
      <c r="E49" s="27" t="str">
        <f>IF(ISBLANK(F49),"",Settings!$B$14)</f>
        <v/>
      </c>
      <c r="F49" s="96"/>
      <c r="G49" s="48" t="str">
        <f>IF(OR(ISBLANK(H49),H49=""),"",Settings!$B$14)</f>
        <v/>
      </c>
      <c r="H49" s="49" t="str">
        <f t="shared" si="1"/>
        <v/>
      </c>
      <c r="I49" s="27" t="str">
        <f>IF(ISBLANK(J49),"",Settings!$B$14)</f>
        <v/>
      </c>
      <c r="J49" s="96"/>
      <c r="K49" s="48" t="str">
        <f>IF(OR(ISBLANK(L49),L49=""),"",Settings!$B$14)</f>
        <v/>
      </c>
      <c r="L49" s="30" t="str">
        <f t="shared" si="0"/>
        <v/>
      </c>
      <c r="M49" s="83"/>
      <c r="N49" s="83"/>
      <c r="O49" s="83"/>
    </row>
    <row r="50" spans="1:15" s="29" customFormat="1" ht="15" customHeight="1">
      <c r="A50" s="95"/>
      <c r="B50" s="95"/>
      <c r="C50" s="95"/>
      <c r="D50" s="47" t="str">
        <f>IF(ISBLANK(C50),"",INDEX(spirit_size,MATCH(C50,spirits,0),2)/Settings!$C$18)</f>
        <v/>
      </c>
      <c r="E50" s="27" t="str">
        <f>IF(ISBLANK(F50),"",Settings!$B$14)</f>
        <v/>
      </c>
      <c r="F50" s="96"/>
      <c r="G50" s="48" t="str">
        <f>IF(OR(ISBLANK(H50),H50=""),"",Settings!$B$14)</f>
        <v/>
      </c>
      <c r="H50" s="49" t="str">
        <f t="shared" si="1"/>
        <v/>
      </c>
      <c r="I50" s="27" t="str">
        <f>IF(ISBLANK(J50),"",Settings!$B$14)</f>
        <v/>
      </c>
      <c r="J50" s="96"/>
      <c r="K50" s="48" t="str">
        <f>IF(OR(ISBLANK(L50),L50=""),"",Settings!$B$14)</f>
        <v/>
      </c>
      <c r="L50" s="30" t="str">
        <f t="shared" si="0"/>
        <v/>
      </c>
      <c r="M50" s="83"/>
      <c r="N50" s="83"/>
      <c r="O50" s="83"/>
    </row>
    <row r="51" spans="1:15" s="29" customFormat="1" ht="15" customHeight="1">
      <c r="A51" s="95"/>
      <c r="B51" s="95"/>
      <c r="C51" s="95"/>
      <c r="D51" s="47" t="str">
        <f>IF(ISBLANK(C51),"",INDEX(spirit_size,MATCH(C51,spirits,0),2)/Settings!$C$18)</f>
        <v/>
      </c>
      <c r="E51" s="27" t="str">
        <f>IF(ISBLANK(F51),"",Settings!$B$14)</f>
        <v/>
      </c>
      <c r="F51" s="96"/>
      <c r="G51" s="48" t="str">
        <f>IF(OR(ISBLANK(H51),H51=""),"",Settings!$B$14)</f>
        <v/>
      </c>
      <c r="H51" s="49" t="str">
        <f t="shared" si="1"/>
        <v/>
      </c>
      <c r="I51" s="27" t="str">
        <f>IF(ISBLANK(J51),"",Settings!$B$14)</f>
        <v/>
      </c>
      <c r="J51" s="96"/>
      <c r="K51" s="48" t="str">
        <f>IF(OR(ISBLANK(L51),L51=""),"",Settings!$B$14)</f>
        <v/>
      </c>
      <c r="L51" s="30" t="str">
        <f t="shared" si="0"/>
        <v/>
      </c>
      <c r="M51" s="83"/>
      <c r="N51" s="83"/>
      <c r="O51" s="83"/>
    </row>
    <row r="52" spans="1:15" s="29" customFormat="1" ht="15" customHeight="1">
      <c r="A52" s="95"/>
      <c r="B52" s="95"/>
      <c r="C52" s="95"/>
      <c r="D52" s="47" t="str">
        <f>IF(ISBLANK(C52),"",INDEX(spirit_size,MATCH(C52,spirits,0),2)/Settings!$C$18)</f>
        <v/>
      </c>
      <c r="E52" s="27" t="str">
        <f>IF(ISBLANK(F52),"",Settings!$B$14)</f>
        <v/>
      </c>
      <c r="F52" s="96"/>
      <c r="G52" s="48" t="str">
        <f>IF(OR(ISBLANK(H52),H52=""),"",Settings!$B$14)</f>
        <v/>
      </c>
      <c r="H52" s="49" t="str">
        <f t="shared" si="1"/>
        <v/>
      </c>
      <c r="I52" s="27" t="str">
        <f>IF(ISBLANK(J52),"",Settings!$B$14)</f>
        <v/>
      </c>
      <c r="J52" s="96"/>
      <c r="K52" s="48" t="str">
        <f>IF(OR(ISBLANK(L52),L52=""),"",Settings!$B$14)</f>
        <v/>
      </c>
      <c r="L52" s="30" t="str">
        <f t="shared" si="0"/>
        <v/>
      </c>
      <c r="M52" s="83"/>
      <c r="N52" s="83"/>
      <c r="O52" s="83"/>
    </row>
    <row r="53" spans="1:15" s="29" customFormat="1" ht="15" customHeight="1">
      <c r="A53" s="95"/>
      <c r="B53" s="95"/>
      <c r="C53" s="95"/>
      <c r="D53" s="47" t="str">
        <f>IF(ISBLANK(C53),"",INDEX(spirit_size,MATCH(C53,spirits,0),2)/Settings!$C$18)</f>
        <v/>
      </c>
      <c r="E53" s="27" t="str">
        <f>IF(ISBLANK(F53),"",Settings!$B$14)</f>
        <v/>
      </c>
      <c r="F53" s="96"/>
      <c r="G53" s="48" t="str">
        <f>IF(OR(ISBLANK(H53),H53=""),"",Settings!$B$14)</f>
        <v/>
      </c>
      <c r="H53" s="49" t="str">
        <f t="shared" si="1"/>
        <v/>
      </c>
      <c r="I53" s="27" t="str">
        <f>IF(ISBLANK(J53),"",Settings!$B$14)</f>
        <v/>
      </c>
      <c r="J53" s="96"/>
      <c r="K53" s="48" t="str">
        <f>IF(OR(ISBLANK(L53),L53=""),"",Settings!$B$14)</f>
        <v/>
      </c>
      <c r="L53" s="30" t="str">
        <f t="shared" si="0"/>
        <v/>
      </c>
      <c r="M53" s="83"/>
      <c r="N53" s="83"/>
      <c r="O53" s="83"/>
    </row>
    <row r="54" spans="1:15" s="29" customFormat="1" ht="15" customHeight="1">
      <c r="A54" s="95"/>
      <c r="B54" s="95"/>
      <c r="C54" s="95"/>
      <c r="D54" s="47" t="str">
        <f>IF(ISBLANK(C54),"",INDEX(spirit_size,MATCH(C54,spirits,0),2)/Settings!$C$18)</f>
        <v/>
      </c>
      <c r="E54" s="27" t="str">
        <f>IF(ISBLANK(F54),"",Settings!$B$14)</f>
        <v/>
      </c>
      <c r="F54" s="96"/>
      <c r="G54" s="48" t="str">
        <f>IF(OR(ISBLANK(H54),H54=""),"",Settings!$B$14)</f>
        <v/>
      </c>
      <c r="H54" s="49" t="str">
        <f t="shared" si="1"/>
        <v/>
      </c>
      <c r="I54" s="27" t="str">
        <f>IF(ISBLANK(J54),"",Settings!$B$14)</f>
        <v/>
      </c>
      <c r="J54" s="96"/>
      <c r="K54" s="48" t="str">
        <f>IF(OR(ISBLANK(L54),L54=""),"",Settings!$B$14)</f>
        <v/>
      </c>
      <c r="L54" s="30" t="str">
        <f t="shared" si="0"/>
        <v/>
      </c>
      <c r="M54" s="83"/>
      <c r="N54" s="83"/>
      <c r="O54" s="83"/>
    </row>
    <row r="55" spans="1:15" s="29" customFormat="1" ht="15" customHeight="1">
      <c r="A55" s="95"/>
      <c r="B55" s="95"/>
      <c r="C55" s="95"/>
      <c r="D55" s="47" t="str">
        <f>IF(ISBLANK(C55),"",INDEX(spirit_size,MATCH(C55,spirits,0),2)/Settings!$C$18)</f>
        <v/>
      </c>
      <c r="E55" s="27" t="str">
        <f>IF(ISBLANK(F55),"",Settings!$B$14)</f>
        <v/>
      </c>
      <c r="F55" s="96"/>
      <c r="G55" s="48" t="str">
        <f>IF(OR(ISBLANK(H55),H55=""),"",Settings!$B$14)</f>
        <v/>
      </c>
      <c r="H55" s="49" t="str">
        <f t="shared" si="1"/>
        <v/>
      </c>
      <c r="I55" s="27" t="str">
        <f>IF(ISBLANK(J55),"",Settings!$B$14)</f>
        <v/>
      </c>
      <c r="J55" s="96"/>
      <c r="K55" s="48" t="str">
        <f>IF(OR(ISBLANK(L55),L55=""),"",Settings!$B$14)</f>
        <v/>
      </c>
      <c r="L55" s="30" t="str">
        <f t="shared" si="0"/>
        <v/>
      </c>
      <c r="M55" s="127"/>
      <c r="N55" s="127"/>
      <c r="O55" s="83"/>
    </row>
    <row r="56" spans="1:15" s="45" customFormat="1" ht="6.95" customHeight="1">
      <c r="A56" s="91"/>
      <c r="B56" s="91"/>
      <c r="C56" s="91"/>
      <c r="D56" s="94"/>
      <c r="E56" s="94"/>
      <c r="F56" s="94"/>
      <c r="G56" s="94"/>
      <c r="H56" s="94"/>
      <c r="I56" s="94"/>
      <c r="J56" s="94"/>
      <c r="K56" s="94"/>
      <c r="L56" s="94"/>
      <c r="M56" s="20"/>
      <c r="N56" s="20"/>
      <c r="O56" s="20"/>
    </row>
    <row r="57" spans="1:15" s="45" customFormat="1" ht="18" customHeight="1" thickBot="1">
      <c r="A57" s="78" t="s">
        <v>166</v>
      </c>
      <c r="B57" s="78" t="s">
        <v>2</v>
      </c>
      <c r="C57" s="78" t="s">
        <v>161</v>
      </c>
      <c r="D57" s="23" t="str">
        <f>Settings!C19&amp; "ml Shots"</f>
        <v>50ml Shots</v>
      </c>
      <c r="E57" s="235" t="s">
        <v>86</v>
      </c>
      <c r="F57" s="235"/>
      <c r="G57" s="235" t="s">
        <v>87</v>
      </c>
      <c r="H57" s="235"/>
      <c r="I57" s="235" t="s">
        <v>87</v>
      </c>
      <c r="J57" s="235"/>
      <c r="K57" s="235" t="s">
        <v>86</v>
      </c>
      <c r="L57" s="235"/>
      <c r="M57" s="121"/>
      <c r="N57" s="122"/>
      <c r="O57" s="20"/>
    </row>
    <row r="58" spans="1:15" s="45" customFormat="1" ht="6.95" customHeight="1" thickTop="1">
      <c r="A58" s="91"/>
      <c r="B58" s="91"/>
      <c r="C58" s="91"/>
      <c r="D58" s="94"/>
      <c r="E58" s="94"/>
      <c r="F58" s="94"/>
      <c r="G58" s="94"/>
      <c r="H58" s="94"/>
      <c r="I58" s="94"/>
      <c r="J58" s="94"/>
      <c r="K58" s="94"/>
      <c r="L58" s="94"/>
      <c r="M58" s="20"/>
      <c r="N58" s="20"/>
      <c r="O58" s="20"/>
    </row>
    <row r="59" spans="1:15" s="29" customFormat="1" ht="15" customHeight="1">
      <c r="A59" s="95" t="s">
        <v>32</v>
      </c>
      <c r="B59" s="95" t="s">
        <v>175</v>
      </c>
      <c r="C59" s="95" t="s">
        <v>33</v>
      </c>
      <c r="D59" s="47">
        <f>IF(ISBLANK(C59),"",INDEX(spirit_size,MATCH(C59,spirits,0),2)/Settings!$C$19)</f>
        <v>15</v>
      </c>
      <c r="E59" s="27" t="str">
        <f>IF(ISBLANK(F59),"",Settings!$B$14)</f>
        <v>$</v>
      </c>
      <c r="F59" s="96">
        <v>13.44</v>
      </c>
      <c r="G59" s="48" t="str">
        <f>IF(OR(ISBLANK(H59),H59=""),"",Settings!$B$14)</f>
        <v>$</v>
      </c>
      <c r="H59" s="49">
        <f t="shared" ref="H59:H72" si="2">IF(ISBLANK(F59),"",F59/D59)</f>
        <v>0.89600000000000002</v>
      </c>
      <c r="I59" s="27" t="str">
        <f>IF(ISBLANK(J59),"",Settings!$B$14)</f>
        <v>$</v>
      </c>
      <c r="J59" s="96">
        <v>1.89</v>
      </c>
      <c r="K59" s="48" t="str">
        <f>IF(OR(ISBLANK(L59),L59=""),"",Settings!$B$14)</f>
        <v>$</v>
      </c>
      <c r="L59" s="30">
        <f t="shared" ref="L59:L72" si="3">IF(ISBLANK(J59),"",J59*D59)</f>
        <v>28.349999999999998</v>
      </c>
      <c r="M59" s="83"/>
      <c r="N59" s="83"/>
      <c r="O59" s="83"/>
    </row>
    <row r="60" spans="1:15" s="29" customFormat="1" ht="15" customHeight="1">
      <c r="A60" s="95" t="s">
        <v>34</v>
      </c>
      <c r="B60" s="95" t="s">
        <v>175</v>
      </c>
      <c r="C60" s="95" t="s">
        <v>33</v>
      </c>
      <c r="D60" s="47">
        <f>IF(ISBLANK(C60),"",INDEX(spirit_size,MATCH(C60,spirits,0),2)/Settings!$C$19)</f>
        <v>15</v>
      </c>
      <c r="E60" s="27" t="str">
        <f>IF(ISBLANK(F60),"",Settings!$B$14)</f>
        <v>$</v>
      </c>
      <c r="F60" s="96">
        <v>13.55</v>
      </c>
      <c r="G60" s="48" t="str">
        <f>IF(OR(ISBLANK(H60),H60=""),"",Settings!$B$14)</f>
        <v>$</v>
      </c>
      <c r="H60" s="49">
        <f t="shared" si="2"/>
        <v>0.90333333333333343</v>
      </c>
      <c r="I60" s="27" t="str">
        <f>IF(ISBLANK(J60),"",Settings!$B$14)</f>
        <v>$</v>
      </c>
      <c r="J60" s="96">
        <v>1.89</v>
      </c>
      <c r="K60" s="48" t="str">
        <f>IF(OR(ISBLANK(L60),L60=""),"",Settings!$B$14)</f>
        <v>$</v>
      </c>
      <c r="L60" s="30">
        <f t="shared" si="3"/>
        <v>28.349999999999998</v>
      </c>
      <c r="M60" s="83"/>
      <c r="N60" s="83"/>
      <c r="O60" s="83"/>
    </row>
    <row r="61" spans="1:15" s="29" customFormat="1" ht="15" customHeight="1">
      <c r="A61" s="95" t="s">
        <v>35</v>
      </c>
      <c r="B61" s="95" t="s">
        <v>175</v>
      </c>
      <c r="C61" s="95" t="s">
        <v>33</v>
      </c>
      <c r="D61" s="47">
        <f>IF(ISBLANK(C61),"",INDEX(spirit_size,MATCH(C61,spirits,0),2)/Settings!$C$19)</f>
        <v>15</v>
      </c>
      <c r="E61" s="27" t="str">
        <f>IF(ISBLANK(F61),"",Settings!$B$14)</f>
        <v>$</v>
      </c>
      <c r="F61" s="96">
        <v>14.46</v>
      </c>
      <c r="G61" s="48" t="str">
        <f>IF(OR(ISBLANK(H61),H61=""),"",Settings!$B$14)</f>
        <v>$</v>
      </c>
      <c r="H61" s="49">
        <f t="shared" si="2"/>
        <v>0.96400000000000008</v>
      </c>
      <c r="I61" s="27" t="str">
        <f>IF(ISBLANK(J61),"",Settings!$B$14)</f>
        <v>$</v>
      </c>
      <c r="J61" s="96">
        <v>1.89</v>
      </c>
      <c r="K61" s="48" t="str">
        <f>IF(OR(ISBLANK(L61),L61=""),"",Settings!$B$14)</f>
        <v>$</v>
      </c>
      <c r="L61" s="30">
        <f t="shared" si="3"/>
        <v>28.349999999999998</v>
      </c>
      <c r="M61" s="83"/>
      <c r="N61" s="83"/>
      <c r="O61" s="83"/>
    </row>
    <row r="62" spans="1:15" s="29" customFormat="1" ht="15" customHeight="1">
      <c r="A62" s="95" t="s">
        <v>36</v>
      </c>
      <c r="B62" s="95" t="s">
        <v>175</v>
      </c>
      <c r="C62" s="95" t="s">
        <v>33</v>
      </c>
      <c r="D62" s="47">
        <f>IF(ISBLANK(C62),"",INDEX(spirit_size,MATCH(C62,spirits,0),2)/Settings!$C$19)</f>
        <v>15</v>
      </c>
      <c r="E62" s="27" t="str">
        <f>IF(ISBLANK(F62),"",Settings!$B$14)</f>
        <v>$</v>
      </c>
      <c r="F62" s="96">
        <v>18.3</v>
      </c>
      <c r="G62" s="48" t="str">
        <f>IF(OR(ISBLANK(H62),H62=""),"",Settings!$B$14)</f>
        <v>$</v>
      </c>
      <c r="H62" s="49">
        <f t="shared" si="2"/>
        <v>1.22</v>
      </c>
      <c r="I62" s="27" t="str">
        <f>IF(ISBLANK(J62),"",Settings!$B$14)</f>
        <v>$</v>
      </c>
      <c r="J62" s="96">
        <v>1.89</v>
      </c>
      <c r="K62" s="48" t="str">
        <f>IF(OR(ISBLANK(L62),L62=""),"",Settings!$B$14)</f>
        <v>$</v>
      </c>
      <c r="L62" s="30">
        <f t="shared" si="3"/>
        <v>28.349999999999998</v>
      </c>
      <c r="M62" s="83"/>
      <c r="N62" s="83"/>
      <c r="O62" s="83"/>
    </row>
    <row r="63" spans="1:15" s="29" customFormat="1" ht="15" customHeight="1">
      <c r="A63" s="95" t="s">
        <v>37</v>
      </c>
      <c r="B63" s="95" t="s">
        <v>175</v>
      </c>
      <c r="C63" s="95" t="s">
        <v>33</v>
      </c>
      <c r="D63" s="47">
        <f>IF(ISBLANK(C63),"",INDEX(spirit_size,MATCH(C63,spirits,0),2)/Settings!$C$19)</f>
        <v>15</v>
      </c>
      <c r="E63" s="27" t="str">
        <f>IF(ISBLANK(F63),"",Settings!$B$14)</f>
        <v>$</v>
      </c>
      <c r="F63" s="96">
        <v>15.5</v>
      </c>
      <c r="G63" s="48" t="str">
        <f>IF(OR(ISBLANK(H63),H63=""),"",Settings!$B$14)</f>
        <v>$</v>
      </c>
      <c r="H63" s="49">
        <f t="shared" si="2"/>
        <v>1.0333333333333334</v>
      </c>
      <c r="I63" s="27" t="str">
        <f>IF(ISBLANK(J63),"",Settings!$B$14)</f>
        <v>$</v>
      </c>
      <c r="J63" s="96">
        <v>2.34</v>
      </c>
      <c r="K63" s="48" t="str">
        <f>IF(OR(ISBLANK(L63),L63=""),"",Settings!$B$14)</f>
        <v>$</v>
      </c>
      <c r="L63" s="30">
        <f t="shared" si="3"/>
        <v>35.099999999999994</v>
      </c>
      <c r="M63" s="83"/>
      <c r="N63" s="83"/>
      <c r="O63" s="83"/>
    </row>
    <row r="64" spans="1:15" s="29" customFormat="1" ht="15" customHeight="1">
      <c r="A64" s="95" t="s">
        <v>38</v>
      </c>
      <c r="B64" s="95" t="s">
        <v>175</v>
      </c>
      <c r="C64" s="95" t="s">
        <v>33</v>
      </c>
      <c r="D64" s="47">
        <f>IF(ISBLANK(C64),"",INDEX(spirit_size,MATCH(C64,spirits,0),2)/Settings!$C$19)</f>
        <v>15</v>
      </c>
      <c r="E64" s="27" t="str">
        <f>IF(ISBLANK(F64),"",Settings!$B$14)</f>
        <v>$</v>
      </c>
      <c r="F64" s="96">
        <v>18.22</v>
      </c>
      <c r="G64" s="48" t="str">
        <f>IF(OR(ISBLANK(H64),H64=""),"",Settings!$B$14)</f>
        <v>$</v>
      </c>
      <c r="H64" s="49">
        <f t="shared" si="2"/>
        <v>1.2146666666666666</v>
      </c>
      <c r="I64" s="27" t="str">
        <f>IF(ISBLANK(J64),"",Settings!$B$14)</f>
        <v>$</v>
      </c>
      <c r="J64" s="96">
        <v>2.34</v>
      </c>
      <c r="K64" s="48" t="str">
        <f>IF(OR(ISBLANK(L64),L64=""),"",Settings!$B$14)</f>
        <v>$</v>
      </c>
      <c r="L64" s="30">
        <f t="shared" si="3"/>
        <v>35.099999999999994</v>
      </c>
      <c r="M64" s="83"/>
      <c r="N64" s="83"/>
      <c r="O64" s="83"/>
    </row>
    <row r="65" spans="1:15" s="29" customFormat="1" ht="15" customHeight="1">
      <c r="A65" s="95" t="s">
        <v>39</v>
      </c>
      <c r="B65" s="95" t="s">
        <v>175</v>
      </c>
      <c r="C65" s="95" t="s">
        <v>33</v>
      </c>
      <c r="D65" s="47">
        <f>IF(ISBLANK(C65),"",INDEX(spirit_size,MATCH(C65,spirits,0),2)/Settings!$C$19)</f>
        <v>15</v>
      </c>
      <c r="E65" s="27" t="str">
        <f>IF(ISBLANK(F65),"",Settings!$B$14)</f>
        <v>$</v>
      </c>
      <c r="F65" s="96">
        <v>12.42</v>
      </c>
      <c r="G65" s="48" t="str">
        <f>IF(OR(ISBLANK(H65),H65=""),"",Settings!$B$14)</f>
        <v>$</v>
      </c>
      <c r="H65" s="49">
        <f t="shared" si="2"/>
        <v>0.82799999999999996</v>
      </c>
      <c r="I65" s="27" t="str">
        <f>IF(ISBLANK(J65),"",Settings!$B$14)</f>
        <v>$</v>
      </c>
      <c r="J65" s="96">
        <v>2.27</v>
      </c>
      <c r="K65" s="48" t="str">
        <f>IF(OR(ISBLANK(L65),L65=""),"",Settings!$B$14)</f>
        <v>$</v>
      </c>
      <c r="L65" s="30">
        <f t="shared" si="3"/>
        <v>34.049999999999997</v>
      </c>
      <c r="M65" s="83"/>
      <c r="N65" s="83"/>
      <c r="O65" s="83"/>
    </row>
    <row r="66" spans="1:15" s="29" customFormat="1" ht="15" customHeight="1">
      <c r="A66" s="95" t="s">
        <v>40</v>
      </c>
      <c r="B66" s="95" t="s">
        <v>175</v>
      </c>
      <c r="C66" s="95" t="s">
        <v>33</v>
      </c>
      <c r="D66" s="47">
        <f>IF(ISBLANK(C66),"",INDEX(spirit_size,MATCH(C66,spirits,0),2)/Settings!$C$19)</f>
        <v>15</v>
      </c>
      <c r="E66" s="27" t="str">
        <f>IF(ISBLANK(F66),"",Settings!$B$14)</f>
        <v>$</v>
      </c>
      <c r="F66" s="96">
        <v>14.4</v>
      </c>
      <c r="G66" s="48" t="str">
        <f>IF(OR(ISBLANK(H66),H66=""),"",Settings!$B$14)</f>
        <v>$</v>
      </c>
      <c r="H66" s="49">
        <f t="shared" si="2"/>
        <v>0.96000000000000008</v>
      </c>
      <c r="I66" s="27" t="str">
        <f>IF(ISBLANK(J66),"",Settings!$B$14)</f>
        <v>$</v>
      </c>
      <c r="J66" s="96">
        <v>2.34</v>
      </c>
      <c r="K66" s="48" t="str">
        <f>IF(OR(ISBLANK(L66),L66=""),"",Settings!$B$14)</f>
        <v>$</v>
      </c>
      <c r="L66" s="30">
        <f t="shared" si="3"/>
        <v>35.099999999999994</v>
      </c>
      <c r="M66" s="83"/>
      <c r="N66" s="83"/>
      <c r="O66" s="83"/>
    </row>
    <row r="67" spans="1:15" s="29" customFormat="1" ht="15" customHeight="1">
      <c r="A67" s="95"/>
      <c r="B67" s="95"/>
      <c r="C67" s="95"/>
      <c r="D67" s="47" t="str">
        <f>IF(ISBLANK(C67),"",INDEX(spirit_size,MATCH(C67,spirits,0),2)/Settings!$C$19)</f>
        <v/>
      </c>
      <c r="E67" s="27" t="str">
        <f>IF(ISBLANK(F67),"",Settings!$B$14)</f>
        <v/>
      </c>
      <c r="F67" s="96"/>
      <c r="G67" s="48" t="str">
        <f>IF(OR(ISBLANK(H67),H67=""),"",Settings!$B$14)</f>
        <v/>
      </c>
      <c r="H67" s="49" t="str">
        <f t="shared" si="2"/>
        <v/>
      </c>
      <c r="I67" s="27" t="str">
        <f>IF(ISBLANK(J67),"",Settings!$B$14)</f>
        <v/>
      </c>
      <c r="J67" s="96"/>
      <c r="K67" s="48" t="str">
        <f>IF(OR(ISBLANK(L67),L67=""),"",Settings!$B$14)</f>
        <v/>
      </c>
      <c r="L67" s="30" t="str">
        <f t="shared" si="3"/>
        <v/>
      </c>
      <c r="M67" s="83"/>
      <c r="N67" s="83"/>
      <c r="O67" s="83"/>
    </row>
    <row r="68" spans="1:15" s="29" customFormat="1" ht="15" customHeight="1">
      <c r="A68" s="95"/>
      <c r="B68" s="95"/>
      <c r="C68" s="95"/>
      <c r="D68" s="47" t="str">
        <f>IF(ISBLANK(C68),"",INDEX(spirit_size,MATCH(C68,spirits,0),2)/Settings!$C$19)</f>
        <v/>
      </c>
      <c r="E68" s="27" t="str">
        <f>IF(ISBLANK(F68),"",Settings!$B$14)</f>
        <v/>
      </c>
      <c r="F68" s="96"/>
      <c r="G68" s="48" t="str">
        <f>IF(OR(ISBLANK(H68),H68=""),"",Settings!$B$14)</f>
        <v/>
      </c>
      <c r="H68" s="49" t="str">
        <f t="shared" si="2"/>
        <v/>
      </c>
      <c r="I68" s="27" t="str">
        <f>IF(ISBLANK(J68),"",Settings!$B$14)</f>
        <v/>
      </c>
      <c r="J68" s="96"/>
      <c r="K68" s="48" t="str">
        <f>IF(OR(ISBLANK(L68),L68=""),"",Settings!$B$14)</f>
        <v/>
      </c>
      <c r="L68" s="30" t="str">
        <f t="shared" si="3"/>
        <v/>
      </c>
      <c r="M68" s="83"/>
      <c r="N68" s="83"/>
      <c r="O68" s="83"/>
    </row>
    <row r="69" spans="1:15" s="29" customFormat="1" ht="15" customHeight="1">
      <c r="A69" s="95"/>
      <c r="B69" s="95"/>
      <c r="C69" s="95"/>
      <c r="D69" s="47" t="str">
        <f>IF(ISBLANK(C69),"",INDEX(spirit_size,MATCH(C69,spirits,0),2)/Settings!$C$19)</f>
        <v/>
      </c>
      <c r="E69" s="27" t="str">
        <f>IF(ISBLANK(F69),"",Settings!$B$14)</f>
        <v/>
      </c>
      <c r="F69" s="96"/>
      <c r="G69" s="48" t="str">
        <f>IF(OR(ISBLANK(H69),H69=""),"",Settings!$B$14)</f>
        <v/>
      </c>
      <c r="H69" s="49" t="str">
        <f t="shared" si="2"/>
        <v/>
      </c>
      <c r="I69" s="27" t="str">
        <f>IF(ISBLANK(J69),"",Settings!$B$14)</f>
        <v/>
      </c>
      <c r="J69" s="96"/>
      <c r="K69" s="48" t="str">
        <f>IF(OR(ISBLANK(L69),L69=""),"",Settings!$B$14)</f>
        <v/>
      </c>
      <c r="L69" s="30" t="str">
        <f t="shared" si="3"/>
        <v/>
      </c>
      <c r="M69" s="83"/>
      <c r="N69" s="83"/>
      <c r="O69" s="83"/>
    </row>
    <row r="70" spans="1:15" s="29" customFormat="1" ht="15" customHeight="1">
      <c r="A70" s="95"/>
      <c r="B70" s="95"/>
      <c r="C70" s="95"/>
      <c r="D70" s="47" t="str">
        <f>IF(ISBLANK(C70),"",INDEX(spirit_size,MATCH(C70,spirits,0),2)/Settings!$C$19)</f>
        <v/>
      </c>
      <c r="E70" s="27" t="str">
        <f>IF(ISBLANK(F70),"",Settings!$B$14)</f>
        <v/>
      </c>
      <c r="F70" s="96"/>
      <c r="G70" s="48" t="str">
        <f>IF(OR(ISBLANK(H70),H70=""),"",Settings!$B$14)</f>
        <v/>
      </c>
      <c r="H70" s="49" t="str">
        <f t="shared" si="2"/>
        <v/>
      </c>
      <c r="I70" s="27" t="str">
        <f>IF(ISBLANK(J70),"",Settings!$B$14)</f>
        <v/>
      </c>
      <c r="J70" s="96"/>
      <c r="K70" s="48" t="str">
        <f>IF(OR(ISBLANK(L70),L70=""),"",Settings!$B$14)</f>
        <v/>
      </c>
      <c r="L70" s="30" t="str">
        <f t="shared" si="3"/>
        <v/>
      </c>
      <c r="M70" s="83"/>
      <c r="N70" s="83"/>
      <c r="O70" s="83"/>
    </row>
    <row r="71" spans="1:15" s="29" customFormat="1" ht="15" customHeight="1">
      <c r="A71" s="95"/>
      <c r="B71" s="95"/>
      <c r="C71" s="95"/>
      <c r="D71" s="47" t="str">
        <f>IF(ISBLANK(C71),"",INDEX(spirit_size,MATCH(C71,spirits,0),2)/Settings!$C$19)</f>
        <v/>
      </c>
      <c r="E71" s="27" t="str">
        <f>IF(ISBLANK(F71),"",Settings!$B$14)</f>
        <v/>
      </c>
      <c r="F71" s="96"/>
      <c r="G71" s="48" t="str">
        <f>IF(OR(ISBLANK(H71),H71=""),"",Settings!$B$14)</f>
        <v/>
      </c>
      <c r="H71" s="49" t="str">
        <f t="shared" si="2"/>
        <v/>
      </c>
      <c r="I71" s="27" t="str">
        <f>IF(ISBLANK(J71),"",Settings!$B$14)</f>
        <v/>
      </c>
      <c r="J71" s="96"/>
      <c r="K71" s="48" t="str">
        <f>IF(OR(ISBLANK(L71),L71=""),"",Settings!$B$14)</f>
        <v/>
      </c>
      <c r="L71" s="30" t="str">
        <f t="shared" si="3"/>
        <v/>
      </c>
      <c r="M71" s="83"/>
      <c r="N71" s="83"/>
      <c r="O71" s="83"/>
    </row>
    <row r="72" spans="1:15" s="29" customFormat="1" ht="15" customHeight="1">
      <c r="A72" s="95"/>
      <c r="B72" s="95"/>
      <c r="C72" s="95"/>
      <c r="D72" s="47" t="str">
        <f>IF(ISBLANK(C72),"",INDEX(spirit_size,MATCH(C72,spirits,0),2)/Settings!$C$19)</f>
        <v/>
      </c>
      <c r="E72" s="27" t="str">
        <f>IF(ISBLANK(F72),"",Settings!$B$14)</f>
        <v/>
      </c>
      <c r="F72" s="96"/>
      <c r="G72" s="48" t="str">
        <f>IF(OR(ISBLANK(H72),H72=""),"",Settings!$B$14)</f>
        <v/>
      </c>
      <c r="H72" s="49" t="str">
        <f t="shared" si="2"/>
        <v/>
      </c>
      <c r="I72" s="27" t="str">
        <f>IF(ISBLANK(J72),"",Settings!$B$14)</f>
        <v/>
      </c>
      <c r="J72" s="96"/>
      <c r="K72" s="48" t="str">
        <f>IF(OR(ISBLANK(L72),L72=""),"",Settings!$B$14)</f>
        <v/>
      </c>
      <c r="L72" s="30" t="str">
        <f t="shared" si="3"/>
        <v/>
      </c>
      <c r="M72" s="83"/>
      <c r="N72" s="83"/>
      <c r="O72" s="83"/>
    </row>
    <row r="73" spans="1:15" s="45" customFormat="1" ht="6.95" customHeight="1">
      <c r="A73" s="91"/>
      <c r="B73" s="91"/>
      <c r="C73" s="91"/>
      <c r="D73" s="94"/>
      <c r="E73" s="94"/>
      <c r="F73" s="94"/>
      <c r="G73" s="94"/>
      <c r="H73" s="94"/>
      <c r="I73" s="94"/>
      <c r="J73" s="94"/>
      <c r="K73" s="94"/>
      <c r="L73" s="94"/>
      <c r="M73" s="20"/>
      <c r="N73" s="20"/>
      <c r="O73" s="20"/>
    </row>
    <row r="74" spans="1:15" s="45" customFormat="1" ht="18" customHeight="1" thickBot="1">
      <c r="A74" s="78" t="s">
        <v>167</v>
      </c>
      <c r="B74" s="78" t="s">
        <v>2</v>
      </c>
      <c r="C74" s="78" t="s">
        <v>161</v>
      </c>
      <c r="D74" s="23" t="s">
        <v>67</v>
      </c>
      <c r="E74" s="235" t="s">
        <v>109</v>
      </c>
      <c r="F74" s="235"/>
      <c r="G74" s="235" t="s">
        <v>86</v>
      </c>
      <c r="H74" s="235"/>
      <c r="I74" s="235" t="s">
        <v>86</v>
      </c>
      <c r="J74" s="235"/>
      <c r="K74" s="235" t="s">
        <v>109</v>
      </c>
      <c r="L74" s="235"/>
      <c r="M74" s="121"/>
      <c r="N74" s="122"/>
      <c r="O74" s="20"/>
    </row>
    <row r="75" spans="1:15" s="45" customFormat="1" ht="6.95" customHeight="1" thickTop="1">
      <c r="A75" s="91"/>
      <c r="B75" s="91"/>
      <c r="C75" s="91"/>
      <c r="D75" s="94"/>
      <c r="E75" s="94"/>
      <c r="F75" s="94"/>
      <c r="G75" s="94"/>
      <c r="H75" s="94"/>
      <c r="I75" s="94"/>
      <c r="J75" s="94"/>
      <c r="K75" s="94"/>
      <c r="L75" s="94"/>
      <c r="M75" s="20"/>
      <c r="N75" s="20"/>
      <c r="O75" s="20"/>
    </row>
    <row r="76" spans="1:15" s="29" customFormat="1" ht="15" customHeight="1">
      <c r="A76" s="95" t="s">
        <v>41</v>
      </c>
      <c r="B76" s="95" t="s">
        <v>156</v>
      </c>
      <c r="C76" s="95" t="s">
        <v>115</v>
      </c>
      <c r="D76" s="47">
        <f t="shared" ref="D76:D97" si="4">IF(ISBLANK(B76),"",INDEX(case_size,MATCH(B76,case,0),2))</f>
        <v>12</v>
      </c>
      <c r="E76" s="27" t="str">
        <f>IF(ISBLANK(F76),"",Settings!$B$14)</f>
        <v>$</v>
      </c>
      <c r="F76" s="96">
        <v>34.68</v>
      </c>
      <c r="G76" s="48" t="str">
        <f>IF(OR(ISBLANK(H76),H76=""),"",Settings!$B$14)</f>
        <v>$</v>
      </c>
      <c r="H76" s="49">
        <f t="shared" ref="H76:H97" si="5">IF(ISBLANK(F76),"",F76/D76)</f>
        <v>2.89</v>
      </c>
      <c r="I76" s="27" t="str">
        <f>IF(ISBLANK(J76),"",Settings!$B$14)</f>
        <v>$</v>
      </c>
      <c r="J76" s="96">
        <v>10.75</v>
      </c>
      <c r="K76" s="48" t="str">
        <f>IF(OR(ISBLANK(L76),L76=""),"",Settings!$B$14)</f>
        <v>$</v>
      </c>
      <c r="L76" s="30">
        <f t="shared" ref="L76:L97" si="6">IF(ISBLANK(J76),"",J76*D76)</f>
        <v>129</v>
      </c>
      <c r="M76" s="83"/>
      <c r="N76" s="83"/>
      <c r="O76" s="83"/>
    </row>
    <row r="77" spans="1:15" s="29" customFormat="1" ht="15" customHeight="1">
      <c r="A77" s="95" t="s">
        <v>42</v>
      </c>
      <c r="B77" s="95" t="s">
        <v>159</v>
      </c>
      <c r="C77" s="95" t="s">
        <v>115</v>
      </c>
      <c r="D77" s="47">
        <f t="shared" si="4"/>
        <v>6</v>
      </c>
      <c r="E77" s="27" t="str">
        <f>IF(ISBLANK(F77),"",Settings!$B$14)</f>
        <v>$</v>
      </c>
      <c r="F77" s="96">
        <v>22.15</v>
      </c>
      <c r="G77" s="48" t="str">
        <f>IF(OR(ISBLANK(H77),H77=""),"",Settings!$B$14)</f>
        <v>$</v>
      </c>
      <c r="H77" s="49">
        <f t="shared" si="5"/>
        <v>3.6916666666666664</v>
      </c>
      <c r="I77" s="27" t="str">
        <f>IF(ISBLANK(J77),"",Settings!$B$14)</f>
        <v>$</v>
      </c>
      <c r="J77" s="96">
        <v>11.25</v>
      </c>
      <c r="K77" s="48" t="str">
        <f>IF(OR(ISBLANK(L77),L77=""),"",Settings!$B$14)</f>
        <v>$</v>
      </c>
      <c r="L77" s="30">
        <f t="shared" si="6"/>
        <v>67.5</v>
      </c>
      <c r="M77" s="83"/>
      <c r="N77" s="83"/>
      <c r="O77" s="83"/>
    </row>
    <row r="78" spans="1:15" s="29" customFormat="1" ht="15" customHeight="1">
      <c r="A78" s="95" t="s">
        <v>43</v>
      </c>
      <c r="B78" s="95" t="s">
        <v>159</v>
      </c>
      <c r="C78" s="95" t="s">
        <v>115</v>
      </c>
      <c r="D78" s="47">
        <f t="shared" si="4"/>
        <v>6</v>
      </c>
      <c r="E78" s="27" t="str">
        <f>IF(ISBLANK(F78),"",Settings!$B$14)</f>
        <v>$</v>
      </c>
      <c r="F78" s="96">
        <v>21.25</v>
      </c>
      <c r="G78" s="48" t="str">
        <f>IF(OR(ISBLANK(H78),H78=""),"",Settings!$B$14)</f>
        <v>$</v>
      </c>
      <c r="H78" s="49">
        <f t="shared" si="5"/>
        <v>3.5416666666666665</v>
      </c>
      <c r="I78" s="27" t="str">
        <f>IF(ISBLANK(J78),"",Settings!$B$14)</f>
        <v>$</v>
      </c>
      <c r="J78" s="96">
        <v>10.75</v>
      </c>
      <c r="K78" s="48" t="str">
        <f>IF(OR(ISBLANK(L78),L78=""),"",Settings!$B$14)</f>
        <v>$</v>
      </c>
      <c r="L78" s="30">
        <f t="shared" si="6"/>
        <v>64.5</v>
      </c>
      <c r="M78" s="83"/>
      <c r="N78" s="83"/>
      <c r="O78" s="83"/>
    </row>
    <row r="79" spans="1:15" s="29" customFormat="1" ht="15" customHeight="1">
      <c r="A79" s="95" t="s">
        <v>44</v>
      </c>
      <c r="B79" s="95" t="s">
        <v>156</v>
      </c>
      <c r="C79" s="95" t="s">
        <v>115</v>
      </c>
      <c r="D79" s="47">
        <f t="shared" si="4"/>
        <v>12</v>
      </c>
      <c r="E79" s="27" t="str">
        <f>IF(ISBLANK(F79),"",Settings!$B$14)</f>
        <v>$</v>
      </c>
      <c r="F79" s="96">
        <v>31.45</v>
      </c>
      <c r="G79" s="48" t="str">
        <f>IF(OR(ISBLANK(H79),H79=""),"",Settings!$B$14)</f>
        <v>$</v>
      </c>
      <c r="H79" s="49">
        <f t="shared" si="5"/>
        <v>2.6208333333333331</v>
      </c>
      <c r="I79" s="27" t="str">
        <f>IF(ISBLANK(J79),"",Settings!$B$14)</f>
        <v>$</v>
      </c>
      <c r="J79" s="96">
        <v>9.9499999999999993</v>
      </c>
      <c r="K79" s="48" t="str">
        <f>IF(OR(ISBLANK(L79),L79=""),"",Settings!$B$14)</f>
        <v>$</v>
      </c>
      <c r="L79" s="30">
        <f t="shared" si="6"/>
        <v>119.39999999999999</v>
      </c>
      <c r="M79" s="83"/>
      <c r="N79" s="83"/>
      <c r="O79" s="83"/>
    </row>
    <row r="80" spans="1:15" s="29" customFormat="1" ht="15" customHeight="1">
      <c r="A80" s="95" t="s">
        <v>45</v>
      </c>
      <c r="B80" s="95" t="s">
        <v>156</v>
      </c>
      <c r="C80" s="95" t="s">
        <v>115</v>
      </c>
      <c r="D80" s="47">
        <f t="shared" si="4"/>
        <v>12</v>
      </c>
      <c r="E80" s="27" t="str">
        <f>IF(ISBLANK(F80),"",Settings!$B$14)</f>
        <v>$</v>
      </c>
      <c r="F80" s="96">
        <v>35.299999999999997</v>
      </c>
      <c r="G80" s="48" t="str">
        <f>IF(OR(ISBLANK(H80),H80=""),"",Settings!$B$14)</f>
        <v>$</v>
      </c>
      <c r="H80" s="49">
        <f t="shared" si="5"/>
        <v>2.9416666666666664</v>
      </c>
      <c r="I80" s="27" t="str">
        <f>IF(ISBLANK(J80),"",Settings!$B$14)</f>
        <v>$</v>
      </c>
      <c r="J80" s="96">
        <v>15.4</v>
      </c>
      <c r="K80" s="48" t="str">
        <f>IF(OR(ISBLANK(L80),L80=""),"",Settings!$B$14)</f>
        <v>$</v>
      </c>
      <c r="L80" s="30">
        <f t="shared" si="6"/>
        <v>184.8</v>
      </c>
      <c r="M80" s="83"/>
      <c r="N80" s="83"/>
      <c r="O80" s="83"/>
    </row>
    <row r="81" spans="1:15" s="29" customFormat="1" ht="15" customHeight="1">
      <c r="A81" s="95" t="s">
        <v>46</v>
      </c>
      <c r="B81" s="95" t="s">
        <v>156</v>
      </c>
      <c r="C81" s="95" t="s">
        <v>116</v>
      </c>
      <c r="D81" s="47">
        <f t="shared" si="4"/>
        <v>12</v>
      </c>
      <c r="E81" s="27" t="str">
        <f>IF(ISBLANK(F81),"",Settings!$B$14)</f>
        <v>$</v>
      </c>
      <c r="F81" s="96">
        <v>14.3</v>
      </c>
      <c r="G81" s="48" t="str">
        <f>IF(OR(ISBLANK(H81),H81=""),"",Settings!$B$14)</f>
        <v>$</v>
      </c>
      <c r="H81" s="49">
        <f t="shared" si="5"/>
        <v>1.1916666666666667</v>
      </c>
      <c r="I81" s="27" t="str">
        <f>IF(ISBLANK(J81),"",Settings!$B$14)</f>
        <v>$</v>
      </c>
      <c r="J81" s="96">
        <v>20</v>
      </c>
      <c r="K81" s="48" t="str">
        <f>IF(OR(ISBLANK(L81),L81=""),"",Settings!$B$14)</f>
        <v>$</v>
      </c>
      <c r="L81" s="30">
        <f t="shared" si="6"/>
        <v>240</v>
      </c>
      <c r="M81" s="83"/>
      <c r="N81" s="83"/>
      <c r="O81" s="83"/>
    </row>
    <row r="82" spans="1:15" s="29" customFormat="1" ht="15" customHeight="1">
      <c r="A82" s="95" t="s">
        <v>47</v>
      </c>
      <c r="B82" s="95" t="s">
        <v>156</v>
      </c>
      <c r="C82" s="95" t="s">
        <v>116</v>
      </c>
      <c r="D82" s="47">
        <f t="shared" si="4"/>
        <v>12</v>
      </c>
      <c r="E82" s="27" t="str">
        <f>IF(ISBLANK(F82),"",Settings!$B$14)</f>
        <v>$</v>
      </c>
      <c r="F82" s="96">
        <v>19</v>
      </c>
      <c r="G82" s="48" t="str">
        <f>IF(OR(ISBLANK(H82),H82=""),"",Settings!$B$14)</f>
        <v>$</v>
      </c>
      <c r="H82" s="49">
        <f t="shared" si="5"/>
        <v>1.5833333333333333</v>
      </c>
      <c r="I82" s="27" t="str">
        <f>IF(ISBLANK(J82),"",Settings!$B$14)</f>
        <v>$</v>
      </c>
      <c r="J82" s="96">
        <v>9.9499999999999993</v>
      </c>
      <c r="K82" s="48" t="str">
        <f>IF(OR(ISBLANK(L82),L82=""),"",Settings!$B$14)</f>
        <v>$</v>
      </c>
      <c r="L82" s="30">
        <f t="shared" si="6"/>
        <v>119.39999999999999</v>
      </c>
      <c r="M82" s="83"/>
      <c r="N82" s="83"/>
      <c r="O82" s="83"/>
    </row>
    <row r="83" spans="1:15" s="29" customFormat="1" ht="15" customHeight="1">
      <c r="A83" s="95" t="s">
        <v>48</v>
      </c>
      <c r="B83" s="95" t="s">
        <v>159</v>
      </c>
      <c r="C83" s="95" t="s">
        <v>115</v>
      </c>
      <c r="D83" s="47">
        <f t="shared" si="4"/>
        <v>6</v>
      </c>
      <c r="E83" s="27" t="str">
        <f>IF(ISBLANK(F83),"",Settings!$B$14)</f>
        <v>$</v>
      </c>
      <c r="F83" s="96">
        <v>22.45</v>
      </c>
      <c r="G83" s="48" t="str">
        <f>IF(OR(ISBLANK(H83),H83=""),"",Settings!$B$14)</f>
        <v>$</v>
      </c>
      <c r="H83" s="49">
        <f t="shared" si="5"/>
        <v>3.7416666666666667</v>
      </c>
      <c r="I83" s="27" t="str">
        <f>IF(ISBLANK(J83),"",Settings!$B$14)</f>
        <v>$</v>
      </c>
      <c r="J83" s="96">
        <v>9.9499999999999993</v>
      </c>
      <c r="K83" s="48" t="str">
        <f>IF(OR(ISBLANK(L83),L83=""),"",Settings!$B$14)</f>
        <v>$</v>
      </c>
      <c r="L83" s="30">
        <f t="shared" si="6"/>
        <v>59.699999999999996</v>
      </c>
      <c r="M83" s="83"/>
      <c r="N83" s="83"/>
      <c r="O83" s="83"/>
    </row>
    <row r="84" spans="1:15" s="29" customFormat="1" ht="15" customHeight="1">
      <c r="A84" s="95" t="s">
        <v>49</v>
      </c>
      <c r="B84" s="95" t="s">
        <v>159</v>
      </c>
      <c r="C84" s="95" t="s">
        <v>115</v>
      </c>
      <c r="D84" s="47">
        <f t="shared" si="4"/>
        <v>6</v>
      </c>
      <c r="E84" s="27" t="str">
        <f>IF(ISBLANK(F84),"",Settings!$B$14)</f>
        <v>$</v>
      </c>
      <c r="F84" s="96">
        <v>21.65</v>
      </c>
      <c r="G84" s="48" t="str">
        <f>IF(OR(ISBLANK(H84),H84=""),"",Settings!$B$14)</f>
        <v>$</v>
      </c>
      <c r="H84" s="49">
        <f t="shared" si="5"/>
        <v>3.6083333333333329</v>
      </c>
      <c r="I84" s="27" t="str">
        <f>IF(ISBLANK(J84),"",Settings!$B$14)</f>
        <v>$</v>
      </c>
      <c r="J84" s="96">
        <v>10.25</v>
      </c>
      <c r="K84" s="48" t="str">
        <f>IF(OR(ISBLANK(L84),L84=""),"",Settings!$B$14)</f>
        <v>$</v>
      </c>
      <c r="L84" s="30">
        <f t="shared" si="6"/>
        <v>61.5</v>
      </c>
      <c r="M84" s="83"/>
      <c r="N84" s="83"/>
      <c r="O84" s="83"/>
    </row>
    <row r="85" spans="1:15" s="29" customFormat="1" ht="15" customHeight="1">
      <c r="A85" s="95" t="s">
        <v>117</v>
      </c>
      <c r="B85" s="95" t="s">
        <v>156</v>
      </c>
      <c r="C85" s="95" t="s">
        <v>116</v>
      </c>
      <c r="D85" s="47">
        <f t="shared" si="4"/>
        <v>12</v>
      </c>
      <c r="E85" s="27" t="str">
        <f>IF(ISBLANK(F85),"",Settings!$B$14)</f>
        <v>$</v>
      </c>
      <c r="F85" s="96">
        <v>12.2</v>
      </c>
      <c r="G85" s="48" t="str">
        <f>IF(OR(ISBLANK(H85),H85=""),"",Settings!$B$14)</f>
        <v>$</v>
      </c>
      <c r="H85" s="49">
        <f t="shared" si="5"/>
        <v>1.0166666666666666</v>
      </c>
      <c r="I85" s="27" t="str">
        <f>IF(ISBLANK(J85),"",Settings!$B$14)</f>
        <v>$</v>
      </c>
      <c r="J85" s="96">
        <v>5.4</v>
      </c>
      <c r="K85" s="48" t="str">
        <f>IF(OR(ISBLANK(L85),L85=""),"",Settings!$B$14)</f>
        <v>$</v>
      </c>
      <c r="L85" s="30">
        <f t="shared" si="6"/>
        <v>64.800000000000011</v>
      </c>
      <c r="M85" s="83"/>
      <c r="N85" s="83"/>
      <c r="O85" s="83"/>
    </row>
    <row r="86" spans="1:15" s="29" customFormat="1" ht="15" customHeight="1">
      <c r="A86" s="95" t="s">
        <v>50</v>
      </c>
      <c r="B86" s="95" t="s">
        <v>159</v>
      </c>
      <c r="C86" s="95" t="s">
        <v>115</v>
      </c>
      <c r="D86" s="47">
        <f t="shared" si="4"/>
        <v>6</v>
      </c>
      <c r="E86" s="27" t="str">
        <f>IF(ISBLANK(F86),"",Settings!$B$14)</f>
        <v>$</v>
      </c>
      <c r="F86" s="96">
        <v>18.649999999999999</v>
      </c>
      <c r="G86" s="48" t="str">
        <f>IF(OR(ISBLANK(H86),H86=""),"",Settings!$B$14)</f>
        <v>$</v>
      </c>
      <c r="H86" s="49">
        <f t="shared" si="5"/>
        <v>3.1083333333333329</v>
      </c>
      <c r="I86" s="27" t="str">
        <f>IF(ISBLANK(J86),"",Settings!$B$14)</f>
        <v>$</v>
      </c>
      <c r="J86" s="96">
        <v>11.25</v>
      </c>
      <c r="K86" s="48" t="str">
        <f>IF(OR(ISBLANK(L86),L86=""),"",Settings!$B$14)</f>
        <v>$</v>
      </c>
      <c r="L86" s="30">
        <f t="shared" si="6"/>
        <v>67.5</v>
      </c>
      <c r="M86" s="83"/>
      <c r="N86" s="83"/>
      <c r="O86" s="83"/>
    </row>
    <row r="87" spans="1:15" s="29" customFormat="1" ht="15" customHeight="1">
      <c r="A87" s="95" t="s">
        <v>51</v>
      </c>
      <c r="B87" s="95" t="s">
        <v>156</v>
      </c>
      <c r="C87" s="95" t="s">
        <v>115</v>
      </c>
      <c r="D87" s="47">
        <f t="shared" si="4"/>
        <v>12</v>
      </c>
      <c r="E87" s="27" t="str">
        <f>IF(ISBLANK(F87),"",Settings!$B$14)</f>
        <v>$</v>
      </c>
      <c r="F87" s="96">
        <v>32.4</v>
      </c>
      <c r="G87" s="48" t="str">
        <f>IF(OR(ISBLANK(H87),H87=""),"",Settings!$B$14)</f>
        <v>$</v>
      </c>
      <c r="H87" s="49">
        <f t="shared" si="5"/>
        <v>2.6999999999999997</v>
      </c>
      <c r="I87" s="27" t="str">
        <f>IF(ISBLANK(J87),"",Settings!$B$14)</f>
        <v>$</v>
      </c>
      <c r="J87" s="96">
        <v>11.75</v>
      </c>
      <c r="K87" s="48" t="str">
        <f>IF(OR(ISBLANK(L87),L87=""),"",Settings!$B$14)</f>
        <v>$</v>
      </c>
      <c r="L87" s="30">
        <f t="shared" si="6"/>
        <v>141</v>
      </c>
      <c r="M87" s="83"/>
      <c r="N87" s="83"/>
      <c r="O87" s="83"/>
    </row>
    <row r="88" spans="1:15" s="29" customFormat="1" ht="15" customHeight="1">
      <c r="A88" s="95" t="s">
        <v>52</v>
      </c>
      <c r="B88" s="95" t="s">
        <v>156</v>
      </c>
      <c r="C88" s="95" t="s">
        <v>115</v>
      </c>
      <c r="D88" s="47">
        <f t="shared" si="4"/>
        <v>12</v>
      </c>
      <c r="E88" s="27" t="str">
        <f>IF(ISBLANK(F88),"",Settings!$B$14)</f>
        <v>$</v>
      </c>
      <c r="F88" s="96">
        <v>34.5</v>
      </c>
      <c r="G88" s="48" t="str">
        <f>IF(OR(ISBLANK(H88),H88=""),"",Settings!$B$14)</f>
        <v>$</v>
      </c>
      <c r="H88" s="49">
        <f t="shared" si="5"/>
        <v>2.875</v>
      </c>
      <c r="I88" s="27" t="str">
        <f>IF(ISBLANK(J88),"",Settings!$B$14)</f>
        <v>$</v>
      </c>
      <c r="J88" s="96">
        <v>10.75</v>
      </c>
      <c r="K88" s="48" t="str">
        <f>IF(OR(ISBLANK(L88),L88=""),"",Settings!$B$14)</f>
        <v>$</v>
      </c>
      <c r="L88" s="30">
        <f t="shared" si="6"/>
        <v>129</v>
      </c>
      <c r="M88" s="83"/>
      <c r="N88" s="83"/>
      <c r="O88" s="83"/>
    </row>
    <row r="89" spans="1:15" s="29" customFormat="1" ht="15" customHeight="1">
      <c r="A89" s="95"/>
      <c r="B89" s="95"/>
      <c r="C89" s="95"/>
      <c r="D89" s="47" t="str">
        <f t="shared" si="4"/>
        <v/>
      </c>
      <c r="E89" s="27" t="str">
        <f>IF(ISBLANK(F89),"",Settings!$B$14)</f>
        <v/>
      </c>
      <c r="F89" s="96"/>
      <c r="G89" s="48" t="str">
        <f>IF(OR(ISBLANK(H89),H89=""),"",Settings!$B$14)</f>
        <v/>
      </c>
      <c r="H89" s="49" t="str">
        <f t="shared" si="5"/>
        <v/>
      </c>
      <c r="I89" s="27" t="str">
        <f>IF(ISBLANK(J89),"",Settings!$B$14)</f>
        <v/>
      </c>
      <c r="J89" s="96"/>
      <c r="K89" s="48" t="str">
        <f>IF(OR(ISBLANK(L89),L89=""),"",Settings!$B$14)</f>
        <v/>
      </c>
      <c r="L89" s="30" t="str">
        <f t="shared" si="6"/>
        <v/>
      </c>
      <c r="M89" s="83"/>
      <c r="N89" s="83"/>
      <c r="O89" s="83"/>
    </row>
    <row r="90" spans="1:15" s="29" customFormat="1" ht="15" customHeight="1">
      <c r="A90" s="95"/>
      <c r="B90" s="95"/>
      <c r="C90" s="95"/>
      <c r="D90" s="47" t="str">
        <f t="shared" si="4"/>
        <v/>
      </c>
      <c r="E90" s="27" t="str">
        <f>IF(ISBLANK(F90),"",Settings!$B$14)</f>
        <v/>
      </c>
      <c r="F90" s="96"/>
      <c r="G90" s="48" t="str">
        <f>IF(OR(ISBLANK(H90),H90=""),"",Settings!$B$14)</f>
        <v/>
      </c>
      <c r="H90" s="49" t="str">
        <f t="shared" si="5"/>
        <v/>
      </c>
      <c r="I90" s="27" t="str">
        <f>IF(ISBLANK(J90),"",Settings!$B$14)</f>
        <v/>
      </c>
      <c r="J90" s="96"/>
      <c r="K90" s="48" t="str">
        <f>IF(OR(ISBLANK(L90),L90=""),"",Settings!$B$14)</f>
        <v/>
      </c>
      <c r="L90" s="30" t="str">
        <f t="shared" si="6"/>
        <v/>
      </c>
      <c r="M90" s="83"/>
      <c r="N90" s="83"/>
      <c r="O90" s="83"/>
    </row>
    <row r="91" spans="1:15" s="29" customFormat="1" ht="15" customHeight="1">
      <c r="A91" s="95"/>
      <c r="B91" s="95"/>
      <c r="C91" s="95"/>
      <c r="D91" s="47" t="str">
        <f t="shared" si="4"/>
        <v/>
      </c>
      <c r="E91" s="27" t="str">
        <f>IF(ISBLANK(F91),"",Settings!$B$14)</f>
        <v/>
      </c>
      <c r="F91" s="96"/>
      <c r="G91" s="48" t="str">
        <f>IF(OR(ISBLANK(H91),H91=""),"",Settings!$B$14)</f>
        <v/>
      </c>
      <c r="H91" s="49" t="str">
        <f t="shared" si="5"/>
        <v/>
      </c>
      <c r="I91" s="27" t="str">
        <f>IF(ISBLANK(J91),"",Settings!$B$14)</f>
        <v/>
      </c>
      <c r="J91" s="96"/>
      <c r="K91" s="48" t="str">
        <f>IF(OR(ISBLANK(L91),L91=""),"",Settings!$B$14)</f>
        <v/>
      </c>
      <c r="L91" s="30" t="str">
        <f t="shared" si="6"/>
        <v/>
      </c>
      <c r="M91" s="83"/>
      <c r="N91" s="83"/>
      <c r="O91" s="83"/>
    </row>
    <row r="92" spans="1:15" s="29" customFormat="1" ht="15" customHeight="1">
      <c r="A92" s="95"/>
      <c r="B92" s="95"/>
      <c r="C92" s="95"/>
      <c r="D92" s="47" t="str">
        <f t="shared" si="4"/>
        <v/>
      </c>
      <c r="E92" s="27" t="str">
        <f>IF(ISBLANK(F92),"",Settings!$B$14)</f>
        <v/>
      </c>
      <c r="F92" s="96"/>
      <c r="G92" s="48" t="str">
        <f>IF(OR(ISBLANK(H92),H92=""),"",Settings!$B$14)</f>
        <v/>
      </c>
      <c r="H92" s="49" t="str">
        <f t="shared" si="5"/>
        <v/>
      </c>
      <c r="I92" s="27" t="str">
        <f>IF(ISBLANK(J92),"",Settings!$B$14)</f>
        <v/>
      </c>
      <c r="J92" s="96"/>
      <c r="K92" s="48" t="str">
        <f>IF(OR(ISBLANK(L92),L92=""),"",Settings!$B$14)</f>
        <v/>
      </c>
      <c r="L92" s="30" t="str">
        <f t="shared" si="6"/>
        <v/>
      </c>
      <c r="M92" s="83"/>
      <c r="N92" s="83"/>
      <c r="O92" s="83"/>
    </row>
    <row r="93" spans="1:15" s="29" customFormat="1" ht="15" customHeight="1">
      <c r="A93" s="95"/>
      <c r="B93" s="95"/>
      <c r="C93" s="95"/>
      <c r="D93" s="47" t="str">
        <f t="shared" si="4"/>
        <v/>
      </c>
      <c r="E93" s="27" t="str">
        <f>IF(ISBLANK(F93),"",Settings!$B$14)</f>
        <v/>
      </c>
      <c r="F93" s="96"/>
      <c r="G93" s="48" t="str">
        <f>IF(OR(ISBLANK(H93),H93=""),"",Settings!$B$14)</f>
        <v/>
      </c>
      <c r="H93" s="49" t="str">
        <f t="shared" si="5"/>
        <v/>
      </c>
      <c r="I93" s="27" t="str">
        <f>IF(ISBLANK(J93),"",Settings!$B$14)</f>
        <v/>
      </c>
      <c r="J93" s="96"/>
      <c r="K93" s="48" t="str">
        <f>IF(OR(ISBLANK(L93),L93=""),"",Settings!$B$14)</f>
        <v/>
      </c>
      <c r="L93" s="30" t="str">
        <f t="shared" si="6"/>
        <v/>
      </c>
      <c r="M93" s="83"/>
      <c r="N93" s="83"/>
      <c r="O93" s="83"/>
    </row>
    <row r="94" spans="1:15" s="29" customFormat="1" ht="15" customHeight="1">
      <c r="A94" s="95"/>
      <c r="B94" s="95"/>
      <c r="C94" s="95"/>
      <c r="D94" s="47" t="str">
        <f t="shared" si="4"/>
        <v/>
      </c>
      <c r="E94" s="27" t="str">
        <f>IF(ISBLANK(F94),"",Settings!$B$14)</f>
        <v/>
      </c>
      <c r="F94" s="96"/>
      <c r="G94" s="48" t="str">
        <f>IF(OR(ISBLANK(H94),H94=""),"",Settings!$B$14)</f>
        <v/>
      </c>
      <c r="H94" s="49" t="str">
        <f t="shared" si="5"/>
        <v/>
      </c>
      <c r="I94" s="27" t="str">
        <f>IF(ISBLANK(J94),"",Settings!$B$14)</f>
        <v/>
      </c>
      <c r="J94" s="96"/>
      <c r="K94" s="48" t="str">
        <f>IF(OR(ISBLANK(L94),L94=""),"",Settings!$B$14)</f>
        <v/>
      </c>
      <c r="L94" s="30" t="str">
        <f t="shared" si="6"/>
        <v/>
      </c>
      <c r="M94" s="83"/>
      <c r="N94" s="83"/>
      <c r="O94" s="83"/>
    </row>
    <row r="95" spans="1:15" s="29" customFormat="1" ht="15" customHeight="1">
      <c r="A95" s="95"/>
      <c r="B95" s="95"/>
      <c r="C95" s="95"/>
      <c r="D95" s="47" t="str">
        <f t="shared" si="4"/>
        <v/>
      </c>
      <c r="E95" s="27" t="str">
        <f>IF(ISBLANK(F95),"",Settings!$B$14)</f>
        <v/>
      </c>
      <c r="F95" s="96"/>
      <c r="G95" s="48" t="str">
        <f>IF(OR(ISBLANK(H95),H95=""),"",Settings!$B$14)</f>
        <v/>
      </c>
      <c r="H95" s="49" t="str">
        <f t="shared" si="5"/>
        <v/>
      </c>
      <c r="I95" s="27" t="str">
        <f>IF(ISBLANK(J95),"",Settings!$B$14)</f>
        <v/>
      </c>
      <c r="J95" s="96"/>
      <c r="K95" s="48" t="str">
        <f>IF(OR(ISBLANK(L95),L95=""),"",Settings!$B$14)</f>
        <v/>
      </c>
      <c r="L95" s="30" t="str">
        <f t="shared" si="6"/>
        <v/>
      </c>
      <c r="M95" s="83"/>
      <c r="N95" s="83"/>
      <c r="O95" s="83"/>
    </row>
    <row r="96" spans="1:15" s="29" customFormat="1" ht="15" customHeight="1">
      <c r="A96" s="95"/>
      <c r="B96" s="95"/>
      <c r="C96" s="95"/>
      <c r="D96" s="47" t="str">
        <f t="shared" si="4"/>
        <v/>
      </c>
      <c r="E96" s="27" t="str">
        <f>IF(ISBLANK(F96),"",Settings!$B$14)</f>
        <v/>
      </c>
      <c r="F96" s="96"/>
      <c r="G96" s="48" t="str">
        <f>IF(OR(ISBLANK(H96),H96=""),"",Settings!$B$14)</f>
        <v/>
      </c>
      <c r="H96" s="49" t="str">
        <f t="shared" si="5"/>
        <v/>
      </c>
      <c r="I96" s="27" t="str">
        <f>IF(ISBLANK(J96),"",Settings!$B$14)</f>
        <v/>
      </c>
      <c r="J96" s="96"/>
      <c r="K96" s="48" t="str">
        <f>IF(OR(ISBLANK(L96),L96=""),"",Settings!$B$14)</f>
        <v/>
      </c>
      <c r="L96" s="30" t="str">
        <f t="shared" si="6"/>
        <v/>
      </c>
      <c r="M96" s="83"/>
      <c r="N96" s="83"/>
      <c r="O96" s="83"/>
    </row>
    <row r="97" spans="1:15" s="29" customFormat="1" ht="15" customHeight="1">
      <c r="A97" s="95"/>
      <c r="B97" s="95"/>
      <c r="C97" s="95"/>
      <c r="D97" s="47" t="str">
        <f t="shared" si="4"/>
        <v/>
      </c>
      <c r="E97" s="27" t="str">
        <f>IF(ISBLANK(F97),"",Settings!$B$14)</f>
        <v/>
      </c>
      <c r="F97" s="96"/>
      <c r="G97" s="48" t="str">
        <f>IF(OR(ISBLANK(H97),H97=""),"",Settings!$B$14)</f>
        <v/>
      </c>
      <c r="H97" s="49" t="str">
        <f t="shared" si="5"/>
        <v/>
      </c>
      <c r="I97" s="27" t="str">
        <f>IF(ISBLANK(J97),"",Settings!$B$14)</f>
        <v/>
      </c>
      <c r="J97" s="96"/>
      <c r="K97" s="48" t="str">
        <f>IF(OR(ISBLANK(L97),L97=""),"",Settings!$B$14)</f>
        <v/>
      </c>
      <c r="L97" s="30" t="str">
        <f t="shared" si="6"/>
        <v/>
      </c>
      <c r="M97" s="83"/>
      <c r="N97" s="83"/>
      <c r="O97" s="83"/>
    </row>
    <row r="98" spans="1:15" s="45" customFormat="1" ht="6.95" customHeight="1">
      <c r="A98" s="91"/>
      <c r="B98" s="91"/>
      <c r="C98" s="91"/>
      <c r="D98" s="94"/>
      <c r="E98" s="94"/>
      <c r="F98" s="94"/>
      <c r="G98" s="94"/>
      <c r="H98" s="94"/>
      <c r="I98" s="94"/>
      <c r="J98" s="94"/>
      <c r="K98" s="94"/>
      <c r="L98" s="94"/>
      <c r="M98" s="20"/>
      <c r="N98" s="20"/>
      <c r="O98" s="20"/>
    </row>
    <row r="99" spans="1:15" s="45" customFormat="1" ht="18" customHeight="1" thickBot="1">
      <c r="A99" s="78" t="s">
        <v>168</v>
      </c>
      <c r="B99" s="78" t="s">
        <v>96</v>
      </c>
      <c r="C99" s="78" t="s">
        <v>161</v>
      </c>
      <c r="D99" s="23" t="s">
        <v>170</v>
      </c>
      <c r="E99" s="235" t="s">
        <v>98</v>
      </c>
      <c r="F99" s="235"/>
      <c r="G99" s="235" t="s">
        <v>113</v>
      </c>
      <c r="H99" s="235"/>
      <c r="I99" s="235" t="s">
        <v>113</v>
      </c>
      <c r="J99" s="235"/>
      <c r="K99" s="235" t="s">
        <v>98</v>
      </c>
      <c r="L99" s="235"/>
      <c r="M99" s="128"/>
      <c r="N99" s="129"/>
      <c r="O99" s="20"/>
    </row>
    <row r="100" spans="1:15" s="45" customFormat="1" ht="6.95" customHeight="1" thickTop="1">
      <c r="A100" s="91"/>
      <c r="B100" s="91"/>
      <c r="C100" s="91"/>
      <c r="D100" s="94"/>
      <c r="E100" s="94"/>
      <c r="F100" s="94"/>
      <c r="G100" s="94"/>
      <c r="H100" s="94"/>
      <c r="I100" s="94"/>
      <c r="J100" s="94"/>
      <c r="K100" s="94"/>
      <c r="L100" s="94"/>
      <c r="M100" s="20"/>
      <c r="N100" s="20"/>
      <c r="O100" s="20"/>
    </row>
    <row r="101" spans="1:15" s="29" customFormat="1" ht="15" customHeight="1">
      <c r="A101" s="95" t="s">
        <v>104</v>
      </c>
      <c r="B101" s="95" t="s">
        <v>176</v>
      </c>
      <c r="C101" s="95" t="s">
        <v>94</v>
      </c>
      <c r="D101" s="102">
        <f t="shared" ref="D101:D106" si="7">IF(ISBLANK(C101),"",INDEX(draught_beer_size,MATCH(C101,draught_beer,0),2)*8)</f>
        <v>176</v>
      </c>
      <c r="E101" s="27" t="str">
        <f>IF(ISBLANK(F101),"",Settings!$B$14)</f>
        <v>$</v>
      </c>
      <c r="F101" s="96">
        <v>95.38</v>
      </c>
      <c r="G101" s="48" t="str">
        <f>IF(OR(ISBLANK(H101),H101=""),"",Settings!$B$14)</f>
        <v>$</v>
      </c>
      <c r="H101" s="49">
        <f t="shared" ref="H101:H106" si="8">IF(ISBLANK(F101),"",F101/D101)</f>
        <v>0.54193181818181813</v>
      </c>
      <c r="I101" s="27" t="str">
        <f>IF(ISBLANK(J101),"",Settings!$B$14)</f>
        <v>$</v>
      </c>
      <c r="J101" s="96">
        <v>2.68</v>
      </c>
      <c r="K101" s="48" t="str">
        <f>IF(OR(ISBLANK(L101),L101=""),"",Settings!$B$14)</f>
        <v>$</v>
      </c>
      <c r="L101" s="30">
        <f t="shared" ref="L101:L106" si="9">IF(ISBLANK(J101),"",D101*J101)</f>
        <v>471.68</v>
      </c>
      <c r="M101" s="83"/>
      <c r="N101" s="83"/>
      <c r="O101" s="83"/>
    </row>
    <row r="102" spans="1:15" s="29" customFormat="1" ht="15" customHeight="1">
      <c r="A102" s="95" t="s">
        <v>105</v>
      </c>
      <c r="B102" s="95" t="s">
        <v>176</v>
      </c>
      <c r="C102" s="95" t="s">
        <v>95</v>
      </c>
      <c r="D102" s="102">
        <f t="shared" si="7"/>
        <v>80</v>
      </c>
      <c r="E102" s="27" t="str">
        <f>IF(ISBLANK(F102),"",Settings!$B$14)</f>
        <v>$</v>
      </c>
      <c r="F102" s="96">
        <v>53.25</v>
      </c>
      <c r="G102" s="48" t="str">
        <f>IF(OR(ISBLANK(H102),H102=""),"",Settings!$B$14)</f>
        <v>$</v>
      </c>
      <c r="H102" s="49">
        <f t="shared" si="8"/>
        <v>0.66562500000000002</v>
      </c>
      <c r="I102" s="27" t="str">
        <f>IF(ISBLANK(J102),"",Settings!$B$14)</f>
        <v>$</v>
      </c>
      <c r="J102" s="96">
        <v>2.92</v>
      </c>
      <c r="K102" s="48" t="str">
        <f>IF(OR(ISBLANK(L102),L102=""),"",Settings!$B$14)</f>
        <v>$</v>
      </c>
      <c r="L102" s="30">
        <f t="shared" si="9"/>
        <v>233.6</v>
      </c>
      <c r="M102" s="83"/>
      <c r="N102" s="83"/>
      <c r="O102" s="83"/>
    </row>
    <row r="103" spans="1:15" s="29" customFormat="1" ht="15" customHeight="1">
      <c r="A103" s="95"/>
      <c r="B103" s="95"/>
      <c r="C103" s="95"/>
      <c r="D103" s="102" t="str">
        <f t="shared" si="7"/>
        <v/>
      </c>
      <c r="E103" s="27" t="str">
        <f>IF(ISBLANK(F103),"",Settings!$B$14)</f>
        <v/>
      </c>
      <c r="F103" s="96"/>
      <c r="G103" s="48" t="str">
        <f>IF(OR(ISBLANK(H103),H103=""),"",Settings!$B$14)</f>
        <v/>
      </c>
      <c r="H103" s="49" t="str">
        <f t="shared" si="8"/>
        <v/>
      </c>
      <c r="I103" s="27" t="str">
        <f>IF(ISBLANK(J103),"",Settings!$B$14)</f>
        <v/>
      </c>
      <c r="J103" s="96"/>
      <c r="K103" s="48" t="str">
        <f>IF(OR(ISBLANK(L103),L103=""),"",Settings!$B$14)</f>
        <v/>
      </c>
      <c r="L103" s="30" t="str">
        <f t="shared" si="9"/>
        <v/>
      </c>
      <c r="M103" s="83"/>
      <c r="N103" s="83"/>
      <c r="O103" s="83"/>
    </row>
    <row r="104" spans="1:15" s="29" customFormat="1" ht="15" customHeight="1">
      <c r="A104" s="95"/>
      <c r="B104" s="95"/>
      <c r="C104" s="95"/>
      <c r="D104" s="102" t="str">
        <f t="shared" si="7"/>
        <v/>
      </c>
      <c r="E104" s="27" t="str">
        <f>IF(ISBLANK(F104),"",Settings!$B$14)</f>
        <v/>
      </c>
      <c r="F104" s="96"/>
      <c r="G104" s="48" t="str">
        <f>IF(OR(ISBLANK(H104),H104=""),"",Settings!$B$14)</f>
        <v/>
      </c>
      <c r="H104" s="49" t="str">
        <f t="shared" si="8"/>
        <v/>
      </c>
      <c r="I104" s="27" t="str">
        <f>IF(ISBLANK(J104),"",Settings!$B$14)</f>
        <v/>
      </c>
      <c r="J104" s="96"/>
      <c r="K104" s="48" t="str">
        <f>IF(OR(ISBLANK(L104),L104=""),"",Settings!$B$14)</f>
        <v/>
      </c>
      <c r="L104" s="30" t="str">
        <f t="shared" si="9"/>
        <v/>
      </c>
      <c r="M104" s="83"/>
      <c r="N104" s="83"/>
      <c r="O104" s="83"/>
    </row>
    <row r="105" spans="1:15" s="29" customFormat="1" ht="15" customHeight="1">
      <c r="A105" s="95"/>
      <c r="B105" s="95"/>
      <c r="C105" s="95"/>
      <c r="D105" s="102" t="str">
        <f t="shared" si="7"/>
        <v/>
      </c>
      <c r="E105" s="27" t="str">
        <f>IF(ISBLANK(F105),"",Settings!$B$14)</f>
        <v/>
      </c>
      <c r="F105" s="96"/>
      <c r="G105" s="48" t="str">
        <f>IF(OR(ISBLANK(H105),H105=""),"",Settings!$B$14)</f>
        <v/>
      </c>
      <c r="H105" s="49" t="str">
        <f t="shared" si="8"/>
        <v/>
      </c>
      <c r="I105" s="27" t="str">
        <f>IF(ISBLANK(J105),"",Settings!$B$14)</f>
        <v/>
      </c>
      <c r="J105" s="96"/>
      <c r="K105" s="48" t="str">
        <f>IF(OR(ISBLANK(L105),L105=""),"",Settings!$B$14)</f>
        <v/>
      </c>
      <c r="L105" s="30" t="str">
        <f t="shared" si="9"/>
        <v/>
      </c>
      <c r="M105" s="83"/>
      <c r="N105" s="83"/>
      <c r="O105" s="83"/>
    </row>
    <row r="106" spans="1:15" s="29" customFormat="1" ht="15" customHeight="1">
      <c r="A106" s="95"/>
      <c r="B106" s="95"/>
      <c r="C106" s="95"/>
      <c r="D106" s="102" t="str">
        <f t="shared" si="7"/>
        <v/>
      </c>
      <c r="E106" s="27" t="str">
        <f>IF(ISBLANK(F106),"",Settings!$B$14)</f>
        <v/>
      </c>
      <c r="F106" s="96"/>
      <c r="G106" s="48" t="str">
        <f>IF(OR(ISBLANK(H106),H106=""),"",Settings!$B$14)</f>
        <v/>
      </c>
      <c r="H106" s="49" t="str">
        <f t="shared" si="8"/>
        <v/>
      </c>
      <c r="I106" s="27" t="str">
        <f>IF(ISBLANK(J106),"",Settings!$B$14)</f>
        <v/>
      </c>
      <c r="J106" s="96"/>
      <c r="K106" s="48" t="str">
        <f>IF(OR(ISBLANK(L106),L106=""),"",Settings!$B$14)</f>
        <v/>
      </c>
      <c r="L106" s="30" t="str">
        <f t="shared" si="9"/>
        <v/>
      </c>
      <c r="M106" s="83"/>
      <c r="N106" s="83"/>
      <c r="O106" s="83"/>
    </row>
    <row r="107" spans="1:15" s="45" customFormat="1" ht="6.95" customHeight="1">
      <c r="A107" s="91"/>
      <c r="B107" s="91"/>
      <c r="C107" s="91"/>
      <c r="D107" s="94"/>
      <c r="E107" s="94"/>
      <c r="F107" s="94"/>
      <c r="G107" s="94"/>
      <c r="H107" s="94"/>
      <c r="I107" s="94"/>
      <c r="J107" s="94"/>
      <c r="K107" s="94"/>
      <c r="L107" s="94"/>
      <c r="M107" s="20"/>
      <c r="N107" s="20"/>
      <c r="O107" s="20"/>
    </row>
    <row r="108" spans="1:15" s="45" customFormat="1" ht="18" customHeight="1" thickBot="1">
      <c r="A108" s="78" t="s">
        <v>169</v>
      </c>
      <c r="B108" s="78" t="s">
        <v>96</v>
      </c>
      <c r="C108" s="78" t="s">
        <v>161</v>
      </c>
      <c r="D108" s="23" t="s">
        <v>170</v>
      </c>
      <c r="E108" s="235" t="s">
        <v>98</v>
      </c>
      <c r="F108" s="235"/>
      <c r="G108" s="235" t="s">
        <v>113</v>
      </c>
      <c r="H108" s="235"/>
      <c r="I108" s="235" t="s">
        <v>113</v>
      </c>
      <c r="J108" s="235"/>
      <c r="K108" s="235" t="s">
        <v>98</v>
      </c>
      <c r="L108" s="235"/>
      <c r="M108" s="121"/>
      <c r="N108" s="122"/>
      <c r="O108" s="20"/>
    </row>
    <row r="109" spans="1:15" s="45" customFormat="1" ht="6.95" customHeight="1" thickTop="1">
      <c r="A109" s="91"/>
      <c r="B109" s="91"/>
      <c r="C109" s="91"/>
      <c r="D109" s="94"/>
      <c r="E109" s="94"/>
      <c r="F109" s="94"/>
      <c r="G109" s="94"/>
      <c r="H109" s="94"/>
      <c r="I109" s="94"/>
      <c r="J109" s="94"/>
      <c r="K109" s="94"/>
      <c r="L109" s="94"/>
      <c r="M109" s="20"/>
      <c r="N109" s="20"/>
      <c r="O109" s="20"/>
    </row>
    <row r="110" spans="1:15" s="29" customFormat="1" ht="15" customHeight="1">
      <c r="A110" s="95" t="s">
        <v>106</v>
      </c>
      <c r="B110" s="95" t="s">
        <v>176</v>
      </c>
      <c r="C110" s="95" t="s">
        <v>97</v>
      </c>
      <c r="D110" s="102">
        <f t="shared" ref="D110:D115" si="10">IF(ISBLANK(C110),"",INDEX(draught_beer_size,MATCH(C110,draught_beer,0),2)*8)</f>
        <v>56.8</v>
      </c>
      <c r="E110" s="27" t="str">
        <f>IF(ISBLANK(F110),"",Settings!$B$14)</f>
        <v>$</v>
      </c>
      <c r="F110" s="96">
        <v>35</v>
      </c>
      <c r="G110" s="48" t="str">
        <f>IF(OR(ISBLANK(H110),H110=""),"",Settings!$B$14)</f>
        <v>$</v>
      </c>
      <c r="H110" s="49">
        <f t="shared" ref="H110:H115" si="11">IF(ISBLANK(F110),"",F110/D110)</f>
        <v>0.61619718309859162</v>
      </c>
      <c r="I110" s="27" t="str">
        <f>IF(ISBLANK(J110),"",Settings!$B$14)</f>
        <v>$</v>
      </c>
      <c r="J110" s="96">
        <v>2.5499999999999998</v>
      </c>
      <c r="K110" s="48" t="str">
        <f>IF(OR(ISBLANK(L110),L110=""),"",Settings!$B$14)</f>
        <v>$</v>
      </c>
      <c r="L110" s="30">
        <f t="shared" ref="L110:L115" si="12">IF(ISBLANK(J110),"",D110*J110)</f>
        <v>144.83999999999997</v>
      </c>
      <c r="M110" s="83"/>
      <c r="N110" s="83"/>
      <c r="O110" s="83"/>
    </row>
    <row r="111" spans="1:15" s="29" customFormat="1" ht="15" customHeight="1">
      <c r="A111" s="95" t="s">
        <v>55</v>
      </c>
      <c r="B111" s="95" t="s">
        <v>176</v>
      </c>
      <c r="C111" s="95" t="s">
        <v>94</v>
      </c>
      <c r="D111" s="102">
        <f t="shared" si="10"/>
        <v>176</v>
      </c>
      <c r="E111" s="27" t="str">
        <f>IF(ISBLANK(F111),"",Settings!$B$14)</f>
        <v>$</v>
      </c>
      <c r="F111" s="96">
        <v>95.46</v>
      </c>
      <c r="G111" s="48" t="str">
        <f>IF(OR(ISBLANK(H111),H111=""),"",Settings!$B$14)</f>
        <v>$</v>
      </c>
      <c r="H111" s="49">
        <f t="shared" si="11"/>
        <v>0.54238636363636361</v>
      </c>
      <c r="I111" s="27" t="str">
        <f>IF(ISBLANK(J111),"",Settings!$B$14)</f>
        <v>$</v>
      </c>
      <c r="J111" s="96">
        <v>2.92</v>
      </c>
      <c r="K111" s="48" t="str">
        <f>IF(OR(ISBLANK(L111),L111=""),"",Settings!$B$14)</f>
        <v>$</v>
      </c>
      <c r="L111" s="30">
        <f t="shared" si="12"/>
        <v>513.91999999999996</v>
      </c>
      <c r="M111" s="83"/>
      <c r="N111" s="83"/>
      <c r="O111" s="83"/>
    </row>
    <row r="112" spans="1:15" s="29" customFormat="1" ht="15" customHeight="1">
      <c r="A112" s="95" t="s">
        <v>55</v>
      </c>
      <c r="B112" s="95" t="s">
        <v>176</v>
      </c>
      <c r="C112" s="95" t="s">
        <v>95</v>
      </c>
      <c r="D112" s="102">
        <f t="shared" si="10"/>
        <v>80</v>
      </c>
      <c r="E112" s="27" t="str">
        <f>IF(ISBLANK(F112),"",Settings!$B$14)</f>
        <v>$</v>
      </c>
      <c r="F112" s="96">
        <v>55.4</v>
      </c>
      <c r="G112" s="48" t="str">
        <f>IF(OR(ISBLANK(H112),H112=""),"",Settings!$B$14)</f>
        <v>$</v>
      </c>
      <c r="H112" s="49">
        <f t="shared" si="11"/>
        <v>0.6925</v>
      </c>
      <c r="I112" s="27" t="str">
        <f>IF(ISBLANK(J112),"",Settings!$B$14)</f>
        <v>$</v>
      </c>
      <c r="J112" s="96">
        <v>2.92</v>
      </c>
      <c r="K112" s="48" t="str">
        <f>IF(OR(ISBLANK(L112),L112=""),"",Settings!$B$14)</f>
        <v>$</v>
      </c>
      <c r="L112" s="30">
        <f t="shared" si="12"/>
        <v>233.6</v>
      </c>
      <c r="M112" s="83"/>
      <c r="N112" s="83"/>
      <c r="O112" s="83"/>
    </row>
    <row r="113" spans="1:15" s="29" customFormat="1" ht="15" customHeight="1">
      <c r="A113" s="95"/>
      <c r="B113" s="95"/>
      <c r="C113" s="95"/>
      <c r="D113" s="102" t="str">
        <f t="shared" si="10"/>
        <v/>
      </c>
      <c r="E113" s="27" t="str">
        <f>IF(ISBLANK(F113),"",Settings!$B$14)</f>
        <v/>
      </c>
      <c r="F113" s="96"/>
      <c r="G113" s="48" t="str">
        <f>IF(OR(ISBLANK(H113),H113=""),"",Settings!$B$14)</f>
        <v/>
      </c>
      <c r="H113" s="49" t="str">
        <f t="shared" si="11"/>
        <v/>
      </c>
      <c r="I113" s="27" t="str">
        <f>IF(ISBLANK(J113),"",Settings!$B$14)</f>
        <v/>
      </c>
      <c r="J113" s="96"/>
      <c r="K113" s="48" t="str">
        <f>IF(OR(ISBLANK(L113),L113=""),"",Settings!$B$14)</f>
        <v/>
      </c>
      <c r="L113" s="30" t="str">
        <f t="shared" si="12"/>
        <v/>
      </c>
      <c r="M113" s="83"/>
      <c r="N113" s="83"/>
      <c r="O113" s="83"/>
    </row>
    <row r="114" spans="1:15" s="29" customFormat="1" ht="15" customHeight="1">
      <c r="A114" s="95"/>
      <c r="B114" s="95"/>
      <c r="C114" s="95"/>
      <c r="D114" s="102" t="str">
        <f t="shared" si="10"/>
        <v/>
      </c>
      <c r="E114" s="27" t="str">
        <f>IF(ISBLANK(F114),"",Settings!$B$14)</f>
        <v/>
      </c>
      <c r="F114" s="96"/>
      <c r="G114" s="48" t="str">
        <f>IF(OR(ISBLANK(H114),H114=""),"",Settings!$B$14)</f>
        <v/>
      </c>
      <c r="H114" s="49" t="str">
        <f t="shared" si="11"/>
        <v/>
      </c>
      <c r="I114" s="27" t="str">
        <f>IF(ISBLANK(J114),"",Settings!$B$14)</f>
        <v/>
      </c>
      <c r="J114" s="96"/>
      <c r="K114" s="48" t="str">
        <f>IF(OR(ISBLANK(L114),L114=""),"",Settings!$B$14)</f>
        <v/>
      </c>
      <c r="L114" s="30" t="str">
        <f t="shared" si="12"/>
        <v/>
      </c>
      <c r="M114" s="83"/>
      <c r="N114" s="83"/>
      <c r="O114" s="83"/>
    </row>
    <row r="115" spans="1:15" s="29" customFormat="1" ht="15" customHeight="1">
      <c r="A115" s="95"/>
      <c r="B115" s="95"/>
      <c r="C115" s="95"/>
      <c r="D115" s="102" t="str">
        <f t="shared" si="10"/>
        <v/>
      </c>
      <c r="E115" s="27" t="str">
        <f>IF(ISBLANK(F115),"",Settings!$B$14)</f>
        <v/>
      </c>
      <c r="F115" s="96"/>
      <c r="G115" s="48" t="str">
        <f>IF(OR(ISBLANK(H115),H115=""),"",Settings!$B$14)</f>
        <v/>
      </c>
      <c r="H115" s="49" t="str">
        <f t="shared" si="11"/>
        <v/>
      </c>
      <c r="I115" s="27" t="str">
        <f>IF(ISBLANK(J115),"",Settings!$B$14)</f>
        <v/>
      </c>
      <c r="J115" s="96"/>
      <c r="K115" s="48" t="str">
        <f>IF(OR(ISBLANK(L115),L115=""),"",Settings!$B$14)</f>
        <v/>
      </c>
      <c r="L115" s="30" t="str">
        <f t="shared" si="12"/>
        <v/>
      </c>
      <c r="M115" s="83"/>
      <c r="N115" s="83"/>
      <c r="O115" s="83"/>
    </row>
    <row r="116" spans="1:15" s="45" customFormat="1" ht="6.95" customHeight="1">
      <c r="A116" s="91"/>
      <c r="B116" s="91"/>
      <c r="C116" s="91"/>
      <c r="D116" s="94"/>
      <c r="E116" s="94"/>
      <c r="F116" s="94"/>
      <c r="G116" s="94"/>
      <c r="H116" s="94"/>
      <c r="I116" s="94"/>
      <c r="J116" s="94"/>
      <c r="K116" s="94"/>
      <c r="L116" s="94"/>
      <c r="M116" s="20"/>
      <c r="N116" s="20"/>
      <c r="O116" s="20"/>
    </row>
    <row r="117" spans="1:15" s="45" customFormat="1" ht="18" customHeight="1" thickBot="1">
      <c r="A117" s="78" t="s">
        <v>171</v>
      </c>
      <c r="B117" s="78" t="s">
        <v>99</v>
      </c>
      <c r="C117" s="78" t="s">
        <v>161</v>
      </c>
      <c r="D117" s="23" t="s">
        <v>67</v>
      </c>
      <c r="E117" s="235" t="s">
        <v>109</v>
      </c>
      <c r="F117" s="235"/>
      <c r="G117" s="235" t="s">
        <v>86</v>
      </c>
      <c r="H117" s="235"/>
      <c r="I117" s="235" t="s">
        <v>99</v>
      </c>
      <c r="J117" s="235"/>
      <c r="K117" s="235" t="s">
        <v>109</v>
      </c>
      <c r="L117" s="235"/>
      <c r="M117" s="121"/>
      <c r="N117" s="122"/>
      <c r="O117" s="20"/>
    </row>
    <row r="118" spans="1:15" s="45" customFormat="1" ht="6.95" customHeight="1" thickTop="1">
      <c r="A118" s="91"/>
      <c r="B118" s="91"/>
      <c r="C118" s="91"/>
      <c r="D118" s="94"/>
      <c r="E118" s="94"/>
      <c r="F118" s="94"/>
      <c r="G118" s="94"/>
      <c r="H118" s="94"/>
      <c r="I118" s="94"/>
      <c r="J118" s="94"/>
      <c r="K118" s="94"/>
      <c r="L118" s="94"/>
      <c r="M118" s="20"/>
      <c r="N118" s="20"/>
      <c r="O118" s="20"/>
    </row>
    <row r="119" spans="1:15" s="29" customFormat="1" ht="15" customHeight="1">
      <c r="A119" s="95" t="s">
        <v>53</v>
      </c>
      <c r="B119" s="95" t="s">
        <v>155</v>
      </c>
      <c r="C119" s="95" t="s">
        <v>54</v>
      </c>
      <c r="D119" s="47">
        <f t="shared" ref="D119:D134" si="13">IF(ISBLANK(B119),"",INDEX(case_size,MATCH(B119,case,0),2))</f>
        <v>24</v>
      </c>
      <c r="E119" s="27" t="str">
        <f>IF(ISBLANK(F119),"",Settings!$B$14)</f>
        <v>$</v>
      </c>
      <c r="F119" s="96">
        <v>13.32</v>
      </c>
      <c r="G119" s="48" t="str">
        <f>IF(OR(ISBLANK(H119),H119=""),"",Settings!$B$14)</f>
        <v>$</v>
      </c>
      <c r="H119" s="49">
        <f t="shared" ref="H119:H134" si="14">IF(ISBLANK(F119),"",F119/D119)</f>
        <v>0.55500000000000005</v>
      </c>
      <c r="I119" s="27" t="str">
        <f>IF(ISBLANK(J119),"",Settings!$B$14)</f>
        <v>$</v>
      </c>
      <c r="J119" s="96">
        <v>2.72</v>
      </c>
      <c r="K119" s="48" t="str">
        <f>IF(OR(ISBLANK(L119),L119=""),"",Settings!$B$14)</f>
        <v>$</v>
      </c>
      <c r="L119" s="30">
        <f t="shared" ref="L119:L134" si="15">IF(ISBLANK(J119),"",J119*D119)</f>
        <v>65.28</v>
      </c>
      <c r="M119" s="83"/>
      <c r="N119" s="83"/>
      <c r="O119" s="83"/>
    </row>
    <row r="120" spans="1:15" s="29" customFormat="1" ht="15" customHeight="1">
      <c r="A120" s="95" t="s">
        <v>55</v>
      </c>
      <c r="B120" s="95" t="s">
        <v>155</v>
      </c>
      <c r="C120" s="95" t="s">
        <v>54</v>
      </c>
      <c r="D120" s="47">
        <f t="shared" si="13"/>
        <v>24</v>
      </c>
      <c r="E120" s="27" t="str">
        <f>IF(ISBLANK(F120),"",Settings!$B$14)</f>
        <v>$</v>
      </c>
      <c r="F120" s="96">
        <v>10.56</v>
      </c>
      <c r="G120" s="48" t="str">
        <f>IF(OR(ISBLANK(H120),H120=""),"",Settings!$B$14)</f>
        <v>$</v>
      </c>
      <c r="H120" s="49">
        <f t="shared" si="14"/>
        <v>0.44</v>
      </c>
      <c r="I120" s="27" t="str">
        <f>IF(ISBLANK(J120),"",Settings!$B$14)</f>
        <v>$</v>
      </c>
      <c r="J120" s="96">
        <v>2.64</v>
      </c>
      <c r="K120" s="48" t="str">
        <f>IF(OR(ISBLANK(L120),L120=""),"",Settings!$B$14)</f>
        <v>$</v>
      </c>
      <c r="L120" s="30">
        <f t="shared" si="15"/>
        <v>63.36</v>
      </c>
      <c r="M120" s="83"/>
      <c r="N120" s="83"/>
      <c r="O120" s="83"/>
    </row>
    <row r="121" spans="1:15" s="29" customFormat="1" ht="15" customHeight="1">
      <c r="A121" s="95" t="s">
        <v>56</v>
      </c>
      <c r="B121" s="95" t="s">
        <v>155</v>
      </c>
      <c r="C121" s="95" t="s">
        <v>54</v>
      </c>
      <c r="D121" s="47">
        <f t="shared" si="13"/>
        <v>24</v>
      </c>
      <c r="E121" s="27" t="str">
        <f>IF(ISBLANK(F121),"",Settings!$B$14)</f>
        <v>$</v>
      </c>
      <c r="F121" s="96">
        <v>17.22</v>
      </c>
      <c r="G121" s="48" t="str">
        <f>IF(OR(ISBLANK(H121),H121=""),"",Settings!$B$14)</f>
        <v>$</v>
      </c>
      <c r="H121" s="49">
        <f t="shared" si="14"/>
        <v>0.71749999999999992</v>
      </c>
      <c r="I121" s="27" t="str">
        <f>IF(ISBLANK(J121),"",Settings!$B$14)</f>
        <v>$</v>
      </c>
      <c r="J121" s="96">
        <v>2.93</v>
      </c>
      <c r="K121" s="48" t="str">
        <f>IF(OR(ISBLANK(L121),L121=""),"",Settings!$B$14)</f>
        <v>$</v>
      </c>
      <c r="L121" s="30">
        <f t="shared" si="15"/>
        <v>70.320000000000007</v>
      </c>
      <c r="M121" s="83"/>
      <c r="N121" s="83"/>
      <c r="O121" s="83"/>
    </row>
    <row r="122" spans="1:15" s="29" customFormat="1" ht="15" customHeight="1">
      <c r="A122" s="95" t="s">
        <v>57</v>
      </c>
      <c r="B122" s="95" t="s">
        <v>155</v>
      </c>
      <c r="C122" s="95" t="s">
        <v>58</v>
      </c>
      <c r="D122" s="47">
        <f t="shared" si="13"/>
        <v>24</v>
      </c>
      <c r="E122" s="27" t="str">
        <f>IF(ISBLANK(F122),"",Settings!$B$14)</f>
        <v>$</v>
      </c>
      <c r="F122" s="96">
        <v>14.1</v>
      </c>
      <c r="G122" s="48" t="str">
        <f>IF(OR(ISBLANK(H122),H122=""),"",Settings!$B$14)</f>
        <v>$</v>
      </c>
      <c r="H122" s="49">
        <f t="shared" si="14"/>
        <v>0.58750000000000002</v>
      </c>
      <c r="I122" s="27" t="str">
        <f>IF(ISBLANK(J122),"",Settings!$B$14)</f>
        <v>$</v>
      </c>
      <c r="J122" s="96">
        <v>2.72</v>
      </c>
      <c r="K122" s="48" t="str">
        <f>IF(OR(ISBLANK(L122),L122=""),"",Settings!$B$14)</f>
        <v>$</v>
      </c>
      <c r="L122" s="30">
        <f t="shared" si="15"/>
        <v>65.28</v>
      </c>
      <c r="M122" s="83"/>
      <c r="N122" s="83"/>
      <c r="O122" s="83"/>
    </row>
    <row r="123" spans="1:15" s="29" customFormat="1" ht="15" customHeight="1">
      <c r="A123" s="95" t="s">
        <v>59</v>
      </c>
      <c r="B123" s="95" t="s">
        <v>156</v>
      </c>
      <c r="C123" s="95" t="s">
        <v>60</v>
      </c>
      <c r="D123" s="47">
        <f t="shared" si="13"/>
        <v>12</v>
      </c>
      <c r="E123" s="27" t="str">
        <f>IF(ISBLANK(F123),"",Settings!$B$14)</f>
        <v>$</v>
      </c>
      <c r="F123" s="96">
        <v>26.34</v>
      </c>
      <c r="G123" s="48" t="str">
        <f>IF(OR(ISBLANK(H123),H123=""),"",Settings!$B$14)</f>
        <v>$</v>
      </c>
      <c r="H123" s="49">
        <f t="shared" si="14"/>
        <v>2.1949999999999998</v>
      </c>
      <c r="I123" s="27" t="str">
        <f>IF(ISBLANK(J123),"",Settings!$B$14)</f>
        <v>$</v>
      </c>
      <c r="J123" s="96">
        <v>2.85</v>
      </c>
      <c r="K123" s="48" t="str">
        <f>IF(OR(ISBLANK(L123),L123=""),"",Settings!$B$14)</f>
        <v>$</v>
      </c>
      <c r="L123" s="30">
        <f t="shared" si="15"/>
        <v>34.200000000000003</v>
      </c>
      <c r="M123" s="83"/>
      <c r="N123" s="83"/>
      <c r="O123" s="83"/>
    </row>
    <row r="124" spans="1:15" s="29" customFormat="1" ht="15" customHeight="1">
      <c r="A124" s="95" t="s">
        <v>61</v>
      </c>
      <c r="B124" s="95" t="s">
        <v>155</v>
      </c>
      <c r="C124" s="95" t="s">
        <v>58</v>
      </c>
      <c r="D124" s="47">
        <f t="shared" si="13"/>
        <v>24</v>
      </c>
      <c r="E124" s="27" t="str">
        <f>IF(ISBLANK(F124),"",Settings!$B$14)</f>
        <v>$</v>
      </c>
      <c r="F124" s="96">
        <v>19.2</v>
      </c>
      <c r="G124" s="48" t="str">
        <f>IF(OR(ISBLANK(H124),H124=""),"",Settings!$B$14)</f>
        <v>$</v>
      </c>
      <c r="H124" s="49">
        <f t="shared" si="14"/>
        <v>0.79999999999999993</v>
      </c>
      <c r="I124" s="27" t="str">
        <f>IF(ISBLANK(J124),"",Settings!$B$14)</f>
        <v>$</v>
      </c>
      <c r="J124" s="96">
        <v>2.85</v>
      </c>
      <c r="K124" s="48" t="str">
        <f>IF(OR(ISBLANK(L124),L124=""),"",Settings!$B$14)</f>
        <v>$</v>
      </c>
      <c r="L124" s="30">
        <f t="shared" si="15"/>
        <v>68.400000000000006</v>
      </c>
      <c r="M124" s="83"/>
      <c r="N124" s="83"/>
      <c r="O124" s="83"/>
    </row>
    <row r="125" spans="1:15" s="29" customFormat="1" ht="15" customHeight="1">
      <c r="A125" s="95" t="s">
        <v>62</v>
      </c>
      <c r="B125" s="95" t="s">
        <v>155</v>
      </c>
      <c r="C125" s="95" t="s">
        <v>58</v>
      </c>
      <c r="D125" s="47">
        <f t="shared" si="13"/>
        <v>24</v>
      </c>
      <c r="E125" s="27" t="str">
        <f>IF(ISBLANK(F125),"",Settings!$B$14)</f>
        <v>$</v>
      </c>
      <c r="F125" s="96">
        <v>19.440000000000001</v>
      </c>
      <c r="G125" s="48" t="str">
        <f>IF(OR(ISBLANK(H125),H125=""),"",Settings!$B$14)</f>
        <v>$</v>
      </c>
      <c r="H125" s="49">
        <f t="shared" si="14"/>
        <v>0.81</v>
      </c>
      <c r="I125" s="27" t="str">
        <f>IF(ISBLANK(J125),"",Settings!$B$14)</f>
        <v>$</v>
      </c>
      <c r="J125" s="96">
        <v>2.85</v>
      </c>
      <c r="K125" s="48" t="str">
        <f>IF(OR(ISBLANK(L125),L125=""),"",Settings!$B$14)</f>
        <v>$</v>
      </c>
      <c r="L125" s="30">
        <f t="shared" si="15"/>
        <v>68.400000000000006</v>
      </c>
      <c r="M125" s="83"/>
      <c r="N125" s="83"/>
      <c r="O125" s="83"/>
    </row>
    <row r="126" spans="1:15" s="29" customFormat="1" ht="15" customHeight="1">
      <c r="A126" s="95" t="s">
        <v>63</v>
      </c>
      <c r="B126" s="95" t="s">
        <v>155</v>
      </c>
      <c r="C126" s="95" t="s">
        <v>58</v>
      </c>
      <c r="D126" s="47">
        <f t="shared" si="13"/>
        <v>24</v>
      </c>
      <c r="E126" s="27" t="str">
        <f>IF(ISBLANK(F126),"",Settings!$B$14)</f>
        <v>$</v>
      </c>
      <c r="F126" s="96">
        <v>21.86</v>
      </c>
      <c r="G126" s="48" t="str">
        <f>IF(OR(ISBLANK(H126),H126=""),"",Settings!$B$14)</f>
        <v>$</v>
      </c>
      <c r="H126" s="49">
        <f t="shared" si="14"/>
        <v>0.91083333333333327</v>
      </c>
      <c r="I126" s="27" t="str">
        <f>IF(ISBLANK(J126),"",Settings!$B$14)</f>
        <v>$</v>
      </c>
      <c r="J126" s="96">
        <v>2.98</v>
      </c>
      <c r="K126" s="48" t="str">
        <f>IF(OR(ISBLANK(L126),L126=""),"",Settings!$B$14)</f>
        <v>$</v>
      </c>
      <c r="L126" s="30">
        <f t="shared" si="15"/>
        <v>71.52</v>
      </c>
      <c r="M126" s="83"/>
      <c r="N126" s="83"/>
      <c r="O126" s="83"/>
    </row>
    <row r="127" spans="1:15" s="29" customFormat="1" ht="15" customHeight="1">
      <c r="A127" s="95"/>
      <c r="B127" s="95"/>
      <c r="C127" s="95"/>
      <c r="D127" s="47" t="str">
        <f t="shared" si="13"/>
        <v/>
      </c>
      <c r="E127" s="27" t="str">
        <f>IF(ISBLANK(F127),"",Settings!$B$14)</f>
        <v/>
      </c>
      <c r="F127" s="96"/>
      <c r="G127" s="48" t="str">
        <f>IF(OR(ISBLANK(H127),H127=""),"",Settings!$B$14)</f>
        <v/>
      </c>
      <c r="H127" s="49" t="str">
        <f t="shared" si="14"/>
        <v/>
      </c>
      <c r="I127" s="27" t="str">
        <f>IF(ISBLANK(J127),"",Settings!$B$14)</f>
        <v/>
      </c>
      <c r="J127" s="96"/>
      <c r="K127" s="48" t="str">
        <f>IF(OR(ISBLANK(L127),L127=""),"",Settings!$B$14)</f>
        <v/>
      </c>
      <c r="L127" s="30" t="str">
        <f t="shared" si="15"/>
        <v/>
      </c>
      <c r="M127" s="83"/>
      <c r="N127" s="83"/>
      <c r="O127" s="83"/>
    </row>
    <row r="128" spans="1:15" s="29" customFormat="1" ht="15" customHeight="1">
      <c r="A128" s="95"/>
      <c r="B128" s="95"/>
      <c r="C128" s="95"/>
      <c r="D128" s="47" t="str">
        <f t="shared" si="13"/>
        <v/>
      </c>
      <c r="E128" s="27" t="str">
        <f>IF(ISBLANK(F128),"",Settings!$B$14)</f>
        <v/>
      </c>
      <c r="F128" s="96"/>
      <c r="G128" s="48" t="str">
        <f>IF(OR(ISBLANK(H128),H128=""),"",Settings!$B$14)</f>
        <v/>
      </c>
      <c r="H128" s="49" t="str">
        <f t="shared" si="14"/>
        <v/>
      </c>
      <c r="I128" s="27" t="str">
        <f>IF(ISBLANK(J128),"",Settings!$B$14)</f>
        <v/>
      </c>
      <c r="J128" s="96"/>
      <c r="K128" s="48" t="str">
        <f>IF(OR(ISBLANK(L128),L128=""),"",Settings!$B$14)</f>
        <v/>
      </c>
      <c r="L128" s="30" t="str">
        <f t="shared" si="15"/>
        <v/>
      </c>
      <c r="M128" s="83"/>
      <c r="N128" s="83"/>
      <c r="O128" s="83"/>
    </row>
    <row r="129" spans="1:15" s="29" customFormat="1" ht="15" customHeight="1">
      <c r="A129" s="95"/>
      <c r="B129" s="95"/>
      <c r="C129" s="95"/>
      <c r="D129" s="47" t="str">
        <f t="shared" si="13"/>
        <v/>
      </c>
      <c r="E129" s="27" t="str">
        <f>IF(ISBLANK(F129),"",Settings!$B$14)</f>
        <v/>
      </c>
      <c r="F129" s="96"/>
      <c r="G129" s="48" t="str">
        <f>IF(OR(ISBLANK(H129),H129=""),"",Settings!$B$14)</f>
        <v/>
      </c>
      <c r="H129" s="49" t="str">
        <f t="shared" si="14"/>
        <v/>
      </c>
      <c r="I129" s="27" t="str">
        <f>IF(ISBLANK(J129),"",Settings!$B$14)</f>
        <v/>
      </c>
      <c r="J129" s="96"/>
      <c r="K129" s="48" t="str">
        <f>IF(OR(ISBLANK(L129),L129=""),"",Settings!$B$14)</f>
        <v/>
      </c>
      <c r="L129" s="30" t="str">
        <f t="shared" si="15"/>
        <v/>
      </c>
      <c r="M129" s="83"/>
      <c r="N129" s="83"/>
      <c r="O129" s="83"/>
    </row>
    <row r="130" spans="1:15" s="29" customFormat="1" ht="15" customHeight="1">
      <c r="A130" s="95"/>
      <c r="B130" s="95"/>
      <c r="C130" s="95"/>
      <c r="D130" s="47" t="str">
        <f t="shared" si="13"/>
        <v/>
      </c>
      <c r="E130" s="27" t="str">
        <f>IF(ISBLANK(F130),"",Settings!$B$14)</f>
        <v/>
      </c>
      <c r="F130" s="96"/>
      <c r="G130" s="48" t="str">
        <f>IF(OR(ISBLANK(H130),H130=""),"",Settings!$B$14)</f>
        <v/>
      </c>
      <c r="H130" s="49" t="str">
        <f t="shared" si="14"/>
        <v/>
      </c>
      <c r="I130" s="27" t="str">
        <f>IF(ISBLANK(J130),"",Settings!$B$14)</f>
        <v/>
      </c>
      <c r="J130" s="96"/>
      <c r="K130" s="48" t="str">
        <f>IF(OR(ISBLANK(L130),L130=""),"",Settings!$B$14)</f>
        <v/>
      </c>
      <c r="L130" s="30" t="str">
        <f t="shared" si="15"/>
        <v/>
      </c>
      <c r="M130" s="83"/>
      <c r="N130" s="83"/>
      <c r="O130" s="83"/>
    </row>
    <row r="131" spans="1:15" s="29" customFormat="1" ht="15" customHeight="1">
      <c r="A131" s="95"/>
      <c r="B131" s="95"/>
      <c r="C131" s="95"/>
      <c r="D131" s="47" t="str">
        <f t="shared" si="13"/>
        <v/>
      </c>
      <c r="E131" s="27" t="str">
        <f>IF(ISBLANK(F131),"",Settings!$B$14)</f>
        <v/>
      </c>
      <c r="F131" s="96"/>
      <c r="G131" s="48" t="str">
        <f>IF(OR(ISBLANK(H131),H131=""),"",Settings!$B$14)</f>
        <v/>
      </c>
      <c r="H131" s="49" t="str">
        <f t="shared" si="14"/>
        <v/>
      </c>
      <c r="I131" s="27" t="str">
        <f>IF(ISBLANK(J131),"",Settings!$B$14)</f>
        <v/>
      </c>
      <c r="J131" s="96"/>
      <c r="K131" s="48" t="str">
        <f>IF(OR(ISBLANK(L131),L131=""),"",Settings!$B$14)</f>
        <v/>
      </c>
      <c r="L131" s="30" t="str">
        <f t="shared" si="15"/>
        <v/>
      </c>
      <c r="M131" s="83"/>
      <c r="N131" s="83"/>
      <c r="O131" s="83"/>
    </row>
    <row r="132" spans="1:15" s="29" customFormat="1" ht="15" customHeight="1">
      <c r="A132" s="95"/>
      <c r="B132" s="95"/>
      <c r="C132" s="95"/>
      <c r="D132" s="47" t="str">
        <f t="shared" si="13"/>
        <v/>
      </c>
      <c r="E132" s="27" t="str">
        <f>IF(ISBLANK(F132),"",Settings!$B$14)</f>
        <v/>
      </c>
      <c r="F132" s="96"/>
      <c r="G132" s="48" t="str">
        <f>IF(OR(ISBLANK(H132),H132=""),"",Settings!$B$14)</f>
        <v/>
      </c>
      <c r="H132" s="49" t="str">
        <f t="shared" si="14"/>
        <v/>
      </c>
      <c r="I132" s="27" t="str">
        <f>IF(ISBLANK(J132),"",Settings!$B$14)</f>
        <v/>
      </c>
      <c r="J132" s="96"/>
      <c r="K132" s="48" t="str">
        <f>IF(OR(ISBLANK(L132),L132=""),"",Settings!$B$14)</f>
        <v/>
      </c>
      <c r="L132" s="30" t="str">
        <f t="shared" si="15"/>
        <v/>
      </c>
      <c r="M132" s="83"/>
      <c r="N132" s="83"/>
      <c r="O132" s="83"/>
    </row>
    <row r="133" spans="1:15" s="29" customFormat="1" ht="15" customHeight="1">
      <c r="A133" s="95"/>
      <c r="B133" s="95"/>
      <c r="C133" s="95"/>
      <c r="D133" s="47" t="str">
        <f t="shared" si="13"/>
        <v/>
      </c>
      <c r="E133" s="27" t="str">
        <f>IF(ISBLANK(F133),"",Settings!$B$14)</f>
        <v/>
      </c>
      <c r="F133" s="96"/>
      <c r="G133" s="48" t="str">
        <f>IF(OR(ISBLANK(H133),H133=""),"",Settings!$B$14)</f>
        <v/>
      </c>
      <c r="H133" s="49" t="str">
        <f t="shared" si="14"/>
        <v/>
      </c>
      <c r="I133" s="27" t="str">
        <f>IF(ISBLANK(J133),"",Settings!$B$14)</f>
        <v/>
      </c>
      <c r="J133" s="96"/>
      <c r="K133" s="48" t="str">
        <f>IF(OR(ISBLANK(L133),L133=""),"",Settings!$B$14)</f>
        <v/>
      </c>
      <c r="L133" s="30" t="str">
        <f t="shared" si="15"/>
        <v/>
      </c>
      <c r="M133" s="83"/>
      <c r="N133" s="83"/>
      <c r="O133" s="83"/>
    </row>
    <row r="134" spans="1:15" s="29" customFormat="1" ht="15" customHeight="1">
      <c r="A134" s="95"/>
      <c r="B134" s="95"/>
      <c r="C134" s="95"/>
      <c r="D134" s="47" t="str">
        <f t="shared" si="13"/>
        <v/>
      </c>
      <c r="E134" s="27" t="str">
        <f>IF(ISBLANK(F134),"",Settings!$B$14)</f>
        <v/>
      </c>
      <c r="F134" s="96"/>
      <c r="G134" s="48" t="str">
        <f>IF(OR(ISBLANK(H134),H134=""),"",Settings!$B$14)</f>
        <v/>
      </c>
      <c r="H134" s="49" t="str">
        <f t="shared" si="14"/>
        <v/>
      </c>
      <c r="I134" s="27" t="str">
        <f>IF(ISBLANK(J134),"",Settings!$B$14)</f>
        <v/>
      </c>
      <c r="J134" s="96"/>
      <c r="K134" s="48" t="str">
        <f>IF(OR(ISBLANK(L134),L134=""),"",Settings!$B$14)</f>
        <v/>
      </c>
      <c r="L134" s="30" t="str">
        <f t="shared" si="15"/>
        <v/>
      </c>
      <c r="M134" s="83"/>
      <c r="N134" s="83"/>
      <c r="O134" s="83"/>
    </row>
    <row r="135" spans="1:15" s="45" customFormat="1" ht="6.95" customHeight="1">
      <c r="A135" s="91"/>
      <c r="B135" s="91"/>
      <c r="C135" s="91"/>
      <c r="D135" s="94"/>
      <c r="E135" s="94"/>
      <c r="F135" s="94"/>
      <c r="G135" s="94"/>
      <c r="H135" s="94"/>
      <c r="I135" s="94"/>
      <c r="J135" s="94"/>
      <c r="K135" s="94"/>
      <c r="L135" s="94"/>
      <c r="M135" s="20"/>
      <c r="N135" s="20"/>
      <c r="O135" s="20"/>
    </row>
    <row r="136" spans="1:15" s="45" customFormat="1" ht="18" customHeight="1" thickBot="1">
      <c r="A136" s="78" t="s">
        <v>172</v>
      </c>
      <c r="B136" s="78" t="s">
        <v>99</v>
      </c>
      <c r="C136" s="78" t="s">
        <v>161</v>
      </c>
      <c r="D136" s="23" t="s">
        <v>67</v>
      </c>
      <c r="E136" s="235" t="s">
        <v>109</v>
      </c>
      <c r="F136" s="235"/>
      <c r="G136" s="235" t="s">
        <v>86</v>
      </c>
      <c r="H136" s="235"/>
      <c r="I136" s="235" t="s">
        <v>99</v>
      </c>
      <c r="J136" s="235"/>
      <c r="K136" s="235" t="s">
        <v>109</v>
      </c>
      <c r="L136" s="235"/>
      <c r="M136" s="121"/>
      <c r="N136" s="122"/>
      <c r="O136" s="20"/>
    </row>
    <row r="137" spans="1:15" s="45" customFormat="1" ht="6.95" customHeight="1" thickTop="1">
      <c r="A137" s="91"/>
      <c r="B137" s="91"/>
      <c r="C137" s="91"/>
      <c r="D137" s="94"/>
      <c r="E137" s="94"/>
      <c r="F137" s="94"/>
      <c r="G137" s="94"/>
      <c r="H137" s="94"/>
      <c r="I137" s="94"/>
      <c r="J137" s="94"/>
      <c r="K137" s="94"/>
      <c r="L137" s="94"/>
      <c r="M137" s="20"/>
      <c r="N137" s="20"/>
      <c r="O137" s="20"/>
    </row>
    <row r="138" spans="1:15" s="29" customFormat="1" ht="15" customHeight="1">
      <c r="A138" s="95" t="s">
        <v>64</v>
      </c>
      <c r="B138" s="95" t="s">
        <v>155</v>
      </c>
      <c r="C138" s="95" t="s">
        <v>58</v>
      </c>
      <c r="D138" s="47">
        <f t="shared" ref="D138:D146" si="16">IF(ISBLANK(B138),"",INDEX(case_size,MATCH(B138,case,0),2))</f>
        <v>24</v>
      </c>
      <c r="E138" s="27" t="str">
        <f>IF(ISBLANK(F138),"",Settings!$B$14)</f>
        <v>$</v>
      </c>
      <c r="F138" s="96">
        <v>10.92</v>
      </c>
      <c r="G138" s="48" t="str">
        <f>IF(OR(ISBLANK(H138),H138=""),"",Settings!$B$14)</f>
        <v>$</v>
      </c>
      <c r="H138" s="49">
        <f t="shared" ref="H138:H146" si="17">IF(ISBLANK(F138),"",F138/D138)</f>
        <v>0.45500000000000002</v>
      </c>
      <c r="I138" s="27" t="str">
        <f>IF(ISBLANK(J138),"",Settings!$B$14)</f>
        <v>$</v>
      </c>
      <c r="J138" s="96">
        <v>1.99</v>
      </c>
      <c r="K138" s="48" t="str">
        <f>IF(OR(ISBLANK(L138),L138=""),"",Settings!$B$14)</f>
        <v>$</v>
      </c>
      <c r="L138" s="30">
        <f t="shared" ref="L138:L146" si="18">IF(ISBLANK(J138),"",J138*D138)</f>
        <v>47.76</v>
      </c>
      <c r="M138" s="83"/>
      <c r="N138" s="83"/>
      <c r="O138" s="83"/>
    </row>
    <row r="139" spans="1:15" s="29" customFormat="1" ht="15" customHeight="1">
      <c r="A139" s="95" t="s">
        <v>65</v>
      </c>
      <c r="B139" s="95" t="s">
        <v>155</v>
      </c>
      <c r="C139" s="95" t="s">
        <v>58</v>
      </c>
      <c r="D139" s="47">
        <f t="shared" si="16"/>
        <v>24</v>
      </c>
      <c r="E139" s="27" t="str">
        <f>IF(ISBLANK(F139),"",Settings!$B$14)</f>
        <v>$</v>
      </c>
      <c r="F139" s="96">
        <v>11.16</v>
      </c>
      <c r="G139" s="48" t="str">
        <f>IF(OR(ISBLANK(H139),H139=""),"",Settings!$B$14)</f>
        <v>$</v>
      </c>
      <c r="H139" s="49">
        <f t="shared" si="17"/>
        <v>0.46500000000000002</v>
      </c>
      <c r="I139" s="27" t="str">
        <f>IF(ISBLANK(J139),"",Settings!$B$14)</f>
        <v>$</v>
      </c>
      <c r="J139" s="96">
        <v>1.99</v>
      </c>
      <c r="K139" s="48" t="str">
        <f>IF(OR(ISBLANK(L139),L139=""),"",Settings!$B$14)</f>
        <v>$</v>
      </c>
      <c r="L139" s="30">
        <f t="shared" si="18"/>
        <v>47.76</v>
      </c>
      <c r="M139" s="83"/>
      <c r="N139" s="83"/>
      <c r="O139" s="83"/>
    </row>
    <row r="140" spans="1:15" s="29" customFormat="1" ht="15" customHeight="1">
      <c r="A140" s="95"/>
      <c r="B140" s="95"/>
      <c r="C140" s="95"/>
      <c r="D140" s="47" t="str">
        <f t="shared" si="16"/>
        <v/>
      </c>
      <c r="E140" s="27" t="str">
        <f>IF(ISBLANK(F140),"",Settings!$B$14)</f>
        <v/>
      </c>
      <c r="F140" s="96"/>
      <c r="G140" s="48" t="str">
        <f>IF(OR(ISBLANK(H140),H140=""),"",Settings!$B$14)</f>
        <v/>
      </c>
      <c r="H140" s="49" t="str">
        <f t="shared" si="17"/>
        <v/>
      </c>
      <c r="I140" s="27" t="str">
        <f>IF(ISBLANK(J140),"",Settings!$B$14)</f>
        <v/>
      </c>
      <c r="J140" s="96"/>
      <c r="K140" s="48" t="str">
        <f>IF(OR(ISBLANK(L140),L140=""),"",Settings!$B$14)</f>
        <v/>
      </c>
      <c r="L140" s="30" t="str">
        <f t="shared" si="18"/>
        <v/>
      </c>
      <c r="M140" s="83"/>
      <c r="N140" s="83"/>
      <c r="O140" s="83"/>
    </row>
    <row r="141" spans="1:15" s="29" customFormat="1" ht="15" customHeight="1">
      <c r="A141" s="95"/>
      <c r="B141" s="95"/>
      <c r="C141" s="95"/>
      <c r="D141" s="47" t="str">
        <f t="shared" si="16"/>
        <v/>
      </c>
      <c r="E141" s="27" t="str">
        <f>IF(ISBLANK(F141),"",Settings!$B$14)</f>
        <v/>
      </c>
      <c r="F141" s="96"/>
      <c r="G141" s="48" t="str">
        <f>IF(OR(ISBLANK(H141),H141=""),"",Settings!$B$14)</f>
        <v/>
      </c>
      <c r="H141" s="49" t="str">
        <f t="shared" si="17"/>
        <v/>
      </c>
      <c r="I141" s="27" t="str">
        <f>IF(ISBLANK(J141),"",Settings!$B$14)</f>
        <v/>
      </c>
      <c r="J141" s="96"/>
      <c r="K141" s="48" t="str">
        <f>IF(OR(ISBLANK(L141),L141=""),"",Settings!$B$14)</f>
        <v/>
      </c>
      <c r="L141" s="30" t="str">
        <f t="shared" si="18"/>
        <v/>
      </c>
      <c r="M141" s="83"/>
      <c r="N141" s="83"/>
      <c r="O141" s="83"/>
    </row>
    <row r="142" spans="1:15" s="29" customFormat="1" ht="15" customHeight="1">
      <c r="A142" s="95"/>
      <c r="B142" s="95"/>
      <c r="C142" s="95"/>
      <c r="D142" s="47" t="str">
        <f t="shared" si="16"/>
        <v/>
      </c>
      <c r="E142" s="27" t="str">
        <f>IF(ISBLANK(F142),"",Settings!$B$14)</f>
        <v/>
      </c>
      <c r="F142" s="96"/>
      <c r="G142" s="48" t="str">
        <f>IF(OR(ISBLANK(H142),H142=""),"",Settings!$B$14)</f>
        <v/>
      </c>
      <c r="H142" s="49" t="str">
        <f t="shared" si="17"/>
        <v/>
      </c>
      <c r="I142" s="27" t="str">
        <f>IF(ISBLANK(J142),"",Settings!$B$14)</f>
        <v/>
      </c>
      <c r="J142" s="96"/>
      <c r="K142" s="48" t="str">
        <f>IF(OR(ISBLANK(L142),L142=""),"",Settings!$B$14)</f>
        <v/>
      </c>
      <c r="L142" s="30" t="str">
        <f t="shared" si="18"/>
        <v/>
      </c>
      <c r="M142" s="83"/>
      <c r="N142" s="83"/>
      <c r="O142" s="83"/>
    </row>
    <row r="143" spans="1:15" s="29" customFormat="1" ht="15" customHeight="1">
      <c r="A143" s="95"/>
      <c r="B143" s="95"/>
      <c r="C143" s="95"/>
      <c r="D143" s="47" t="str">
        <f t="shared" si="16"/>
        <v/>
      </c>
      <c r="E143" s="27" t="str">
        <f>IF(ISBLANK(F143),"",Settings!$B$14)</f>
        <v/>
      </c>
      <c r="F143" s="96"/>
      <c r="G143" s="48" t="str">
        <f>IF(OR(ISBLANK(H143),H143=""),"",Settings!$B$14)</f>
        <v/>
      </c>
      <c r="H143" s="49" t="str">
        <f t="shared" si="17"/>
        <v/>
      </c>
      <c r="I143" s="27" t="str">
        <f>IF(ISBLANK(J143),"",Settings!$B$14)</f>
        <v/>
      </c>
      <c r="J143" s="96"/>
      <c r="K143" s="48" t="str">
        <f>IF(OR(ISBLANK(L143),L143=""),"",Settings!$B$14)</f>
        <v/>
      </c>
      <c r="L143" s="30" t="str">
        <f t="shared" si="18"/>
        <v/>
      </c>
      <c r="M143" s="83"/>
      <c r="N143" s="83"/>
      <c r="O143" s="83"/>
    </row>
    <row r="144" spans="1:15" s="29" customFormat="1" ht="15" customHeight="1">
      <c r="A144" s="95"/>
      <c r="B144" s="95"/>
      <c r="C144" s="95"/>
      <c r="D144" s="47" t="str">
        <f t="shared" si="16"/>
        <v/>
      </c>
      <c r="E144" s="27" t="str">
        <f>IF(ISBLANK(F144),"",Settings!$B$14)</f>
        <v/>
      </c>
      <c r="F144" s="96"/>
      <c r="G144" s="48" t="str">
        <f>IF(OR(ISBLANK(H144),H144=""),"",Settings!$B$14)</f>
        <v/>
      </c>
      <c r="H144" s="49" t="str">
        <f t="shared" si="17"/>
        <v/>
      </c>
      <c r="I144" s="27" t="str">
        <f>IF(ISBLANK(J144),"",Settings!$B$14)</f>
        <v/>
      </c>
      <c r="J144" s="96"/>
      <c r="K144" s="48" t="str">
        <f>IF(OR(ISBLANK(L144),L144=""),"",Settings!$B$14)</f>
        <v/>
      </c>
      <c r="L144" s="30" t="str">
        <f t="shared" si="18"/>
        <v/>
      </c>
      <c r="M144" s="83"/>
      <c r="N144" s="83"/>
      <c r="O144" s="83"/>
    </row>
    <row r="145" spans="1:15" s="29" customFormat="1" ht="15" customHeight="1">
      <c r="A145" s="95"/>
      <c r="B145" s="95"/>
      <c r="C145" s="95"/>
      <c r="D145" s="47" t="str">
        <f t="shared" si="16"/>
        <v/>
      </c>
      <c r="E145" s="27" t="str">
        <f>IF(ISBLANK(F145),"",Settings!$B$14)</f>
        <v/>
      </c>
      <c r="F145" s="96"/>
      <c r="G145" s="48" t="str">
        <f>IF(OR(ISBLANK(H145),H145=""),"",Settings!$B$14)</f>
        <v/>
      </c>
      <c r="H145" s="49" t="str">
        <f t="shared" si="17"/>
        <v/>
      </c>
      <c r="I145" s="27" t="str">
        <f>IF(ISBLANK(J145),"",Settings!$B$14)</f>
        <v/>
      </c>
      <c r="J145" s="96"/>
      <c r="K145" s="48" t="str">
        <f>IF(OR(ISBLANK(L145),L145=""),"",Settings!$B$14)</f>
        <v/>
      </c>
      <c r="L145" s="30" t="str">
        <f t="shared" si="18"/>
        <v/>
      </c>
      <c r="M145" s="83"/>
      <c r="N145" s="83"/>
      <c r="O145" s="83"/>
    </row>
    <row r="146" spans="1:15" s="29" customFormat="1" ht="15" customHeight="1">
      <c r="A146" s="95"/>
      <c r="B146" s="95"/>
      <c r="C146" s="95"/>
      <c r="D146" s="47" t="str">
        <f t="shared" si="16"/>
        <v/>
      </c>
      <c r="E146" s="27" t="str">
        <f>IF(ISBLANK(F146),"",Settings!$B$14)</f>
        <v/>
      </c>
      <c r="F146" s="96"/>
      <c r="G146" s="48" t="str">
        <f>IF(OR(ISBLANK(H146),H146=""),"",Settings!$B$14)</f>
        <v/>
      </c>
      <c r="H146" s="49" t="str">
        <f t="shared" si="17"/>
        <v/>
      </c>
      <c r="I146" s="27" t="str">
        <f>IF(ISBLANK(J146),"",Settings!$B$14)</f>
        <v/>
      </c>
      <c r="J146" s="96"/>
      <c r="K146" s="48" t="str">
        <f>IF(OR(ISBLANK(L146),L146=""),"",Settings!$B$14)</f>
        <v/>
      </c>
      <c r="L146" s="30" t="str">
        <f t="shared" si="18"/>
        <v/>
      </c>
      <c r="M146" s="83"/>
      <c r="N146" s="83"/>
      <c r="O146" s="83"/>
    </row>
    <row r="147" spans="1:15" s="45" customFormat="1" ht="6.95" customHeight="1">
      <c r="A147" s="91"/>
      <c r="B147" s="91"/>
      <c r="C147" s="91"/>
      <c r="D147" s="94"/>
      <c r="E147" s="94"/>
      <c r="F147" s="94"/>
      <c r="G147" s="94"/>
      <c r="H147" s="94"/>
      <c r="I147" s="94"/>
      <c r="J147" s="94"/>
      <c r="K147" s="94"/>
      <c r="L147" s="94"/>
      <c r="M147" s="20"/>
      <c r="N147" s="20"/>
      <c r="O147" s="20"/>
    </row>
    <row r="148" spans="1:15" s="45" customFormat="1" ht="18" customHeight="1" thickBot="1">
      <c r="A148" s="78" t="s">
        <v>173</v>
      </c>
      <c r="B148" s="78" t="s">
        <v>99</v>
      </c>
      <c r="C148" s="78" t="s">
        <v>161</v>
      </c>
      <c r="D148" s="23" t="s">
        <v>67</v>
      </c>
      <c r="E148" s="235" t="s">
        <v>109</v>
      </c>
      <c r="F148" s="235"/>
      <c r="G148" s="235" t="s">
        <v>86</v>
      </c>
      <c r="H148" s="235"/>
      <c r="I148" s="235" t="s">
        <v>99</v>
      </c>
      <c r="J148" s="235"/>
      <c r="K148" s="235" t="s">
        <v>109</v>
      </c>
      <c r="L148" s="235"/>
      <c r="M148" s="121"/>
      <c r="N148" s="122"/>
      <c r="O148" s="20"/>
    </row>
    <row r="149" spans="1:15" s="45" customFormat="1" ht="6.95" customHeight="1" thickTop="1">
      <c r="A149" s="91"/>
      <c r="B149" s="91"/>
      <c r="C149" s="91"/>
      <c r="D149" s="94"/>
      <c r="E149" s="94"/>
      <c r="F149" s="94"/>
      <c r="G149" s="94"/>
      <c r="H149" s="94"/>
      <c r="I149" s="94"/>
      <c r="J149" s="94"/>
      <c r="K149" s="94"/>
      <c r="L149" s="94"/>
      <c r="M149" s="20"/>
      <c r="N149" s="20"/>
      <c r="O149" s="20"/>
    </row>
    <row r="150" spans="1:15" s="29" customFormat="1" ht="15" customHeight="1">
      <c r="A150" s="95" t="s">
        <v>68</v>
      </c>
      <c r="B150" s="95" t="s">
        <v>155</v>
      </c>
      <c r="C150" s="95" t="s">
        <v>58</v>
      </c>
      <c r="D150" s="47">
        <f t="shared" ref="D150:D169" si="19">IF(ISBLANK(B150),"",INDEX(case_size,MATCH(B150,case,0),2))</f>
        <v>24</v>
      </c>
      <c r="E150" s="27" t="str">
        <f>IF(ISBLANK(F150),"",Settings!$B$14)</f>
        <v>$</v>
      </c>
      <c r="F150" s="96">
        <v>10.08</v>
      </c>
      <c r="G150" s="48" t="str">
        <f>IF(OR(ISBLANK(H150),H150=""),"",Settings!$B$14)</f>
        <v>$</v>
      </c>
      <c r="H150" s="49">
        <f t="shared" ref="H150:H169" si="20">IF(ISBLANK(F150),"",F150/D150)</f>
        <v>0.42</v>
      </c>
      <c r="I150" s="27" t="str">
        <f>IF(ISBLANK(J150),"",Settings!$B$14)</f>
        <v>$</v>
      </c>
      <c r="J150" s="96">
        <v>1.74</v>
      </c>
      <c r="K150" s="48" t="str">
        <f>IF(OR(ISBLANK(L150),L150=""),"",Settings!$B$14)</f>
        <v>$</v>
      </c>
      <c r="L150" s="30">
        <f t="shared" ref="L150:L169" si="21">IF(ISBLANK(J150),"",J150*D150)</f>
        <v>41.76</v>
      </c>
      <c r="M150" s="83"/>
      <c r="N150" s="83"/>
      <c r="O150" s="83"/>
    </row>
    <row r="151" spans="1:15" s="29" customFormat="1" ht="15" customHeight="1">
      <c r="A151" s="95" t="s">
        <v>69</v>
      </c>
      <c r="B151" s="95" t="s">
        <v>157</v>
      </c>
      <c r="C151" s="95" t="s">
        <v>54</v>
      </c>
      <c r="D151" s="47">
        <f t="shared" si="19"/>
        <v>36</v>
      </c>
      <c r="E151" s="27" t="str">
        <f>IF(ISBLANK(F151),"",Settings!$B$14)</f>
        <v>$</v>
      </c>
      <c r="F151" s="96">
        <v>19.079999999999998</v>
      </c>
      <c r="G151" s="48" t="str">
        <f>IF(OR(ISBLANK(H151),H151=""),"",Settings!$B$14)</f>
        <v>$</v>
      </c>
      <c r="H151" s="49">
        <f t="shared" si="20"/>
        <v>0.52999999999999992</v>
      </c>
      <c r="I151" s="27" t="str">
        <f>IF(ISBLANK(J151),"",Settings!$B$14)</f>
        <v>$</v>
      </c>
      <c r="J151" s="96">
        <v>1.65</v>
      </c>
      <c r="K151" s="48" t="str">
        <f>IF(OR(ISBLANK(L151),L151=""),"",Settings!$B$14)</f>
        <v>$</v>
      </c>
      <c r="L151" s="30">
        <f t="shared" si="21"/>
        <v>59.4</v>
      </c>
      <c r="M151" s="83"/>
      <c r="N151" s="83"/>
      <c r="O151" s="83"/>
    </row>
    <row r="152" spans="1:15" s="29" customFormat="1" ht="15" customHeight="1">
      <c r="A152" s="95" t="s">
        <v>70</v>
      </c>
      <c r="B152" s="95" t="s">
        <v>157</v>
      </c>
      <c r="C152" s="95" t="s">
        <v>71</v>
      </c>
      <c r="D152" s="47">
        <f t="shared" si="19"/>
        <v>36</v>
      </c>
      <c r="E152" s="27" t="str">
        <f>IF(ISBLANK(F152),"",Settings!$B$14)</f>
        <v>$</v>
      </c>
      <c r="F152" s="96">
        <v>2.4</v>
      </c>
      <c r="G152" s="48" t="str">
        <f>IF(OR(ISBLANK(H152),H152=""),"",Settings!$B$14)</f>
        <v>$</v>
      </c>
      <c r="H152" s="49">
        <f t="shared" si="20"/>
        <v>6.6666666666666666E-2</v>
      </c>
      <c r="I152" s="27" t="str">
        <f>IF(ISBLANK(J152),"",Settings!$B$14)</f>
        <v>$</v>
      </c>
      <c r="J152" s="96">
        <v>1.1000000000000001</v>
      </c>
      <c r="K152" s="48" t="str">
        <f>IF(OR(ISBLANK(L152),L152=""),"",Settings!$B$14)</f>
        <v>$</v>
      </c>
      <c r="L152" s="30">
        <f t="shared" si="21"/>
        <v>39.6</v>
      </c>
      <c r="M152" s="83"/>
      <c r="N152" s="83"/>
      <c r="O152" s="83"/>
    </row>
    <row r="153" spans="1:15" s="29" customFormat="1" ht="15" customHeight="1">
      <c r="A153" s="95" t="s">
        <v>70</v>
      </c>
      <c r="B153" s="95" t="s">
        <v>158</v>
      </c>
      <c r="C153" s="95" t="s">
        <v>72</v>
      </c>
      <c r="D153" s="47">
        <f t="shared" si="19"/>
        <v>48</v>
      </c>
      <c r="E153" s="27" t="str">
        <f>IF(ISBLANK(F153),"",Settings!$B$14)</f>
        <v>$</v>
      </c>
      <c r="F153" s="96">
        <v>1.82</v>
      </c>
      <c r="G153" s="48" t="str">
        <f>IF(OR(ISBLANK(H153),H153=""),"",Settings!$B$14)</f>
        <v>$</v>
      </c>
      <c r="H153" s="49">
        <f t="shared" si="20"/>
        <v>3.7916666666666668E-2</v>
      </c>
      <c r="I153" s="27" t="str">
        <f>IF(ISBLANK(J153),"",Settings!$B$14)</f>
        <v>$</v>
      </c>
      <c r="J153" s="96">
        <v>1.02</v>
      </c>
      <c r="K153" s="48" t="str">
        <f>IF(OR(ISBLANK(L153),L153=""),"",Settings!$B$14)</f>
        <v>$</v>
      </c>
      <c r="L153" s="30">
        <f t="shared" si="21"/>
        <v>48.96</v>
      </c>
      <c r="M153" s="83"/>
      <c r="N153" s="83"/>
      <c r="O153" s="83"/>
    </row>
    <row r="154" spans="1:15" s="29" customFormat="1" ht="15" customHeight="1">
      <c r="A154" s="95" t="s">
        <v>66</v>
      </c>
      <c r="B154" s="95" t="s">
        <v>157</v>
      </c>
      <c r="C154" s="95" t="s">
        <v>71</v>
      </c>
      <c r="D154" s="47">
        <f t="shared" si="19"/>
        <v>36</v>
      </c>
      <c r="E154" s="27" t="str">
        <f>IF(ISBLANK(F154),"",Settings!$B$14)</f>
        <v>$</v>
      </c>
      <c r="F154" s="96">
        <v>1.84</v>
      </c>
      <c r="G154" s="48" t="str">
        <f>IF(OR(ISBLANK(H154),H154=""),"",Settings!$B$14)</f>
        <v>$</v>
      </c>
      <c r="H154" s="49">
        <f t="shared" si="20"/>
        <v>5.1111111111111114E-2</v>
      </c>
      <c r="I154" s="27" t="str">
        <f>IF(ISBLANK(J154),"",Settings!$B$14)</f>
        <v>$</v>
      </c>
      <c r="J154" s="96">
        <v>1.1000000000000001</v>
      </c>
      <c r="K154" s="48" t="str">
        <f>IF(OR(ISBLANK(L154),L154=""),"",Settings!$B$14)</f>
        <v>$</v>
      </c>
      <c r="L154" s="30">
        <f t="shared" si="21"/>
        <v>39.6</v>
      </c>
      <c r="M154" s="83"/>
      <c r="N154" s="83"/>
      <c r="O154" s="83"/>
    </row>
    <row r="155" spans="1:15" s="29" customFormat="1" ht="15" customHeight="1">
      <c r="A155" s="95" t="s">
        <v>66</v>
      </c>
      <c r="B155" s="95" t="s">
        <v>158</v>
      </c>
      <c r="C155" s="95" t="s">
        <v>72</v>
      </c>
      <c r="D155" s="47">
        <f t="shared" si="19"/>
        <v>48</v>
      </c>
      <c r="E155" s="27" t="str">
        <f>IF(ISBLANK(F155),"",Settings!$B$14)</f>
        <v>$</v>
      </c>
      <c r="F155" s="96">
        <v>1.38</v>
      </c>
      <c r="G155" s="48" t="str">
        <f>IF(OR(ISBLANK(H155),H155=""),"",Settings!$B$14)</f>
        <v>$</v>
      </c>
      <c r="H155" s="49">
        <f t="shared" si="20"/>
        <v>2.8749999999999998E-2</v>
      </c>
      <c r="I155" s="27" t="str">
        <f>IF(ISBLANK(J155),"",Settings!$B$14)</f>
        <v>$</v>
      </c>
      <c r="J155" s="96">
        <v>1.02</v>
      </c>
      <c r="K155" s="48" t="str">
        <f>IF(OR(ISBLANK(L155),L155=""),"",Settings!$B$14)</f>
        <v>$</v>
      </c>
      <c r="L155" s="30">
        <f t="shared" si="21"/>
        <v>48.96</v>
      </c>
      <c r="M155" s="83"/>
      <c r="N155" s="83"/>
      <c r="O155" s="83"/>
    </row>
    <row r="156" spans="1:15" s="29" customFormat="1" ht="15" customHeight="1">
      <c r="A156" s="95" t="s">
        <v>73</v>
      </c>
      <c r="B156" s="95" t="s">
        <v>157</v>
      </c>
      <c r="C156" s="95" t="s">
        <v>71</v>
      </c>
      <c r="D156" s="47">
        <f t="shared" si="19"/>
        <v>36</v>
      </c>
      <c r="E156" s="27" t="str">
        <f>IF(ISBLANK(F156),"",Settings!$B$14)</f>
        <v>$</v>
      </c>
      <c r="F156" s="96">
        <v>2.12</v>
      </c>
      <c r="G156" s="48" t="str">
        <f>IF(OR(ISBLANK(H156),H156=""),"",Settings!$B$14)</f>
        <v>$</v>
      </c>
      <c r="H156" s="49">
        <f t="shared" si="20"/>
        <v>5.8888888888888893E-2</v>
      </c>
      <c r="I156" s="27" t="str">
        <f>IF(ISBLANK(J156),"",Settings!$B$14)</f>
        <v>$</v>
      </c>
      <c r="J156" s="96">
        <v>1.1000000000000001</v>
      </c>
      <c r="K156" s="48" t="str">
        <f>IF(OR(ISBLANK(L156),L156=""),"",Settings!$B$14)</f>
        <v>$</v>
      </c>
      <c r="L156" s="30">
        <f t="shared" si="21"/>
        <v>39.6</v>
      </c>
      <c r="M156" s="83"/>
      <c r="N156" s="83"/>
      <c r="O156" s="83"/>
    </row>
    <row r="157" spans="1:15" s="29" customFormat="1" ht="15" customHeight="1">
      <c r="A157" s="95" t="s">
        <v>74</v>
      </c>
      <c r="B157" s="95" t="s">
        <v>156</v>
      </c>
      <c r="C157" s="95" t="s">
        <v>100</v>
      </c>
      <c r="D157" s="47">
        <f t="shared" si="19"/>
        <v>12</v>
      </c>
      <c r="E157" s="27" t="str">
        <f>IF(ISBLANK(F157),"",Settings!$B$14)</f>
        <v>$</v>
      </c>
      <c r="F157" s="96">
        <v>4.91</v>
      </c>
      <c r="G157" s="48" t="str">
        <f>IF(OR(ISBLANK(H157),H157=""),"",Settings!$B$14)</f>
        <v>$</v>
      </c>
      <c r="H157" s="49">
        <f t="shared" si="20"/>
        <v>0.40916666666666668</v>
      </c>
      <c r="I157" s="27" t="str">
        <f>IF(ISBLANK(J157),"",Settings!$B$14)</f>
        <v>$</v>
      </c>
      <c r="J157" s="96">
        <v>3.15</v>
      </c>
      <c r="K157" s="48" t="str">
        <f>IF(OR(ISBLANK(L157),L157=""),"",Settings!$B$14)</f>
        <v>$</v>
      </c>
      <c r="L157" s="30">
        <f t="shared" si="21"/>
        <v>37.799999999999997</v>
      </c>
      <c r="M157" s="83"/>
      <c r="N157" s="83"/>
      <c r="O157" s="83"/>
    </row>
    <row r="158" spans="1:15" s="29" customFormat="1" ht="15" customHeight="1">
      <c r="A158" s="95" t="s">
        <v>74</v>
      </c>
      <c r="B158" s="95" t="s">
        <v>155</v>
      </c>
      <c r="C158" s="95" t="s">
        <v>54</v>
      </c>
      <c r="D158" s="47">
        <f t="shared" si="19"/>
        <v>24</v>
      </c>
      <c r="E158" s="27" t="str">
        <f>IF(ISBLANK(F158),"",Settings!$B$14)</f>
        <v>$</v>
      </c>
      <c r="F158" s="96">
        <v>2.54</v>
      </c>
      <c r="G158" s="48" t="str">
        <f>IF(OR(ISBLANK(H158),H158=""),"",Settings!$B$14)</f>
        <v>$</v>
      </c>
      <c r="H158" s="49">
        <f t="shared" si="20"/>
        <v>0.10583333333333333</v>
      </c>
      <c r="I158" s="27" t="str">
        <f>IF(ISBLANK(J158),"",Settings!$B$14)</f>
        <v>$</v>
      </c>
      <c r="J158" s="96">
        <v>1.33</v>
      </c>
      <c r="K158" s="48" t="str">
        <f>IF(OR(ISBLANK(L158),L158=""),"",Settings!$B$14)</f>
        <v>$</v>
      </c>
      <c r="L158" s="30">
        <f t="shared" si="21"/>
        <v>31.92</v>
      </c>
      <c r="M158" s="83"/>
      <c r="N158" s="83"/>
      <c r="O158" s="83"/>
    </row>
    <row r="159" spans="1:15" s="29" customFormat="1" ht="15" customHeight="1">
      <c r="A159" s="95" t="s">
        <v>75</v>
      </c>
      <c r="B159" s="95" t="s">
        <v>155</v>
      </c>
      <c r="C159" s="95" t="s">
        <v>76</v>
      </c>
      <c r="D159" s="47">
        <f t="shared" si="19"/>
        <v>24</v>
      </c>
      <c r="E159" s="27" t="str">
        <f>IF(ISBLANK(F159),"",Settings!$B$14)</f>
        <v>$</v>
      </c>
      <c r="F159" s="96">
        <v>7.67</v>
      </c>
      <c r="G159" s="48" t="str">
        <f>IF(OR(ISBLANK(H159),H159=""),"",Settings!$B$14)</f>
        <v>$</v>
      </c>
      <c r="H159" s="49">
        <f t="shared" si="20"/>
        <v>0.31958333333333333</v>
      </c>
      <c r="I159" s="27" t="str">
        <f>IF(ISBLANK(J159),"",Settings!$B$14)</f>
        <v>$</v>
      </c>
      <c r="J159" s="96">
        <v>2.5299999999999998</v>
      </c>
      <c r="K159" s="48" t="str">
        <f>IF(OR(ISBLANK(L159),L159=""),"",Settings!$B$14)</f>
        <v>$</v>
      </c>
      <c r="L159" s="30">
        <f t="shared" si="21"/>
        <v>60.72</v>
      </c>
      <c r="M159" s="83"/>
      <c r="N159" s="83"/>
      <c r="O159" s="83"/>
    </row>
    <row r="160" spans="1:15" s="29" customFormat="1" ht="15" customHeight="1">
      <c r="A160" s="95" t="s">
        <v>80</v>
      </c>
      <c r="B160" s="95" t="s">
        <v>156</v>
      </c>
      <c r="C160" s="95" t="s">
        <v>100</v>
      </c>
      <c r="D160" s="47">
        <f t="shared" si="19"/>
        <v>12</v>
      </c>
      <c r="E160" s="27" t="str">
        <f>IF(ISBLANK(F160),"",Settings!$B$14)</f>
        <v>$</v>
      </c>
      <c r="F160" s="96">
        <v>14.55</v>
      </c>
      <c r="G160" s="48" t="str">
        <f>IF(OR(ISBLANK(H160),H160=""),"",Settings!$B$14)</f>
        <v>$</v>
      </c>
      <c r="H160" s="49">
        <f t="shared" si="20"/>
        <v>1.2125000000000001</v>
      </c>
      <c r="I160" s="27" t="str">
        <f>IF(ISBLANK(J160),"",Settings!$B$14)</f>
        <v>$</v>
      </c>
      <c r="J160" s="96">
        <v>6.3</v>
      </c>
      <c r="K160" s="48" t="str">
        <f>IF(OR(ISBLANK(L160),L160=""),"",Settings!$B$14)</f>
        <v>$</v>
      </c>
      <c r="L160" s="30">
        <f t="shared" si="21"/>
        <v>75.599999999999994</v>
      </c>
      <c r="M160" s="83"/>
      <c r="N160" s="83"/>
      <c r="O160" s="83"/>
    </row>
    <row r="161" spans="1:15" s="29" customFormat="1" ht="15" customHeight="1">
      <c r="A161" s="95" t="s">
        <v>81</v>
      </c>
      <c r="B161" s="95" t="s">
        <v>156</v>
      </c>
      <c r="C161" s="95" t="s">
        <v>100</v>
      </c>
      <c r="D161" s="47">
        <f t="shared" si="19"/>
        <v>12</v>
      </c>
      <c r="E161" s="27" t="str">
        <f>IF(ISBLANK(F161),"",Settings!$B$14)</f>
        <v>$</v>
      </c>
      <c r="F161" s="96">
        <v>14.55</v>
      </c>
      <c r="G161" s="48" t="str">
        <f>IF(OR(ISBLANK(H161),H161=""),"",Settings!$B$14)</f>
        <v>$</v>
      </c>
      <c r="H161" s="49">
        <f t="shared" si="20"/>
        <v>1.2125000000000001</v>
      </c>
      <c r="I161" s="27" t="str">
        <f>IF(ISBLANK(J161),"",Settings!$B$14)</f>
        <v>$</v>
      </c>
      <c r="J161" s="96">
        <v>6.3</v>
      </c>
      <c r="K161" s="48" t="str">
        <f>IF(OR(ISBLANK(L161),L161=""),"",Settings!$B$14)</f>
        <v>$</v>
      </c>
      <c r="L161" s="30">
        <f t="shared" si="21"/>
        <v>75.599999999999994</v>
      </c>
      <c r="M161" s="83"/>
      <c r="N161" s="83"/>
      <c r="O161" s="83"/>
    </row>
    <row r="162" spans="1:15" s="29" customFormat="1" ht="15" customHeight="1">
      <c r="A162" s="95" t="s">
        <v>114</v>
      </c>
      <c r="B162" s="95" t="s">
        <v>155</v>
      </c>
      <c r="C162" s="95" t="s">
        <v>54</v>
      </c>
      <c r="D162" s="47">
        <f t="shared" si="19"/>
        <v>24</v>
      </c>
      <c r="E162" s="27" t="str">
        <f>IF(ISBLANK(F162),"",Settings!$B$14)</f>
        <v>$</v>
      </c>
      <c r="F162" s="96">
        <v>12.22</v>
      </c>
      <c r="G162" s="48" t="str">
        <f>IF(OR(ISBLANK(H162),H162=""),"",Settings!$B$14)</f>
        <v>$</v>
      </c>
      <c r="H162" s="49">
        <f t="shared" si="20"/>
        <v>0.50916666666666666</v>
      </c>
      <c r="I162" s="27" t="str">
        <f>IF(ISBLANK(J162),"",Settings!$B$14)</f>
        <v>$</v>
      </c>
      <c r="J162" s="96">
        <v>1.65</v>
      </c>
      <c r="K162" s="48" t="str">
        <f>IF(OR(ISBLANK(L162),L162=""),"",Settings!$B$14)</f>
        <v>$</v>
      </c>
      <c r="L162" s="30">
        <f t="shared" si="21"/>
        <v>39.599999999999994</v>
      </c>
      <c r="M162" s="83"/>
      <c r="N162" s="83"/>
      <c r="O162" s="83"/>
    </row>
    <row r="163" spans="1:15" s="29" customFormat="1" ht="15" customHeight="1">
      <c r="A163" s="95"/>
      <c r="B163" s="95"/>
      <c r="C163" s="95"/>
      <c r="D163" s="47" t="str">
        <f t="shared" si="19"/>
        <v/>
      </c>
      <c r="E163" s="27" t="str">
        <f>IF(ISBLANK(F163),"",Settings!$B$14)</f>
        <v/>
      </c>
      <c r="F163" s="96"/>
      <c r="G163" s="48" t="str">
        <f>IF(OR(ISBLANK(H163),H163=""),"",Settings!$B$14)</f>
        <v/>
      </c>
      <c r="H163" s="49" t="str">
        <f t="shared" si="20"/>
        <v/>
      </c>
      <c r="I163" s="27" t="str">
        <f>IF(ISBLANK(J163),"",Settings!$B$14)</f>
        <v/>
      </c>
      <c r="J163" s="96"/>
      <c r="K163" s="48" t="str">
        <f>IF(OR(ISBLANK(L163),L163=""),"",Settings!$B$14)</f>
        <v/>
      </c>
      <c r="L163" s="30" t="str">
        <f t="shared" si="21"/>
        <v/>
      </c>
      <c r="M163" s="83"/>
      <c r="N163" s="83"/>
      <c r="O163" s="83"/>
    </row>
    <row r="164" spans="1:15" s="29" customFormat="1" ht="15" customHeight="1">
      <c r="A164" s="95"/>
      <c r="B164" s="95"/>
      <c r="C164" s="95"/>
      <c r="D164" s="47" t="str">
        <f t="shared" si="19"/>
        <v/>
      </c>
      <c r="E164" s="27" t="str">
        <f>IF(ISBLANK(F164),"",Settings!$B$14)</f>
        <v/>
      </c>
      <c r="F164" s="96"/>
      <c r="G164" s="48" t="str">
        <f>IF(OR(ISBLANK(H164),H164=""),"",Settings!$B$14)</f>
        <v/>
      </c>
      <c r="H164" s="49" t="str">
        <f t="shared" si="20"/>
        <v/>
      </c>
      <c r="I164" s="27" t="str">
        <f>IF(ISBLANK(J164),"",Settings!$B$14)</f>
        <v/>
      </c>
      <c r="J164" s="96"/>
      <c r="K164" s="48" t="str">
        <f>IF(OR(ISBLANK(L164),L164=""),"",Settings!$B$14)</f>
        <v/>
      </c>
      <c r="L164" s="30" t="str">
        <f t="shared" si="21"/>
        <v/>
      </c>
      <c r="M164" s="83"/>
      <c r="N164" s="83"/>
      <c r="O164" s="83"/>
    </row>
    <row r="165" spans="1:15" s="29" customFormat="1" ht="15" customHeight="1">
      <c r="A165" s="95"/>
      <c r="B165" s="95"/>
      <c r="C165" s="95"/>
      <c r="D165" s="47" t="str">
        <f t="shared" si="19"/>
        <v/>
      </c>
      <c r="E165" s="27" t="str">
        <f>IF(ISBLANK(F165),"",Settings!$B$14)</f>
        <v/>
      </c>
      <c r="F165" s="96"/>
      <c r="G165" s="48" t="str">
        <f>IF(OR(ISBLANK(H165),H165=""),"",Settings!$B$14)</f>
        <v/>
      </c>
      <c r="H165" s="49" t="str">
        <f t="shared" si="20"/>
        <v/>
      </c>
      <c r="I165" s="27" t="str">
        <f>IF(ISBLANK(J165),"",Settings!$B$14)</f>
        <v/>
      </c>
      <c r="J165" s="96"/>
      <c r="K165" s="48" t="str">
        <f>IF(OR(ISBLANK(L165),L165=""),"",Settings!$B$14)</f>
        <v/>
      </c>
      <c r="L165" s="30" t="str">
        <f t="shared" si="21"/>
        <v/>
      </c>
      <c r="M165" s="83"/>
      <c r="N165" s="83"/>
      <c r="O165" s="83"/>
    </row>
    <row r="166" spans="1:15" s="29" customFormat="1" ht="15" customHeight="1">
      <c r="A166" s="95"/>
      <c r="B166" s="95"/>
      <c r="C166" s="95"/>
      <c r="D166" s="47" t="str">
        <f t="shared" si="19"/>
        <v/>
      </c>
      <c r="E166" s="27" t="str">
        <f>IF(ISBLANK(F166),"",Settings!$B$14)</f>
        <v/>
      </c>
      <c r="F166" s="96"/>
      <c r="G166" s="48" t="str">
        <f>IF(OR(ISBLANK(H166),H166=""),"",Settings!$B$14)</f>
        <v/>
      </c>
      <c r="H166" s="49" t="str">
        <f t="shared" si="20"/>
        <v/>
      </c>
      <c r="I166" s="27" t="str">
        <f>IF(ISBLANK(J166),"",Settings!$B$14)</f>
        <v/>
      </c>
      <c r="J166" s="96"/>
      <c r="K166" s="48" t="str">
        <f>IF(OR(ISBLANK(L166),L166=""),"",Settings!$B$14)</f>
        <v/>
      </c>
      <c r="L166" s="30" t="str">
        <f t="shared" si="21"/>
        <v/>
      </c>
      <c r="M166" s="83"/>
      <c r="N166" s="83"/>
      <c r="O166" s="83"/>
    </row>
    <row r="167" spans="1:15" s="29" customFormat="1" ht="15" customHeight="1">
      <c r="A167" s="95"/>
      <c r="B167" s="95"/>
      <c r="C167" s="95"/>
      <c r="D167" s="47" t="str">
        <f t="shared" si="19"/>
        <v/>
      </c>
      <c r="E167" s="27" t="str">
        <f>IF(ISBLANK(F167),"",Settings!$B$14)</f>
        <v/>
      </c>
      <c r="F167" s="96"/>
      <c r="G167" s="48" t="str">
        <f>IF(OR(ISBLANK(H167),H167=""),"",Settings!$B$14)</f>
        <v/>
      </c>
      <c r="H167" s="49" t="str">
        <f t="shared" si="20"/>
        <v/>
      </c>
      <c r="I167" s="27" t="str">
        <f>IF(ISBLANK(J167),"",Settings!$B$14)</f>
        <v/>
      </c>
      <c r="J167" s="96"/>
      <c r="K167" s="48" t="str">
        <f>IF(OR(ISBLANK(L167),L167=""),"",Settings!$B$14)</f>
        <v/>
      </c>
      <c r="L167" s="30" t="str">
        <f t="shared" si="21"/>
        <v/>
      </c>
      <c r="M167" s="83"/>
      <c r="N167" s="83"/>
      <c r="O167" s="83"/>
    </row>
    <row r="168" spans="1:15" s="29" customFormat="1" ht="15" customHeight="1">
      <c r="A168" s="95"/>
      <c r="B168" s="95"/>
      <c r="C168" s="95"/>
      <c r="D168" s="47" t="str">
        <f t="shared" si="19"/>
        <v/>
      </c>
      <c r="E168" s="27" t="str">
        <f>IF(ISBLANK(F168),"",Settings!$B$14)</f>
        <v/>
      </c>
      <c r="F168" s="96"/>
      <c r="G168" s="48" t="str">
        <f>IF(OR(ISBLANK(H168),H168=""),"",Settings!$B$14)</f>
        <v/>
      </c>
      <c r="H168" s="49" t="str">
        <f t="shared" si="20"/>
        <v/>
      </c>
      <c r="I168" s="27" t="str">
        <f>IF(ISBLANK(J168),"",Settings!$B$14)</f>
        <v/>
      </c>
      <c r="J168" s="96"/>
      <c r="K168" s="48" t="str">
        <f>IF(OR(ISBLANK(L168),L168=""),"",Settings!$B$14)</f>
        <v/>
      </c>
      <c r="L168" s="30" t="str">
        <f t="shared" si="21"/>
        <v/>
      </c>
      <c r="M168" s="83"/>
      <c r="N168" s="83"/>
      <c r="O168" s="83"/>
    </row>
    <row r="169" spans="1:15" s="29" customFormat="1" ht="15" customHeight="1">
      <c r="A169" s="95"/>
      <c r="B169" s="95"/>
      <c r="C169" s="95"/>
      <c r="D169" s="47" t="str">
        <f t="shared" si="19"/>
        <v/>
      </c>
      <c r="E169" s="27" t="str">
        <f>IF(ISBLANK(F169),"",Settings!$B$14)</f>
        <v/>
      </c>
      <c r="F169" s="96"/>
      <c r="G169" s="48" t="str">
        <f>IF(OR(ISBLANK(H169),H169=""),"",Settings!$B$14)</f>
        <v/>
      </c>
      <c r="H169" s="49" t="str">
        <f t="shared" si="20"/>
        <v/>
      </c>
      <c r="I169" s="27" t="str">
        <f>IF(ISBLANK(J169),"",Settings!$B$14)</f>
        <v/>
      </c>
      <c r="J169" s="96"/>
      <c r="K169" s="48" t="str">
        <f>IF(OR(ISBLANK(L169),L169=""),"",Settings!$B$14)</f>
        <v/>
      </c>
      <c r="L169" s="30" t="str">
        <f t="shared" si="21"/>
        <v/>
      </c>
      <c r="M169" s="83"/>
      <c r="N169" s="83"/>
      <c r="O169" s="83"/>
    </row>
    <row r="170" spans="1:15" s="45" customFormat="1" ht="6.95" customHeight="1">
      <c r="A170" s="91"/>
      <c r="B170" s="91"/>
      <c r="C170" s="91"/>
      <c r="D170" s="94"/>
      <c r="E170" s="94"/>
      <c r="F170" s="94"/>
      <c r="G170" s="94"/>
      <c r="H170" s="94"/>
      <c r="I170" s="94"/>
      <c r="J170" s="94"/>
      <c r="K170" s="94"/>
      <c r="L170" s="94"/>
      <c r="M170" s="20"/>
      <c r="N170" s="20"/>
      <c r="O170" s="20"/>
    </row>
    <row r="171" spans="1:15" s="45" customFormat="1" ht="18" customHeight="1" thickBot="1">
      <c r="A171" s="78" t="s">
        <v>174</v>
      </c>
      <c r="B171" s="78" t="s">
        <v>107</v>
      </c>
      <c r="C171" s="78" t="s">
        <v>161</v>
      </c>
      <c r="D171" s="23" t="s">
        <v>129</v>
      </c>
      <c r="E171" s="235" t="s">
        <v>110</v>
      </c>
      <c r="F171" s="235"/>
      <c r="G171" s="235" t="s">
        <v>111</v>
      </c>
      <c r="H171" s="235"/>
      <c r="I171" s="235" t="s">
        <v>111</v>
      </c>
      <c r="J171" s="235"/>
      <c r="K171" s="235" t="s">
        <v>110</v>
      </c>
      <c r="L171" s="235"/>
      <c r="M171" s="121"/>
      <c r="N171" s="122"/>
      <c r="O171" s="20"/>
    </row>
    <row r="172" spans="1:15" s="45" customFormat="1" ht="6.95" customHeight="1" thickTop="1">
      <c r="A172" s="91"/>
      <c r="B172" s="91"/>
      <c r="C172" s="91"/>
      <c r="D172" s="94"/>
      <c r="E172" s="94"/>
      <c r="F172" s="94"/>
      <c r="G172" s="94"/>
      <c r="H172" s="94"/>
      <c r="I172" s="94"/>
      <c r="J172" s="94"/>
      <c r="K172" s="94"/>
      <c r="L172" s="94"/>
      <c r="M172" s="20"/>
      <c r="N172" s="20"/>
      <c r="O172" s="20"/>
    </row>
    <row r="173" spans="1:15" s="29" customFormat="1" ht="15" customHeight="1">
      <c r="A173" s="95" t="s">
        <v>77</v>
      </c>
      <c r="B173" s="95" t="s">
        <v>179</v>
      </c>
      <c r="C173" s="95" t="s">
        <v>178</v>
      </c>
      <c r="D173" s="47">
        <f t="shared" ref="D173:D178" si="22">IF(ISBLANK(B173),"",INDEX(case_size,MATCH(B173,case,0),2)/INDEX(min_port,MATCH(C173,min_size,0),3))</f>
        <v>250</v>
      </c>
      <c r="E173" s="27" t="str">
        <f>IF(ISBLANK(F173),"",Settings!$B$14)</f>
        <v>$</v>
      </c>
      <c r="F173" s="96">
        <v>15.25</v>
      </c>
      <c r="G173" s="48" t="str">
        <f>IF(OR(ISBLANK(H173),H173=""),"",Settings!$B$14)</f>
        <v>$</v>
      </c>
      <c r="H173" s="49">
        <f t="shared" ref="H173:H178" si="23">IF(ISBLANK(F173),"",F173/D173)</f>
        <v>6.0999999999999999E-2</v>
      </c>
      <c r="I173" s="27" t="str">
        <f>IF(ISBLANK(J173),"",Settings!$B$14)</f>
        <v>$</v>
      </c>
      <c r="J173" s="96">
        <v>1.65</v>
      </c>
      <c r="K173" s="48" t="str">
        <f>IF(OR(ISBLANK(L173),L173=""),"",Settings!$B$14)</f>
        <v>$</v>
      </c>
      <c r="L173" s="30">
        <f t="shared" ref="L173:L178" si="24">IF(ISBLANK(J173),"",J173*D173)</f>
        <v>412.5</v>
      </c>
      <c r="M173" s="83"/>
      <c r="N173" s="83"/>
      <c r="O173" s="83"/>
    </row>
    <row r="174" spans="1:15" s="29" customFormat="1" ht="15" customHeight="1">
      <c r="A174" s="95" t="s">
        <v>78</v>
      </c>
      <c r="B174" s="95" t="s">
        <v>179</v>
      </c>
      <c r="C174" s="95" t="s">
        <v>178</v>
      </c>
      <c r="D174" s="47">
        <f t="shared" si="22"/>
        <v>250</v>
      </c>
      <c r="E174" s="27" t="str">
        <f>IF(ISBLANK(F174),"",Settings!$B$14)</f>
        <v>$</v>
      </c>
      <c r="F174" s="96">
        <v>14.43</v>
      </c>
      <c r="G174" s="48" t="str">
        <f>IF(OR(ISBLANK(H174),H174=""),"",Settings!$B$14)</f>
        <v>$</v>
      </c>
      <c r="H174" s="49">
        <f t="shared" si="23"/>
        <v>5.772E-2</v>
      </c>
      <c r="I174" s="27" t="str">
        <f>IF(ISBLANK(J174),"",Settings!$B$14)</f>
        <v>$</v>
      </c>
      <c r="J174" s="96">
        <v>1.65</v>
      </c>
      <c r="K174" s="48" t="str">
        <f>IF(OR(ISBLANK(L174),L174=""),"",Settings!$B$14)</f>
        <v>$</v>
      </c>
      <c r="L174" s="30">
        <f t="shared" si="24"/>
        <v>412.5</v>
      </c>
      <c r="M174" s="83"/>
      <c r="N174" s="83"/>
      <c r="O174" s="83"/>
    </row>
    <row r="175" spans="1:15" s="29" customFormat="1" ht="15" customHeight="1">
      <c r="A175" s="95" t="s">
        <v>79</v>
      </c>
      <c r="B175" s="95" t="s">
        <v>143</v>
      </c>
      <c r="C175" s="95" t="s">
        <v>178</v>
      </c>
      <c r="D175" s="47">
        <f t="shared" si="22"/>
        <v>500</v>
      </c>
      <c r="E175" s="27" t="str">
        <f>IF(ISBLANK(F175),"",Settings!$B$14)</f>
        <v>$</v>
      </c>
      <c r="F175" s="96">
        <v>12.3</v>
      </c>
      <c r="G175" s="48" t="str">
        <f>IF(OR(ISBLANK(H175),H175=""),"",Settings!$B$14)</f>
        <v>$</v>
      </c>
      <c r="H175" s="49">
        <f t="shared" si="23"/>
        <v>2.46E-2</v>
      </c>
      <c r="I175" s="27" t="str">
        <f>IF(ISBLANK(J175),"",Settings!$B$14)</f>
        <v>$</v>
      </c>
      <c r="J175" s="96">
        <v>1.65</v>
      </c>
      <c r="K175" s="48" t="str">
        <f>IF(OR(ISBLANK(L175),L175=""),"",Settings!$B$14)</f>
        <v>$</v>
      </c>
      <c r="L175" s="30">
        <f t="shared" si="24"/>
        <v>825</v>
      </c>
      <c r="M175" s="83"/>
      <c r="N175" s="83"/>
      <c r="O175" s="83"/>
    </row>
    <row r="176" spans="1:15" s="29" customFormat="1" ht="15" customHeight="1">
      <c r="A176" s="95" t="s">
        <v>112</v>
      </c>
      <c r="B176" s="95" t="s">
        <v>179</v>
      </c>
      <c r="C176" s="95" t="s">
        <v>145</v>
      </c>
      <c r="D176" s="47">
        <f t="shared" si="22"/>
        <v>200</v>
      </c>
      <c r="E176" s="27" t="str">
        <f>IF(ISBLANK(F176),"",Settings!$B$14)</f>
        <v>$</v>
      </c>
      <c r="F176" s="96">
        <v>15.53</v>
      </c>
      <c r="G176" s="48" t="str">
        <f>IF(OR(ISBLANK(H176),H176=""),"",Settings!$B$14)</f>
        <v>$</v>
      </c>
      <c r="H176" s="49">
        <f t="shared" si="23"/>
        <v>7.7649999999999997E-2</v>
      </c>
      <c r="I176" s="27" t="str">
        <f>IF(ISBLANK(J176),"",Settings!$B$14)</f>
        <v>$</v>
      </c>
      <c r="J176" s="96">
        <v>1.65</v>
      </c>
      <c r="K176" s="48" t="str">
        <f>IF(OR(ISBLANK(L176),L176=""),"",Settings!$B$14)</f>
        <v>$</v>
      </c>
      <c r="L176" s="30">
        <f t="shared" si="24"/>
        <v>330</v>
      </c>
      <c r="M176" s="83"/>
      <c r="N176" s="83"/>
      <c r="O176" s="83"/>
    </row>
    <row r="177" spans="1:15" s="29" customFormat="1" ht="15" customHeight="1">
      <c r="A177" s="95"/>
      <c r="B177" s="95"/>
      <c r="C177" s="95"/>
      <c r="D177" s="47" t="str">
        <f t="shared" si="22"/>
        <v/>
      </c>
      <c r="E177" s="27" t="str">
        <f>IF(ISBLANK(F177),"",Settings!$B$14)</f>
        <v/>
      </c>
      <c r="F177" s="96"/>
      <c r="G177" s="48" t="str">
        <f>IF(OR(ISBLANK(H177),H177=""),"",Settings!$B$14)</f>
        <v/>
      </c>
      <c r="H177" s="49" t="str">
        <f t="shared" si="23"/>
        <v/>
      </c>
      <c r="I177" s="27" t="str">
        <f>IF(ISBLANK(J177),"",Settings!$B$14)</f>
        <v/>
      </c>
      <c r="J177" s="96"/>
      <c r="K177" s="48" t="str">
        <f>IF(OR(ISBLANK(L177),L177=""),"",Settings!$B$14)</f>
        <v/>
      </c>
      <c r="L177" s="30" t="str">
        <f t="shared" si="24"/>
        <v/>
      </c>
      <c r="M177" s="83"/>
      <c r="N177" s="83"/>
      <c r="O177" s="83"/>
    </row>
    <row r="178" spans="1:15" s="29" customFormat="1" ht="15" customHeight="1">
      <c r="A178" s="95"/>
      <c r="B178" s="95"/>
      <c r="C178" s="95"/>
      <c r="D178" s="47" t="str">
        <f t="shared" si="22"/>
        <v/>
      </c>
      <c r="E178" s="27" t="str">
        <f>IF(ISBLANK(F178),"",Settings!$B$14)</f>
        <v/>
      </c>
      <c r="F178" s="96"/>
      <c r="G178" s="48" t="str">
        <f>IF(OR(ISBLANK(H178),H178=""),"",Settings!$B$14)</f>
        <v/>
      </c>
      <c r="H178" s="49" t="str">
        <f t="shared" si="23"/>
        <v/>
      </c>
      <c r="I178" s="27" t="str">
        <f>IF(ISBLANK(J178),"",Settings!$B$14)</f>
        <v/>
      </c>
      <c r="J178" s="96"/>
      <c r="K178" s="48" t="str">
        <f>IF(OR(ISBLANK(L178),L178=""),"",Settings!$B$14)</f>
        <v/>
      </c>
      <c r="L178" s="30" t="str">
        <f t="shared" si="24"/>
        <v/>
      </c>
      <c r="M178" s="83"/>
      <c r="N178" s="83"/>
      <c r="O178" s="83"/>
    </row>
    <row r="179" spans="1:15" s="45" customFormat="1" ht="6.95" customHeight="1">
      <c r="A179" s="91"/>
      <c r="B179" s="91"/>
      <c r="C179" s="91"/>
      <c r="D179" s="94"/>
      <c r="E179" s="94"/>
      <c r="F179" s="94"/>
      <c r="G179" s="94"/>
      <c r="H179" s="94"/>
      <c r="I179" s="94"/>
      <c r="J179" s="94"/>
      <c r="K179" s="94"/>
      <c r="L179" s="94"/>
      <c r="M179" s="20"/>
      <c r="N179" s="20"/>
      <c r="O179" s="20"/>
    </row>
    <row r="180" spans="1:15" s="45" customFormat="1" ht="18" customHeight="1" thickBot="1">
      <c r="A180" s="78" t="s">
        <v>185</v>
      </c>
      <c r="B180" s="123"/>
      <c r="C180" s="124"/>
      <c r="D180" s="43"/>
      <c r="E180" s="43"/>
      <c r="F180" s="124"/>
      <c r="G180" s="124"/>
      <c r="H180" s="124"/>
      <c r="I180" s="124"/>
      <c r="J180" s="124"/>
      <c r="K180" s="124"/>
      <c r="L180" s="124"/>
      <c r="M180" s="130"/>
      <c r="N180" s="131"/>
      <c r="O180" s="20"/>
    </row>
    <row r="181" spans="1:15" s="45" customFormat="1" ht="6.95" customHeight="1" thickTop="1">
      <c r="A181" s="91"/>
      <c r="B181" s="91"/>
      <c r="C181" s="91"/>
      <c r="D181" s="94"/>
      <c r="E181" s="94"/>
      <c r="F181" s="94"/>
      <c r="G181" s="94"/>
      <c r="H181" s="94"/>
      <c r="I181" s="94"/>
      <c r="J181" s="94"/>
      <c r="K181" s="94"/>
      <c r="L181" s="94"/>
      <c r="M181" s="20"/>
      <c r="N181" s="20"/>
      <c r="O181" s="20"/>
    </row>
    <row r="182" spans="1:15" s="29" customFormat="1" ht="15" customHeight="1">
      <c r="A182" s="95" t="s">
        <v>84</v>
      </c>
      <c r="B182" s="95" t="s">
        <v>67</v>
      </c>
      <c r="C182" s="97"/>
      <c r="D182" s="98">
        <v>1</v>
      </c>
      <c r="E182" s="27" t="str">
        <f>IF(ISBLANK(F182),"",Settings!$B$14)</f>
        <v>$</v>
      </c>
      <c r="F182" s="103">
        <v>15.75</v>
      </c>
      <c r="G182" s="99"/>
      <c r="H182" s="100"/>
      <c r="I182" s="100"/>
      <c r="J182" s="100"/>
      <c r="K182" s="100"/>
      <c r="L182" s="100"/>
      <c r="M182" s="83"/>
      <c r="N182" s="83"/>
      <c r="O182" s="83"/>
    </row>
    <row r="183" spans="1:15" s="29" customFormat="1" ht="15" customHeight="1">
      <c r="A183" s="95" t="s">
        <v>85</v>
      </c>
      <c r="B183" s="95" t="s">
        <v>67</v>
      </c>
      <c r="C183" s="97"/>
      <c r="D183" s="98">
        <v>1</v>
      </c>
      <c r="E183" s="27" t="str">
        <f>IF(ISBLANK(F183),"",Settings!$B$14)</f>
        <v>$</v>
      </c>
      <c r="F183" s="103">
        <v>28.3</v>
      </c>
      <c r="G183" s="99"/>
      <c r="H183" s="100"/>
      <c r="I183" s="100"/>
      <c r="J183" s="100"/>
      <c r="K183" s="100"/>
      <c r="L183" s="100"/>
      <c r="M183" s="83"/>
      <c r="N183" s="83"/>
      <c r="O183" s="83"/>
    </row>
    <row r="184" spans="1:15" s="29" customFormat="1" ht="15" customHeight="1">
      <c r="A184" s="95"/>
      <c r="B184" s="95"/>
      <c r="C184" s="97"/>
      <c r="D184" s="98"/>
      <c r="E184" s="27"/>
      <c r="F184" s="103"/>
      <c r="G184" s="99"/>
      <c r="H184" s="100"/>
      <c r="I184" s="100"/>
      <c r="J184" s="100"/>
      <c r="K184" s="100"/>
      <c r="L184" s="100"/>
      <c r="M184" s="83"/>
      <c r="N184" s="83"/>
      <c r="O184" s="83"/>
    </row>
    <row r="185" spans="1:15" s="29" customFormat="1" ht="15" customHeight="1">
      <c r="A185" s="95"/>
      <c r="B185" s="95"/>
      <c r="C185" s="97"/>
      <c r="D185" s="98"/>
      <c r="E185" s="27"/>
      <c r="F185" s="103"/>
      <c r="G185" s="99"/>
      <c r="H185" s="100"/>
      <c r="I185" s="100"/>
      <c r="J185" s="100"/>
      <c r="K185" s="100"/>
      <c r="L185" s="100"/>
      <c r="M185" s="83"/>
      <c r="N185" s="83"/>
      <c r="O185" s="83"/>
    </row>
    <row r="186" spans="1:15" s="45" customFormat="1" ht="6.95" customHeight="1">
      <c r="A186" s="91"/>
      <c r="B186" s="91"/>
      <c r="C186" s="91"/>
      <c r="D186" s="94"/>
      <c r="E186" s="94"/>
      <c r="F186" s="94"/>
      <c r="G186" s="94"/>
      <c r="H186" s="94"/>
      <c r="I186" s="94"/>
      <c r="J186" s="94"/>
      <c r="K186" s="94"/>
      <c r="L186" s="94"/>
      <c r="M186" s="20"/>
      <c r="N186" s="20"/>
      <c r="O186" s="20"/>
    </row>
    <row r="187" spans="1:15" s="45" customFormat="1" ht="18" customHeight="1" thickBot="1">
      <c r="A187" s="78" t="s">
        <v>177</v>
      </c>
      <c r="B187" s="123"/>
      <c r="C187" s="124"/>
      <c r="D187" s="43"/>
      <c r="E187" s="43"/>
      <c r="F187" s="124"/>
      <c r="G187" s="124"/>
      <c r="H187" s="124"/>
      <c r="I187" s="124"/>
      <c r="J187" s="124"/>
      <c r="K187" s="124"/>
      <c r="L187" s="124"/>
      <c r="M187" s="130"/>
      <c r="N187" s="131"/>
      <c r="O187" s="20"/>
    </row>
    <row r="188" spans="1:15" s="45" customFormat="1" ht="6.95" customHeight="1" thickTop="1">
      <c r="A188" s="91"/>
      <c r="B188" s="91"/>
      <c r="C188" s="91"/>
      <c r="D188" s="94"/>
      <c r="E188" s="94"/>
      <c r="F188" s="94"/>
      <c r="G188" s="94"/>
      <c r="H188" s="94"/>
      <c r="I188" s="94"/>
      <c r="J188" s="94"/>
      <c r="K188" s="94"/>
      <c r="L188" s="94"/>
      <c r="M188" s="20"/>
      <c r="N188" s="20"/>
      <c r="O188" s="20"/>
    </row>
    <row r="189" spans="1:15" s="29" customFormat="1" ht="15" customHeight="1">
      <c r="A189" s="95" t="s">
        <v>82</v>
      </c>
      <c r="B189" s="95" t="s">
        <v>67</v>
      </c>
      <c r="C189" s="97"/>
      <c r="D189" s="98">
        <v>1</v>
      </c>
      <c r="E189" s="27" t="str">
        <f>IF(ISBLANK(F189),"",Settings!$B$14)</f>
        <v>$</v>
      </c>
      <c r="F189" s="103">
        <v>1</v>
      </c>
      <c r="G189" s="99"/>
      <c r="H189" s="100"/>
      <c r="I189" s="100"/>
      <c r="J189" s="100"/>
      <c r="K189" s="100"/>
      <c r="L189" s="100"/>
      <c r="M189" s="83"/>
      <c r="N189" s="83"/>
      <c r="O189" s="83"/>
    </row>
    <row r="190" spans="1:15" s="29" customFormat="1" ht="15" customHeight="1">
      <c r="A190" s="95" t="s">
        <v>83</v>
      </c>
      <c r="B190" s="95" t="s">
        <v>67</v>
      </c>
      <c r="C190" s="97"/>
      <c r="D190" s="98">
        <v>1</v>
      </c>
      <c r="E190" s="27" t="str">
        <f>IF(ISBLANK(F190),"",Settings!$B$14)</f>
        <v>$</v>
      </c>
      <c r="F190" s="103">
        <v>4.2000000000000003E-2</v>
      </c>
      <c r="G190" s="99"/>
      <c r="H190" s="100"/>
      <c r="I190" s="100"/>
      <c r="J190" s="100"/>
      <c r="K190" s="100"/>
      <c r="L190" s="100"/>
      <c r="M190" s="83"/>
      <c r="N190" s="83"/>
      <c r="O190" s="83"/>
    </row>
    <row r="191" spans="1:15" s="29" customFormat="1" ht="15" customHeight="1">
      <c r="A191" s="95" t="s">
        <v>84</v>
      </c>
      <c r="B191" s="95" t="s">
        <v>67</v>
      </c>
      <c r="C191" s="97"/>
      <c r="D191" s="98">
        <v>1</v>
      </c>
      <c r="E191" s="27" t="str">
        <f>IF(ISBLANK(F191),"",Settings!$B$14)</f>
        <v>$</v>
      </c>
      <c r="F191" s="103">
        <v>4.3</v>
      </c>
      <c r="G191" s="99"/>
      <c r="H191" s="100"/>
      <c r="I191" s="100"/>
      <c r="J191" s="100"/>
      <c r="K191" s="100"/>
      <c r="L191" s="100"/>
      <c r="M191" s="83"/>
      <c r="N191" s="83"/>
      <c r="O191" s="83"/>
    </row>
    <row r="192" spans="1:15" s="29" customFormat="1" ht="15" customHeight="1">
      <c r="A192" s="95" t="s">
        <v>85</v>
      </c>
      <c r="B192" s="95" t="s">
        <v>67</v>
      </c>
      <c r="C192" s="97"/>
      <c r="D192" s="98">
        <v>1</v>
      </c>
      <c r="E192" s="27" t="str">
        <f>IF(ISBLANK(F192),"",Settings!$B$14)</f>
        <v>$</v>
      </c>
      <c r="F192" s="103">
        <v>5.65</v>
      </c>
      <c r="G192" s="99"/>
      <c r="H192" s="100"/>
      <c r="I192" s="100"/>
      <c r="J192" s="100"/>
      <c r="K192" s="100"/>
      <c r="L192" s="100"/>
      <c r="M192" s="83"/>
      <c r="N192" s="83"/>
      <c r="O192" s="83"/>
    </row>
    <row r="193" spans="1:15" s="29" customFormat="1" ht="15" customHeight="1">
      <c r="A193" s="95"/>
      <c r="B193" s="95"/>
      <c r="C193" s="97"/>
      <c r="D193" s="98"/>
      <c r="E193" s="27"/>
      <c r="F193" s="103"/>
      <c r="G193" s="99"/>
      <c r="H193" s="100"/>
      <c r="I193" s="100"/>
      <c r="J193" s="100"/>
      <c r="K193" s="100"/>
      <c r="L193" s="100"/>
      <c r="M193" s="83"/>
      <c r="N193" s="83"/>
      <c r="O193" s="83"/>
    </row>
    <row r="194" spans="1:15" s="29" customFormat="1" ht="15" customHeight="1">
      <c r="A194" s="95"/>
      <c r="B194" s="95"/>
      <c r="C194" s="97"/>
      <c r="D194" s="98"/>
      <c r="E194" s="27"/>
      <c r="F194" s="103"/>
      <c r="G194" s="99"/>
      <c r="H194" s="100"/>
      <c r="I194" s="100"/>
      <c r="J194" s="100"/>
      <c r="K194" s="100"/>
      <c r="L194" s="100"/>
      <c r="M194" s="83"/>
      <c r="N194" s="83"/>
      <c r="O194" s="83"/>
    </row>
    <row r="195" spans="1:15" s="29" customFormat="1" ht="15" customHeight="1">
      <c r="A195" s="95"/>
      <c r="B195" s="95"/>
      <c r="C195" s="97"/>
      <c r="D195" s="98"/>
      <c r="E195" s="27"/>
      <c r="F195" s="103"/>
      <c r="G195" s="99"/>
      <c r="H195" s="100"/>
      <c r="I195" s="100"/>
      <c r="J195" s="100"/>
      <c r="K195" s="100"/>
      <c r="L195" s="100"/>
      <c r="M195" s="83"/>
      <c r="N195" s="83"/>
      <c r="O195" s="83"/>
    </row>
    <row r="196" spans="1:15" s="29" customFormat="1" ht="15" customHeight="1">
      <c r="A196" s="95"/>
      <c r="B196" s="95"/>
      <c r="C196" s="97"/>
      <c r="D196" s="98"/>
      <c r="E196" s="27"/>
      <c r="F196" s="103"/>
      <c r="G196" s="99"/>
      <c r="H196" s="100"/>
      <c r="I196" s="100"/>
      <c r="J196" s="100"/>
      <c r="K196" s="100"/>
      <c r="L196" s="100"/>
      <c r="M196" s="83"/>
      <c r="N196" s="83"/>
      <c r="O196" s="83"/>
    </row>
    <row r="197" spans="1:15" s="45" customFormat="1" ht="6.95" customHeight="1" thickBot="1">
      <c r="A197" s="91"/>
      <c r="B197" s="91"/>
      <c r="C197" s="91"/>
      <c r="D197" s="94"/>
      <c r="E197" s="94"/>
      <c r="F197" s="94"/>
      <c r="G197" s="94"/>
      <c r="H197" s="94"/>
      <c r="I197" s="94"/>
      <c r="J197" s="94"/>
      <c r="K197" s="94"/>
      <c r="L197" s="94"/>
      <c r="M197" s="20"/>
      <c r="N197" s="20"/>
      <c r="O197" s="20"/>
    </row>
    <row r="198" spans="1:15" ht="18" customHeight="1" thickTop="1">
      <c r="A198" s="40"/>
      <c r="B198" s="125"/>
      <c r="C198" s="85"/>
      <c r="D198" s="41"/>
      <c r="E198" s="41"/>
      <c r="F198" s="42"/>
      <c r="G198" s="42"/>
      <c r="H198" s="42"/>
      <c r="I198" s="42"/>
      <c r="J198" s="42"/>
      <c r="K198" s="42"/>
      <c r="L198" s="42"/>
      <c r="M198" s="132"/>
      <c r="N198" s="133"/>
      <c r="O198" s="62"/>
    </row>
    <row r="199" spans="1:15">
      <c r="D199" s="93"/>
      <c r="E199" s="93"/>
      <c r="F199" s="101"/>
      <c r="G199" s="101"/>
      <c r="H199" s="101"/>
      <c r="I199" s="101"/>
      <c r="J199" s="101"/>
      <c r="K199" s="101"/>
      <c r="L199" s="93"/>
      <c r="M199" s="62"/>
      <c r="N199" s="62"/>
      <c r="O199" s="62"/>
    </row>
    <row r="200" spans="1:15">
      <c r="D200" s="93"/>
      <c r="E200" s="93"/>
      <c r="F200" s="101"/>
      <c r="G200" s="101"/>
      <c r="H200" s="101"/>
      <c r="I200" s="101"/>
      <c r="J200" s="101"/>
      <c r="K200" s="101"/>
      <c r="L200" s="93"/>
      <c r="M200" s="62"/>
      <c r="N200" s="62"/>
      <c r="O200" s="62"/>
    </row>
    <row r="201" spans="1:15">
      <c r="D201" s="93"/>
      <c r="E201" s="93"/>
      <c r="F201" s="101"/>
      <c r="G201" s="101"/>
      <c r="H201" s="101"/>
      <c r="I201" s="101"/>
      <c r="J201" s="101"/>
      <c r="K201" s="101"/>
      <c r="L201" s="93"/>
      <c r="M201" s="62"/>
      <c r="N201" s="62"/>
      <c r="O201" s="62"/>
    </row>
    <row r="202" spans="1:15">
      <c r="D202" s="93"/>
      <c r="E202" s="93"/>
      <c r="F202" s="101"/>
      <c r="G202" s="101"/>
      <c r="H202" s="101"/>
      <c r="I202" s="101"/>
      <c r="J202" s="101"/>
      <c r="K202" s="101"/>
      <c r="L202" s="93"/>
      <c r="M202" s="62"/>
      <c r="N202" s="62"/>
      <c r="O202" s="62"/>
    </row>
    <row r="203" spans="1:15">
      <c r="D203" s="93"/>
      <c r="E203" s="93"/>
      <c r="F203" s="101"/>
      <c r="G203" s="101"/>
      <c r="H203" s="101"/>
      <c r="I203" s="101"/>
      <c r="J203" s="101"/>
      <c r="K203" s="101"/>
      <c r="L203" s="93"/>
      <c r="M203" s="62"/>
      <c r="N203" s="62"/>
      <c r="O203" s="62"/>
    </row>
    <row r="204" spans="1:15">
      <c r="D204" s="93"/>
      <c r="E204" s="93"/>
      <c r="F204" s="101"/>
      <c r="G204" s="101"/>
      <c r="H204" s="101"/>
      <c r="I204" s="101"/>
      <c r="J204" s="101"/>
      <c r="K204" s="101"/>
      <c r="L204" s="93"/>
      <c r="M204" s="62"/>
      <c r="N204" s="62"/>
      <c r="O204" s="62"/>
    </row>
    <row r="205" spans="1:15">
      <c r="D205" s="93"/>
      <c r="E205" s="93"/>
      <c r="F205" s="93"/>
      <c r="G205" s="93"/>
      <c r="H205" s="93"/>
      <c r="I205" s="93"/>
      <c r="J205" s="93"/>
      <c r="K205" s="93"/>
      <c r="L205" s="93"/>
    </row>
  </sheetData>
  <sheetProtection password="F349" sheet="1" objects="1" scenarios="1" selectLockedCells="1"/>
  <protectedRanges>
    <protectedRange sqref="F12:F55 J12:J55 A12:A55 C12:C55" name="Spirits"/>
    <protectedRange sqref="F59:F72 J59:J72 A59:A72 C59:C72" name="Fortified Wines"/>
    <protectedRange sqref="F76:F97 J76:J97 A76:C97" name="Table Wines"/>
    <protectedRange sqref="F101:F106 D110:D115 J101:J106 A101:A106 C101:D106" name="Draught Beer"/>
    <protectedRange sqref="F110:F115 C110:C115 A110:A115 J110:J115" name="Draught Lager"/>
    <protectedRange sqref="F119:F134 J119:J134 A119:C134 B138:C146" name="Bottled Beer"/>
    <protectedRange sqref="F138:F146 A138:A146 J138:J146" name="Cider"/>
    <protectedRange sqref="F150:F169 J150:J169 A150:C169 C173:C178" name="Minerals"/>
    <protectedRange sqref="F173:F178 J173:J178 A173:B178" name="Post Mix Drinks"/>
    <protectedRange sqref="D189:D196 F189:G196 A189:B196 D182:D185 F182:G185 A182:B185" name="Containers"/>
  </protectedRanges>
  <mergeCells count="39">
    <mergeCell ref="E171:F171"/>
    <mergeCell ref="G171:H171"/>
    <mergeCell ref="I171:J171"/>
    <mergeCell ref="K171:L171"/>
    <mergeCell ref="K136:L136"/>
    <mergeCell ref="E148:F148"/>
    <mergeCell ref="G148:H148"/>
    <mergeCell ref="I148:J148"/>
    <mergeCell ref="K148:L148"/>
    <mergeCell ref="E136:F136"/>
    <mergeCell ref="G136:H136"/>
    <mergeCell ref="G108:H108"/>
    <mergeCell ref="G117:H117"/>
    <mergeCell ref="I136:J136"/>
    <mergeCell ref="I108:J108"/>
    <mergeCell ref="K108:L108"/>
    <mergeCell ref="I117:J117"/>
    <mergeCell ref="K117:L117"/>
    <mergeCell ref="E117:F117"/>
    <mergeCell ref="E108:F108"/>
    <mergeCell ref="N3:P3"/>
    <mergeCell ref="I8:L8"/>
    <mergeCell ref="I57:J57"/>
    <mergeCell ref="K57:L57"/>
    <mergeCell ref="E99:F99"/>
    <mergeCell ref="G99:H99"/>
    <mergeCell ref="I99:J99"/>
    <mergeCell ref="K99:L99"/>
    <mergeCell ref="E74:F74"/>
    <mergeCell ref="G74:H74"/>
    <mergeCell ref="I74:J74"/>
    <mergeCell ref="K74:L74"/>
    <mergeCell ref="E8:H8"/>
    <mergeCell ref="E10:F10"/>
    <mergeCell ref="G10:H10"/>
    <mergeCell ref="G57:H57"/>
    <mergeCell ref="E57:F57"/>
    <mergeCell ref="I10:J10"/>
    <mergeCell ref="K10:L10"/>
  </mergeCells>
  <phoneticPr fontId="5" type="noConversion"/>
  <dataValidations count="5">
    <dataValidation type="list" allowBlank="1" showInputMessage="1" showErrorMessage="1" sqref="B173:B178 B138:B146 B150:B169 B59:B72 B110:B115 B119:B134 B12:B55 B76:B97 B101:B106">
      <formula1>case</formula1>
    </dataValidation>
    <dataValidation type="list" allowBlank="1" showInputMessage="1" showErrorMessage="1" sqref="C150:C169 C173:C178">
      <formula1>min_size</formula1>
    </dataValidation>
    <dataValidation type="list" allowBlank="1" showInputMessage="1" showErrorMessage="1" sqref="C119:C134 C138:C146">
      <formula1>bb_size</formula1>
    </dataValidation>
    <dataValidation type="list" allowBlank="1" showInputMessage="1" showErrorMessage="1" sqref="C59:C72 C76:C97 C12:C55">
      <formula1>spirits</formula1>
    </dataValidation>
    <dataValidation type="list" allowBlank="1" showInputMessage="1" showErrorMessage="1" sqref="C101:C106 C110:C115">
      <formula1>draught_beer</formula1>
    </dataValidation>
  </dataValidations>
  <pageMargins left="0.15748031496062992" right="0.15748031496062992" top="0.19685039370078741" bottom="0.19685039370078741" header="0.51181102362204722" footer="0.51181102362204722"/>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42"/>
  <sheetViews>
    <sheetView showGridLines="0" workbookViewId="0">
      <selection activeCell="B6" sqref="B6:D6"/>
    </sheetView>
  </sheetViews>
  <sheetFormatPr defaultRowHeight="12.75"/>
  <cols>
    <col min="1" max="1" width="58.5703125" style="52" customWidth="1"/>
    <col min="2" max="2" width="3.7109375" style="52" customWidth="1"/>
    <col min="3" max="3" width="11.7109375" style="52" customWidth="1"/>
    <col min="4" max="4" width="3.7109375" style="52" customWidth="1"/>
    <col min="5" max="5" width="11.7109375" style="52" customWidth="1"/>
    <col min="6" max="6" width="3.7109375" style="52" customWidth="1"/>
    <col min="7" max="7" width="11.7109375" style="52" customWidth="1"/>
    <col min="8" max="8" width="3.7109375" style="52" customWidth="1"/>
    <col min="9" max="9" width="11.7109375" style="52" customWidth="1"/>
    <col min="10" max="10" width="3.7109375" style="52" customWidth="1"/>
    <col min="11" max="11" width="11.7109375" style="52" customWidth="1"/>
    <col min="12" max="12" width="3.7109375" style="52" customWidth="1"/>
    <col min="13" max="13" width="11.7109375" style="52" customWidth="1"/>
    <col min="14" max="16384" width="9.140625" style="135"/>
  </cols>
  <sheetData>
    <row r="1" spans="1:13" s="45" customFormat="1" ht="54.95" customHeight="1">
      <c r="A1" s="104" t="s">
        <v>230</v>
      </c>
      <c r="B1" s="105"/>
      <c r="C1" s="106"/>
      <c r="D1" s="106"/>
      <c r="E1" s="106"/>
      <c r="F1" s="106"/>
      <c r="G1" s="106"/>
      <c r="H1" s="106"/>
      <c r="I1" s="106"/>
      <c r="J1" s="106"/>
      <c r="K1" s="106"/>
      <c r="L1" s="107"/>
      <c r="M1" s="134"/>
    </row>
    <row r="2" spans="1:13" ht="33.75" customHeight="1">
      <c r="A2" s="108" t="str">
        <f>IF(Settings!$E$5="Enable",Settings!$B$5,"")</f>
        <v>My Company name</v>
      </c>
      <c r="B2" s="60"/>
      <c r="C2" s="60"/>
      <c r="D2" s="60"/>
      <c r="E2" s="60"/>
      <c r="F2" s="60"/>
      <c r="G2" s="60"/>
      <c r="H2" s="60"/>
      <c r="I2" s="60"/>
      <c r="J2" s="60"/>
      <c r="K2" s="60"/>
      <c r="L2" s="60"/>
      <c r="M2" s="90"/>
    </row>
    <row r="3" spans="1:13" ht="18" customHeight="1">
      <c r="A3" s="111" t="str">
        <f>IF(Settings!$E$6="Enable",Settings!$B$6,"")</f>
        <v>My company slogan</v>
      </c>
      <c r="B3" s="57"/>
      <c r="C3" s="57"/>
      <c r="D3" s="57"/>
      <c r="E3" s="57"/>
      <c r="F3" s="57"/>
      <c r="G3" s="57"/>
      <c r="H3" s="57"/>
      <c r="I3" s="57"/>
      <c r="J3" s="58"/>
      <c r="M3" s="63"/>
    </row>
    <row r="4" spans="1:13" ht="15">
      <c r="A4" s="59"/>
      <c r="B4" s="59"/>
      <c r="C4" s="59"/>
      <c r="D4" s="59"/>
      <c r="E4" s="59"/>
      <c r="F4" s="59"/>
      <c r="G4" s="59"/>
      <c r="H4" s="59"/>
      <c r="I4" s="59"/>
      <c r="J4" s="59"/>
      <c r="M4" s="116" t="s">
        <v>229</v>
      </c>
    </row>
    <row r="5" spans="1:13" ht="15">
      <c r="A5" s="59"/>
      <c r="B5" s="59"/>
      <c r="C5" s="59"/>
      <c r="D5" s="59"/>
      <c r="E5" s="59"/>
      <c r="F5" s="59"/>
      <c r="G5" s="59"/>
      <c r="H5" s="59"/>
      <c r="I5" s="59"/>
      <c r="J5" s="59"/>
      <c r="M5" s="58"/>
    </row>
    <row r="6" spans="1:13" s="138" customFormat="1" ht="18" customHeight="1">
      <c r="A6" s="136" t="s">
        <v>122</v>
      </c>
      <c r="B6" s="243">
        <v>4</v>
      </c>
      <c r="C6" s="244"/>
      <c r="D6" s="245"/>
      <c r="E6" s="137"/>
      <c r="F6" s="20"/>
      <c r="G6" s="20"/>
      <c r="H6" s="20"/>
      <c r="I6" s="20"/>
      <c r="J6" s="20"/>
      <c r="K6" s="20"/>
      <c r="L6" s="20"/>
      <c r="M6" s="20"/>
    </row>
    <row r="7" spans="1:13" s="138" customFormat="1" ht="18" customHeight="1">
      <c r="A7" s="136" t="s">
        <v>215</v>
      </c>
      <c r="B7" s="139" t="str">
        <f>IF(OR(ISBLANK(C7),C7=0),"",Settings!$B$14)</f>
        <v>$</v>
      </c>
      <c r="C7" s="248">
        <v>16564</v>
      </c>
      <c r="D7" s="249"/>
      <c r="E7" s="140"/>
      <c r="F7" s="20"/>
      <c r="G7" s="20"/>
      <c r="H7" s="20"/>
      <c r="I7" s="20"/>
      <c r="J7" s="20"/>
      <c r="K7" s="20"/>
      <c r="L7" s="20"/>
      <c r="M7" s="20"/>
    </row>
    <row r="8" spans="1:13" s="138" customFormat="1" ht="18" customHeight="1">
      <c r="A8" s="136" t="s">
        <v>123</v>
      </c>
      <c r="B8" s="240">
        <v>0.74</v>
      </c>
      <c r="C8" s="241"/>
      <c r="D8" s="242"/>
      <c r="E8" s="137"/>
      <c r="F8" s="20"/>
      <c r="G8" s="20"/>
      <c r="H8" s="20"/>
      <c r="I8" s="20"/>
      <c r="J8" s="20"/>
      <c r="K8" s="20"/>
      <c r="L8" s="20"/>
      <c r="M8" s="20"/>
    </row>
    <row r="9" spans="1:13" s="138" customFormat="1" ht="18" customHeight="1">
      <c r="A9" s="136" t="s">
        <v>224</v>
      </c>
      <c r="B9" s="20" t="str">
        <f>IF(OR(ISBLANK(C9),C9=0),"",Settings!$B$14)</f>
        <v>$</v>
      </c>
      <c r="C9" s="238">
        <f>'Stock Opening'!G214</f>
        <v>319.19800000000004</v>
      </c>
      <c r="D9" s="238"/>
      <c r="E9" s="137"/>
      <c r="F9" s="20"/>
      <c r="G9" s="20"/>
      <c r="H9" s="20"/>
      <c r="I9" s="20"/>
      <c r="J9" s="20"/>
      <c r="K9" s="20"/>
      <c r="L9" s="20"/>
      <c r="M9" s="20"/>
    </row>
    <row r="10" spans="1:13" s="138" customFormat="1" ht="18" customHeight="1">
      <c r="A10" s="136" t="s">
        <v>225</v>
      </c>
      <c r="B10" s="20" t="str">
        <f>IF(OR(ISBLANK(C10),C10=0),"",Settings!$B$14)</f>
        <v>$</v>
      </c>
      <c r="C10" s="238">
        <f>IF(ISBLANK(B6),0,IF(B6=4,'Week 4'!$L$214,'Week 5'!$L$214))</f>
        <v>364.34424999999999</v>
      </c>
      <c r="D10" s="238"/>
      <c r="E10" s="137"/>
      <c r="F10" s="20"/>
      <c r="G10" s="20"/>
      <c r="H10" s="20"/>
      <c r="I10" s="20"/>
      <c r="J10" s="20"/>
      <c r="K10" s="20"/>
      <c r="L10" s="20"/>
      <c r="M10" s="20"/>
    </row>
    <row r="11" spans="1:13" s="138" customFormat="1" ht="18" customHeight="1">
      <c r="A11" s="136" t="s">
        <v>227</v>
      </c>
      <c r="B11" s="239">
        <f>L41</f>
        <v>0.94444057896643319</v>
      </c>
      <c r="C11" s="239"/>
      <c r="D11" s="239"/>
      <c r="E11" s="137"/>
      <c r="F11" s="20"/>
      <c r="G11" s="20"/>
      <c r="H11" s="20"/>
      <c r="I11" s="20"/>
      <c r="J11" s="20"/>
      <c r="K11" s="20"/>
      <c r="L11" s="20"/>
      <c r="M11" s="20"/>
    </row>
    <row r="12" spans="1:13" s="138" customFormat="1" ht="18" customHeight="1">
      <c r="A12" s="136" t="s">
        <v>214</v>
      </c>
      <c r="B12" s="20" t="str">
        <f>IF(OR(ISBLANK(C12),C12=0),"",Settings!$B$14)</f>
        <v>$</v>
      </c>
      <c r="C12" s="238">
        <f>C7*(1-B8)-C9</f>
        <v>3987.4420000000005</v>
      </c>
      <c r="D12" s="238"/>
      <c r="E12" s="137"/>
      <c r="F12" s="20"/>
      <c r="G12" s="20"/>
      <c r="H12" s="20"/>
      <c r="I12" s="20"/>
      <c r="J12" s="20"/>
      <c r="K12" s="20"/>
      <c r="L12" s="20"/>
      <c r="M12" s="20"/>
    </row>
    <row r="13" spans="1:13" s="138" customFormat="1" ht="18" customHeight="1">
      <c r="A13" s="136" t="s">
        <v>228</v>
      </c>
      <c r="B13" s="20" t="str">
        <f>IF(OR(ISBLANK(C13),C13=0),"",Settings!$B$14)</f>
        <v>$</v>
      </c>
      <c r="C13" s="238">
        <f>M28</f>
        <v>965.43250000000012</v>
      </c>
      <c r="D13" s="238"/>
      <c r="E13" s="137"/>
      <c r="F13" s="20"/>
      <c r="G13" s="20"/>
      <c r="H13" s="20"/>
      <c r="I13" s="20"/>
      <c r="J13" s="20"/>
      <c r="K13" s="20"/>
      <c r="L13" s="20"/>
      <c r="M13" s="20"/>
    </row>
    <row r="14" spans="1:13" s="138" customFormat="1" ht="18" customHeight="1">
      <c r="A14" s="136" t="str">
        <f>"Net Revenue "&amp;IF(C14&gt;0,"Surplus","Deficit")&amp;" (based on purchase cost difference)"</f>
        <v>Net Revenue Surplus (based on purchase cost difference)</v>
      </c>
      <c r="B14" s="20" t="str">
        <f>IF(OR(ISBLANK(C14),C14=0),"",Settings!$B$14)</f>
        <v>$</v>
      </c>
      <c r="C14" s="238">
        <f>M31/(1-B8)*B8+M31</f>
        <v>11623.113461538464</v>
      </c>
      <c r="D14" s="238"/>
      <c r="E14" s="137"/>
      <c r="F14" s="20"/>
      <c r="G14" s="20"/>
      <c r="H14" s="20"/>
      <c r="I14" s="20"/>
      <c r="J14" s="20"/>
      <c r="K14" s="20"/>
      <c r="L14" s="20"/>
      <c r="M14" s="20"/>
    </row>
    <row r="15" spans="1:13" s="138" customFormat="1" ht="18" customHeight="1">
      <c r="A15" s="136" t="s">
        <v>226</v>
      </c>
      <c r="B15" s="20" t="str">
        <f>IF(OR(ISBLANK(C15),C15=0),"",Settings!$B$14)</f>
        <v>$</v>
      </c>
      <c r="C15" s="250">
        <f>SUM('Key Lines'!O12:O178)</f>
        <v>-13726.061</v>
      </c>
      <c r="D15" s="250"/>
      <c r="E15" s="137"/>
      <c r="F15" s="20"/>
      <c r="G15" s="20"/>
      <c r="H15" s="20"/>
      <c r="I15" s="141"/>
      <c r="J15" s="141"/>
      <c r="K15" s="20"/>
      <c r="L15" s="20"/>
      <c r="M15" s="20"/>
    </row>
    <row r="16" spans="1:13">
      <c r="E16" s="62"/>
      <c r="F16" s="62"/>
      <c r="G16" s="62"/>
      <c r="H16" s="62"/>
      <c r="I16" s="62"/>
      <c r="J16" s="62"/>
      <c r="K16" s="62"/>
      <c r="L16" s="62"/>
      <c r="M16" s="62"/>
    </row>
    <row r="17" spans="1:13" s="138" customFormat="1" ht="18" customHeight="1">
      <c r="A17" s="107"/>
      <c r="B17" s="247" t="s">
        <v>204</v>
      </c>
      <c r="C17" s="247"/>
      <c r="D17" s="247" t="s">
        <v>205</v>
      </c>
      <c r="E17" s="247"/>
      <c r="F17" s="247" t="s">
        <v>206</v>
      </c>
      <c r="G17" s="247"/>
      <c r="H17" s="247" t="s">
        <v>207</v>
      </c>
      <c r="I17" s="247"/>
      <c r="J17" s="247" t="s">
        <v>208</v>
      </c>
      <c r="K17" s="247"/>
      <c r="L17" s="247" t="s">
        <v>210</v>
      </c>
      <c r="M17" s="247"/>
    </row>
    <row r="18" spans="1:13" ht="6.95" customHeight="1">
      <c r="C18" s="14"/>
      <c r="D18" s="14"/>
      <c r="E18" s="14"/>
      <c r="F18" s="14"/>
      <c r="G18" s="14"/>
      <c r="H18" s="14"/>
      <c r="I18" s="14"/>
      <c r="J18" s="14"/>
      <c r="K18" s="14"/>
      <c r="L18" s="14"/>
    </row>
    <row r="19" spans="1:13" s="138" customFormat="1" ht="18" customHeight="1" thickBot="1">
      <c r="A19" s="142" t="s">
        <v>211</v>
      </c>
      <c r="B19" s="143"/>
      <c r="C19" s="143"/>
      <c r="D19" s="143"/>
      <c r="E19" s="143"/>
      <c r="F19" s="143"/>
      <c r="G19" s="143"/>
      <c r="H19" s="143"/>
      <c r="I19" s="143"/>
      <c r="J19" s="143"/>
      <c r="K19" s="143"/>
      <c r="L19" s="143"/>
      <c r="M19" s="143"/>
    </row>
    <row r="20" spans="1:13" s="138" customFormat="1" ht="6.95" customHeight="1" thickTop="1">
      <c r="A20" s="144"/>
      <c r="B20" s="144"/>
      <c r="C20" s="144"/>
      <c r="D20" s="144"/>
      <c r="E20" s="144"/>
      <c r="F20" s="144"/>
      <c r="G20" s="144"/>
      <c r="H20" s="144"/>
      <c r="I20" s="144"/>
      <c r="J20" s="144"/>
      <c r="K20" s="144"/>
      <c r="L20" s="144"/>
      <c r="M20" s="144"/>
    </row>
    <row r="21" spans="1:13" s="145" customFormat="1" ht="15" customHeight="1">
      <c r="A21" s="50" t="str">
        <f>"Actual Revenue (inc. "&amp;Settings!$B$10&amp;")"</f>
        <v>Actual Revenue (inc. Sales Tax)</v>
      </c>
      <c r="B21" s="139" t="str">
        <f>IF(OR(ISBLANK(C21),C21=0),"",Settings!$B$14)</f>
        <v>$</v>
      </c>
      <c r="C21" s="150">
        <f>4141*1.2</f>
        <v>4969.2</v>
      </c>
      <c r="D21" s="139" t="str">
        <f>IF(OR(ISBLANK(E21),E21=0),"",Settings!$B$14)</f>
        <v>$</v>
      </c>
      <c r="E21" s="150">
        <v>4969.2</v>
      </c>
      <c r="F21" s="139" t="str">
        <f>IF(OR(ISBLANK(G21),G21=0),"",Settings!$B$14)</f>
        <v>$</v>
      </c>
      <c r="G21" s="150">
        <v>4969.2</v>
      </c>
      <c r="H21" s="139" t="str">
        <f>IF(OR(ISBLANK(I21),I21=0),"",Settings!$B$14)</f>
        <v>$</v>
      </c>
      <c r="I21" s="150">
        <v>4969.2</v>
      </c>
      <c r="J21" s="139" t="str">
        <f>IF(OR(ISBLANK(K21),K21=0),"",Settings!$B$14)</f>
        <v/>
      </c>
      <c r="K21" s="150"/>
      <c r="L21" s="20" t="str">
        <f>IF(OR(ISBLANK(M21),M21=0),"",Settings!$B$14)</f>
        <v>$</v>
      </c>
      <c r="M21" s="87">
        <f>SUM(C21:K21)</f>
        <v>19876.8</v>
      </c>
    </row>
    <row r="22" spans="1:13" s="145" customFormat="1" ht="15" customHeight="1">
      <c r="A22" s="50" t="s">
        <v>216</v>
      </c>
      <c r="B22" s="20" t="str">
        <f>IF(OR(ISBLANK(C22),C22=0),"",Settings!$B$14)</f>
        <v>$</v>
      </c>
      <c r="C22" s="87">
        <f>IF(ISBLANK(C21),0,C21/(1+Settings!$B$12/1))</f>
        <v>4141</v>
      </c>
      <c r="D22" s="20" t="str">
        <f>IF(OR(ISBLANK(E22),E22=0),"",Settings!$B$14)</f>
        <v>$</v>
      </c>
      <c r="E22" s="87">
        <f>IF(ISBLANK(E21),0,E21/(1+Settings!$B$12/1))</f>
        <v>4141</v>
      </c>
      <c r="F22" s="20" t="str">
        <f>IF(OR(ISBLANK(G22),G22=0),"",Settings!$B$14)</f>
        <v>$</v>
      </c>
      <c r="G22" s="87">
        <f>IF(ISBLANK(G21),0,G21/(1+Settings!$B$12/1))</f>
        <v>4141</v>
      </c>
      <c r="H22" s="20" t="str">
        <f>IF(OR(ISBLANK(I22),I22=0),"",Settings!$B$14)</f>
        <v>$</v>
      </c>
      <c r="I22" s="87">
        <f>IF(ISBLANK(I21),0,I21/(1+Settings!$B$12/1))</f>
        <v>4141</v>
      </c>
      <c r="J22" s="20" t="str">
        <f>IF(OR(ISBLANK(K22),K22=0),"",Settings!$B$14)</f>
        <v/>
      </c>
      <c r="K22" s="87">
        <f>IF(OR(ISBLANK($B$6),$B$6=4),0,IF(ISBLANK(K21),0,K21/(1+Settings!$B$12/1)))</f>
        <v>0</v>
      </c>
      <c r="L22" s="20" t="str">
        <f>IF(OR(ISBLANK(M22),M22=0),"",Settings!$B$14)</f>
        <v>$</v>
      </c>
      <c r="M22" s="87">
        <f>SUM(C22:K22)</f>
        <v>16564</v>
      </c>
    </row>
    <row r="23" spans="1:13" s="145" customFormat="1" ht="15" customHeight="1">
      <c r="A23" s="50" t="s">
        <v>215</v>
      </c>
      <c r="B23" s="20" t="str">
        <f>IF(OR(ISBLANK(C23),C23=0),"",Settings!$B$14)</f>
        <v>$</v>
      </c>
      <c r="C23" s="87">
        <f>IF(ISBLANK($B$6),0,$C$7/$B$6)</f>
        <v>4141</v>
      </c>
      <c r="D23" s="20" t="str">
        <f>IF(OR(ISBLANK(E23),E23=0),"",Settings!$B$14)</f>
        <v>$</v>
      </c>
      <c r="E23" s="87">
        <f>IF(ISBLANK($B$6),0,$C$7/$B$6)</f>
        <v>4141</v>
      </c>
      <c r="F23" s="20" t="str">
        <f>IF(OR(ISBLANK(G23),G23=0),"",Settings!$B$14)</f>
        <v>$</v>
      </c>
      <c r="G23" s="87">
        <f>IF(ISBLANK($B$6),0,$C$7/$B$6)</f>
        <v>4141</v>
      </c>
      <c r="H23" s="20" t="str">
        <f>IF(OR(ISBLANK(I23),I23=0),"",Settings!$B$14)</f>
        <v>$</v>
      </c>
      <c r="I23" s="87">
        <f>IF(ISBLANK($B$6),0,$C$7/$B$6)</f>
        <v>4141</v>
      </c>
      <c r="J23" s="20" t="str">
        <f>IF(OR(ISBLANK(K23),K23=0),"",Settings!$B$14)</f>
        <v/>
      </c>
      <c r="K23" s="87">
        <f>IF(OR(ISBLANK($B$6),$B$6=4),0,$C$7/$B$6)</f>
        <v>0</v>
      </c>
      <c r="L23" s="20" t="str">
        <f>IF(OR(ISBLANK(M23),M23=0),"",Settings!$B$14)</f>
        <v>$</v>
      </c>
      <c r="M23" s="87">
        <f>C7</f>
        <v>16564</v>
      </c>
    </row>
    <row r="24" spans="1:13" s="145" customFormat="1" ht="15" customHeight="1">
      <c r="A24" s="50" t="s">
        <v>213</v>
      </c>
      <c r="B24" s="20" t="str">
        <f>IF(OR(ISBLANK(C24),C24=0),"",Settings!$B$14)</f>
        <v/>
      </c>
      <c r="C24" s="88">
        <f>C22-C23</f>
        <v>0</v>
      </c>
      <c r="D24" s="20" t="str">
        <f>IF(OR(ISBLANK(E24),E24=0),"",Settings!$B$14)</f>
        <v/>
      </c>
      <c r="E24" s="88">
        <f>E22-E23</f>
        <v>0</v>
      </c>
      <c r="F24" s="20" t="str">
        <f>IF(OR(ISBLANK(G24),G24=0),"",Settings!$B$14)</f>
        <v/>
      </c>
      <c r="G24" s="88">
        <f>G22-G23</f>
        <v>0</v>
      </c>
      <c r="H24" s="20" t="str">
        <f>IF(OR(ISBLANK(I24),I24=0),"",Settings!$B$14)</f>
        <v/>
      </c>
      <c r="I24" s="88">
        <f>I22-I23</f>
        <v>0</v>
      </c>
      <c r="J24" s="20" t="str">
        <f>IF(OR(ISBLANK(K24),K24=0),"",Settings!$B$14)</f>
        <v/>
      </c>
      <c r="K24" s="88">
        <f>IF(B6=4,0,K22-K23)</f>
        <v>0</v>
      </c>
      <c r="L24" s="20" t="str">
        <f>IF(OR(ISBLANK(M24),M24=0),"",Settings!$B$14)</f>
        <v/>
      </c>
      <c r="M24" s="88">
        <f>M22-M23</f>
        <v>0</v>
      </c>
    </row>
    <row r="25" spans="1:13" s="145" customFormat="1" ht="6.95" customHeight="1">
      <c r="A25" s="137"/>
      <c r="B25" s="146"/>
      <c r="C25" s="147"/>
      <c r="D25" s="147"/>
      <c r="E25" s="147"/>
      <c r="F25" s="147"/>
      <c r="G25" s="147"/>
      <c r="H25" s="147"/>
      <c r="I25" s="147"/>
      <c r="J25" s="147"/>
      <c r="K25" s="147"/>
      <c r="L25" s="148"/>
      <c r="M25" s="148"/>
    </row>
    <row r="26" spans="1:13" s="145" customFormat="1" ht="18" customHeight="1" thickBot="1">
      <c r="A26" s="142" t="s">
        <v>197</v>
      </c>
      <c r="B26" s="143"/>
      <c r="C26" s="143"/>
      <c r="D26" s="143"/>
      <c r="E26" s="143"/>
      <c r="F26" s="143"/>
      <c r="G26" s="143"/>
      <c r="H26" s="143"/>
      <c r="I26" s="143"/>
      <c r="J26" s="143"/>
      <c r="K26" s="143"/>
      <c r="L26" s="143"/>
      <c r="M26" s="143"/>
    </row>
    <row r="27" spans="1:13" s="145" customFormat="1" ht="6.95" customHeight="1" thickTop="1">
      <c r="A27" s="137"/>
      <c r="B27" s="146"/>
      <c r="C27" s="147"/>
      <c r="D27" s="147"/>
      <c r="E27" s="147"/>
      <c r="F27" s="147"/>
      <c r="G27" s="147"/>
      <c r="H27" s="147"/>
      <c r="I27" s="147"/>
      <c r="J27" s="147"/>
      <c r="K27" s="147"/>
      <c r="L27" s="148"/>
      <c r="M27" s="148"/>
    </row>
    <row r="28" spans="1:13" s="145" customFormat="1" ht="15" customHeight="1">
      <c r="A28" s="50" t="s">
        <v>218</v>
      </c>
      <c r="B28" s="20" t="str">
        <f>IF(OR(ISBLANK(C28),C28=0),"",Settings!$B$14)</f>
        <v>$</v>
      </c>
      <c r="C28" s="87">
        <f>'Week 1'!$L$221</f>
        <v>252.66250000000002</v>
      </c>
      <c r="D28" s="20" t="str">
        <f>IF(OR(ISBLANK(E28),E28=0),"",Settings!$B$14)</f>
        <v>$</v>
      </c>
      <c r="E28" s="87">
        <f>'Week 2'!$L$221</f>
        <v>237.59000000000003</v>
      </c>
      <c r="F28" s="20" t="str">
        <f>IF(OR(ISBLANK(G28),G28=0),"",Settings!$B$14)</f>
        <v>$</v>
      </c>
      <c r="G28" s="87">
        <f>'Week 3'!$L$221</f>
        <v>237.59000000000003</v>
      </c>
      <c r="H28" s="20" t="str">
        <f>IF(OR(ISBLANK(I28),I28=0),"",Settings!$B$14)</f>
        <v>$</v>
      </c>
      <c r="I28" s="87">
        <f>'Week 4'!$L$221</f>
        <v>237.59000000000003</v>
      </c>
      <c r="J28" s="20" t="str">
        <f>IF(OR(ISBLANK(K28),K28=0),"",Settings!$B$14)</f>
        <v/>
      </c>
      <c r="K28" s="87">
        <f>IF(B6=4,0,'Week 5'!$L$221)</f>
        <v>0</v>
      </c>
      <c r="L28" s="20" t="str">
        <f>IF(OR(ISBLANK(M28),M28=0),"",Settings!$B$14)</f>
        <v>$</v>
      </c>
      <c r="M28" s="87">
        <f>SUM(C28:K28)</f>
        <v>965.43250000000012</v>
      </c>
    </row>
    <row r="29" spans="1:13" s="145" customFormat="1" ht="15" customHeight="1">
      <c r="A29" s="50" t="s">
        <v>217</v>
      </c>
      <c r="B29" s="20" t="str">
        <f>IF(OR(ISBLANK(C29),C29=0),"",Settings!$B$14)</f>
        <v>$</v>
      </c>
      <c r="C29" s="87">
        <f>IF(ISBLANK($B$6),0,$C$12/$B$6)</f>
        <v>996.86050000000012</v>
      </c>
      <c r="D29" s="20" t="str">
        <f>IF(OR(ISBLANK(E29),E29=0),"",Settings!$B$14)</f>
        <v>$</v>
      </c>
      <c r="E29" s="87">
        <f>IF(ISBLANK($B$6),0,$C$12/$B$6)</f>
        <v>996.86050000000012</v>
      </c>
      <c r="F29" s="20" t="str">
        <f>IF(OR(ISBLANK(G29),G29=0),"",Settings!$B$14)</f>
        <v>$</v>
      </c>
      <c r="G29" s="87">
        <f>IF(ISBLANK($B$6),0,$C$12/$B$6)</f>
        <v>996.86050000000012</v>
      </c>
      <c r="H29" s="20" t="str">
        <f>IF(OR(ISBLANK(I29),I29=0),"",Settings!$B$14)</f>
        <v>$</v>
      </c>
      <c r="I29" s="87">
        <f>IF(ISBLANK($B$6),0,$C$12/$B$6)</f>
        <v>996.86050000000012</v>
      </c>
      <c r="J29" s="20" t="str">
        <f>IF(OR(ISBLANK(K29),K29=0),"",Settings!$B$14)</f>
        <v/>
      </c>
      <c r="K29" s="87">
        <f>IF(OR(ISBLANK($B$6),$B$6=4),0,$C$12/$B$6)</f>
        <v>0</v>
      </c>
      <c r="L29" s="20" t="str">
        <f>IF(OR(ISBLANK(M29),M29=0),"",Settings!$B$14)</f>
        <v>$</v>
      </c>
      <c r="M29" s="87">
        <f>SUM(C29:K29)</f>
        <v>3987.4420000000005</v>
      </c>
    </row>
    <row r="30" spans="1:13" s="145" customFormat="1" ht="15" customHeight="1">
      <c r="A30" s="50" t="s">
        <v>219</v>
      </c>
      <c r="B30" s="20" t="str">
        <f>IF(OR(ISBLANK(C30),C30=0),"",Settings!$B$14)</f>
        <v>$</v>
      </c>
      <c r="C30" s="87">
        <f>(($M$23+$C$24)*(1-$B$8)-$C$9)/$B$6</f>
        <v>996.86050000000012</v>
      </c>
      <c r="D30" s="20" t="str">
        <f>IF(OR(ISBLANK(E30),E30=0),"",Settings!$B$14)</f>
        <v>$</v>
      </c>
      <c r="E30" s="87">
        <f>(($M$23+$E$24)*(1-$B$8)-$C$9)/$B$6</f>
        <v>996.86050000000012</v>
      </c>
      <c r="F30" s="20" t="str">
        <f>IF(OR(ISBLANK(G30),G30=0),"",Settings!$B$14)</f>
        <v>$</v>
      </c>
      <c r="G30" s="87">
        <f>(($M$23+$G$24)*(1-$B$8)-$C$9)/$B$6</f>
        <v>996.86050000000012</v>
      </c>
      <c r="H30" s="20" t="str">
        <f>IF(OR(ISBLANK(I30),I30=0),"",Settings!$B$14)</f>
        <v>$</v>
      </c>
      <c r="I30" s="87">
        <f>(($M$23+$I$24)*(1-$B$8)-$C$9)/$B$6</f>
        <v>996.86050000000012</v>
      </c>
      <c r="J30" s="20" t="str">
        <f>IF(OR(ISBLANK(K30),K30=0),"",Settings!$B$14)</f>
        <v/>
      </c>
      <c r="K30" s="87">
        <f>IF(OR(ISBLANK($B$6),$B$6=4),0,(($M$23+$K$24)*(1-$B$8)-$C$9)/$B$6)</f>
        <v>0</v>
      </c>
      <c r="L30" s="20" t="str">
        <f>IF(OR(ISBLANK(M30),M30=0),"",Settings!$B$14)</f>
        <v>$</v>
      </c>
      <c r="M30" s="87">
        <f>SUM(C30:K30)</f>
        <v>3987.4420000000005</v>
      </c>
    </row>
    <row r="31" spans="1:13" s="145" customFormat="1" ht="15" customHeight="1">
      <c r="A31" s="50" t="s">
        <v>220</v>
      </c>
      <c r="B31" s="20" t="str">
        <f>IF(OR(ISBLANK(C31),C31=0),"",Settings!$B$14)</f>
        <v>$</v>
      </c>
      <c r="C31" s="88">
        <f>C30-C28</f>
        <v>744.19800000000009</v>
      </c>
      <c r="D31" s="20" t="str">
        <f>IF(OR(ISBLANK(E31),E31=0),"",Settings!$B$14)</f>
        <v>$</v>
      </c>
      <c r="E31" s="88">
        <f>E30-E28</f>
        <v>759.27050000000008</v>
      </c>
      <c r="F31" s="20" t="str">
        <f>IF(OR(ISBLANK(G31),G31=0),"",Settings!$B$14)</f>
        <v>$</v>
      </c>
      <c r="G31" s="88">
        <f>G30-G28</f>
        <v>759.27050000000008</v>
      </c>
      <c r="H31" s="20" t="str">
        <f>IF(OR(ISBLANK(I31),I31=0),"",Settings!$B$14)</f>
        <v>$</v>
      </c>
      <c r="I31" s="88">
        <f>I30-I28</f>
        <v>759.27050000000008</v>
      </c>
      <c r="J31" s="20" t="str">
        <f>IF(OR(ISBLANK(K31),K31=0),"",Settings!$B$14)</f>
        <v/>
      </c>
      <c r="K31" s="88">
        <f>IF(OR(ISBLANK($B$6),$B$6=4),0,K30-K28)</f>
        <v>0</v>
      </c>
      <c r="L31" s="20" t="str">
        <f>IF(OR(ISBLANK(M31),M31=0),"",Settings!$B$14)</f>
        <v>$</v>
      </c>
      <c r="M31" s="88">
        <f>SUM(C31,E31,G31,I31,K31)</f>
        <v>3022.0095000000006</v>
      </c>
    </row>
    <row r="32" spans="1:13" s="145" customFormat="1" ht="5.0999999999999996" customHeight="1">
      <c r="A32" s="137"/>
      <c r="B32" s="146"/>
      <c r="C32" s="147"/>
      <c r="D32" s="147"/>
      <c r="E32" s="147"/>
      <c r="F32" s="147"/>
      <c r="G32" s="147"/>
      <c r="H32" s="147"/>
      <c r="I32" s="147"/>
      <c r="J32" s="147"/>
      <c r="K32" s="147"/>
      <c r="L32" s="148"/>
      <c r="M32" s="148"/>
    </row>
    <row r="33" spans="1:13" s="145" customFormat="1" ht="18" customHeight="1" thickBot="1">
      <c r="A33" s="142" t="s">
        <v>221</v>
      </c>
      <c r="B33" s="143"/>
      <c r="C33" s="143"/>
      <c r="D33" s="143"/>
      <c r="E33" s="143"/>
      <c r="F33" s="143"/>
      <c r="G33" s="143"/>
      <c r="H33" s="143"/>
      <c r="I33" s="143"/>
      <c r="J33" s="143"/>
      <c r="K33" s="143"/>
      <c r="L33" s="143"/>
      <c r="M33" s="143"/>
    </row>
    <row r="34" spans="1:13" s="145" customFormat="1" ht="6.95" customHeight="1" thickTop="1">
      <c r="A34" s="137"/>
      <c r="B34" s="146"/>
      <c r="C34" s="147"/>
      <c r="D34" s="147"/>
      <c r="E34" s="147"/>
      <c r="F34" s="147"/>
      <c r="G34" s="147"/>
      <c r="H34" s="147"/>
      <c r="I34" s="147"/>
      <c r="J34" s="147"/>
      <c r="K34" s="147"/>
      <c r="L34" s="148"/>
      <c r="M34" s="148"/>
    </row>
    <row r="35" spans="1:13" s="145" customFormat="1" ht="15" customHeight="1">
      <c r="A35" s="50" t="s">
        <v>223</v>
      </c>
      <c r="B35" s="20" t="str">
        <f>IF(OR(ISBLANK(C35),C35=0),"",Settings!$B$14)</f>
        <v>$</v>
      </c>
      <c r="C35" s="87">
        <f>'Stock Opening'!G214</f>
        <v>319.19800000000004</v>
      </c>
      <c r="D35" s="20" t="str">
        <f>IF(OR(ISBLANK(E35),E35=0),"",Settings!$B$14)</f>
        <v>$</v>
      </c>
      <c r="E35" s="87">
        <f>C36</f>
        <v>356.40649999999999</v>
      </c>
      <c r="F35" s="20" t="str">
        <f>IF(OR(ISBLANK(G35),G35=0),"",Settings!$B$14)</f>
        <v>$</v>
      </c>
      <c r="G35" s="87">
        <f>E36</f>
        <v>360.46625000000006</v>
      </c>
      <c r="H35" s="20" t="str">
        <f>IF(OR(ISBLANK(I35),I35=0),"",Settings!$B$14)</f>
        <v>$</v>
      </c>
      <c r="I35" s="87">
        <f>G36</f>
        <v>368.37625000000003</v>
      </c>
      <c r="J35" s="20" t="str">
        <f>IF(OR(ISBLANK(K35),K35=0),"",Settings!$B$14)</f>
        <v/>
      </c>
      <c r="K35" s="87">
        <f>IF(B6=4,0,I36)</f>
        <v>0</v>
      </c>
      <c r="L35" s="149"/>
      <c r="M35" s="89"/>
    </row>
    <row r="36" spans="1:13" s="145" customFormat="1" ht="15" customHeight="1">
      <c r="A36" s="50" t="s">
        <v>222</v>
      </c>
      <c r="B36" s="20" t="str">
        <f>IF(OR(ISBLANK(C36),C36=0),"",Settings!$B$14)</f>
        <v>$</v>
      </c>
      <c r="C36" s="87">
        <f>'Week 1'!$L$214</f>
        <v>356.40649999999999</v>
      </c>
      <c r="D36" s="20" t="str">
        <f>IF(OR(ISBLANK(E36),E36=0),"",Settings!$B$14)</f>
        <v>$</v>
      </c>
      <c r="E36" s="87">
        <f>'Week 2'!$L$214</f>
        <v>360.46625000000006</v>
      </c>
      <c r="F36" s="20" t="str">
        <f>IF(OR(ISBLANK(G36),G36=0),"",Settings!$B$14)</f>
        <v>$</v>
      </c>
      <c r="G36" s="87">
        <f>'Week 3'!$L$214</f>
        <v>368.37625000000003</v>
      </c>
      <c r="H36" s="20" t="str">
        <f>IF(OR(ISBLANK(I36),I36=0),"",Settings!$B$14)</f>
        <v>$</v>
      </c>
      <c r="I36" s="87">
        <f>'Week 4'!$L$214</f>
        <v>364.34424999999999</v>
      </c>
      <c r="J36" s="20" t="str">
        <f>IF(OR(ISBLANK(K36),K36=0),"",Settings!$B$14)</f>
        <v/>
      </c>
      <c r="K36" s="87">
        <f>IF(OR(ISBLANK($B$6),$B$6=4),0,'Week 5'!$L$214)</f>
        <v>0</v>
      </c>
      <c r="L36" s="149"/>
      <c r="M36" s="89"/>
    </row>
    <row r="37" spans="1:13" s="145" customFormat="1" ht="5.0999999999999996" customHeight="1">
      <c r="A37" s="137"/>
      <c r="B37" s="146"/>
      <c r="C37" s="147"/>
      <c r="D37" s="147"/>
      <c r="E37" s="147"/>
      <c r="F37" s="147"/>
      <c r="G37" s="147"/>
      <c r="H37" s="147"/>
      <c r="I37" s="147"/>
      <c r="J37" s="147"/>
      <c r="K37" s="147"/>
      <c r="L37" s="148"/>
      <c r="M37" s="148"/>
    </row>
    <row r="38" spans="1:13" s="145" customFormat="1" ht="18" customHeight="1" thickBot="1">
      <c r="A38" s="142" t="s">
        <v>212</v>
      </c>
      <c r="B38" s="143"/>
      <c r="C38" s="143"/>
      <c r="D38" s="143"/>
      <c r="E38" s="143"/>
      <c r="F38" s="143"/>
      <c r="G38" s="143"/>
      <c r="H38" s="143"/>
      <c r="I38" s="143"/>
      <c r="J38" s="143"/>
      <c r="K38" s="143"/>
      <c r="L38" s="143"/>
      <c r="M38" s="143"/>
    </row>
    <row r="39" spans="1:13" s="145" customFormat="1" ht="5.0999999999999996" customHeight="1" thickTop="1">
      <c r="A39" s="137"/>
      <c r="B39" s="146"/>
      <c r="C39" s="45"/>
      <c r="D39" s="45"/>
      <c r="E39" s="45"/>
      <c r="F39" s="45"/>
      <c r="G39" s="45"/>
      <c r="H39" s="45"/>
      <c r="I39" s="45"/>
      <c r="J39" s="45"/>
      <c r="K39" s="45"/>
      <c r="L39" s="146"/>
      <c r="M39" s="146"/>
    </row>
    <row r="40" spans="1:13" s="145" customFormat="1" ht="15" customHeight="1">
      <c r="A40" s="50" t="s">
        <v>120</v>
      </c>
      <c r="B40" s="246">
        <f>B8</f>
        <v>0.74</v>
      </c>
      <c r="C40" s="246"/>
      <c r="D40" s="246">
        <f>B8</f>
        <v>0.74</v>
      </c>
      <c r="E40" s="246"/>
      <c r="F40" s="246">
        <f>B8</f>
        <v>0.74</v>
      </c>
      <c r="G40" s="246"/>
      <c r="H40" s="246">
        <f>B8</f>
        <v>0.74</v>
      </c>
      <c r="I40" s="246"/>
      <c r="J40" s="246" t="str">
        <f>IF(B6=4,"",B8)</f>
        <v/>
      </c>
      <c r="K40" s="246"/>
      <c r="L40" s="246">
        <f>B8</f>
        <v>0.74</v>
      </c>
      <c r="M40" s="246"/>
    </row>
    <row r="41" spans="1:13" s="145" customFormat="1" ht="15" customHeight="1">
      <c r="A41" s="50" t="s">
        <v>121</v>
      </c>
      <c r="B41" s="246">
        <f>IF(C22=0,"",1-((C35+C28-C36)/C22))</f>
        <v>0.94797053851726631</v>
      </c>
      <c r="C41" s="246"/>
      <c r="D41" s="246">
        <f>IF(E22=0,"",1-((E35+E28-E36)/E22))</f>
        <v>0.94360534894952908</v>
      </c>
      <c r="E41" s="246"/>
      <c r="F41" s="246">
        <f>IF(G22=0,"",1-((G35+G28-G36)/G22))</f>
        <v>0.94453513644047327</v>
      </c>
      <c r="G41" s="246"/>
      <c r="H41" s="246">
        <f>IF(I22=0,"",1-((I35+I28-I36)/I22))</f>
        <v>0.94165129195846409</v>
      </c>
      <c r="I41" s="246"/>
      <c r="J41" s="246" t="str">
        <f>IF(B6=4,"",IF(K22=0,"",1-((K35+K28-K36)/K22)))</f>
        <v/>
      </c>
      <c r="K41" s="246"/>
      <c r="L41" s="246">
        <f>IF($M$22=0,"",1-(($C$9+$M$28-$C$10)/$M$22))</f>
        <v>0.94444057896643319</v>
      </c>
      <c r="M41" s="246"/>
    </row>
    <row r="42" spans="1:13" s="138" customFormat="1" ht="15" customHeight="1">
      <c r="A42" s="50" t="s">
        <v>213</v>
      </c>
      <c r="B42" s="246">
        <f>IF(C22=0,"",B41-B40)</f>
        <v>0.20797053851726632</v>
      </c>
      <c r="C42" s="246"/>
      <c r="D42" s="246">
        <f>IF(E22=0,"",D41-D40)</f>
        <v>0.20360534894952909</v>
      </c>
      <c r="E42" s="246"/>
      <c r="F42" s="246">
        <f>IF(G22=0,"",F41-F40)</f>
        <v>0.20453513644047328</v>
      </c>
      <c r="G42" s="246"/>
      <c r="H42" s="246">
        <f>IF(I22=0,"",H41-H40)</f>
        <v>0.2016512919584641</v>
      </c>
      <c r="I42" s="246"/>
      <c r="J42" s="246" t="str">
        <f>IF(B6=4,"",IF(K22=0,"",J41-J40))</f>
        <v/>
      </c>
      <c r="K42" s="246"/>
      <c r="L42" s="246">
        <f>IF(M22=0,"",L41-L40)</f>
        <v>0.2044405789664332</v>
      </c>
      <c r="M42" s="246"/>
    </row>
  </sheetData>
  <sheetProtection password="F349" sheet="1" objects="1" scenarios="1" selectLockedCells="1"/>
  <protectedRanges>
    <protectedRange sqref="B6 B8 C7 J15 B11 E6:E15 D6:D14" name="Budget Settings"/>
  </protectedRanges>
  <mergeCells count="34">
    <mergeCell ref="J40:K40"/>
    <mergeCell ref="J41:K41"/>
    <mergeCell ref="F17:G17"/>
    <mergeCell ref="H17:I17"/>
    <mergeCell ref="J17:K17"/>
    <mergeCell ref="C15:D15"/>
    <mergeCell ref="B40:C40"/>
    <mergeCell ref="B41:C41"/>
    <mergeCell ref="B42:C42"/>
    <mergeCell ref="D40:E40"/>
    <mergeCell ref="D41:E41"/>
    <mergeCell ref="D42:E42"/>
    <mergeCell ref="B8:D8"/>
    <mergeCell ref="B6:D6"/>
    <mergeCell ref="L40:M40"/>
    <mergeCell ref="L41:M41"/>
    <mergeCell ref="L42:M42"/>
    <mergeCell ref="F40:G40"/>
    <mergeCell ref="F41:G41"/>
    <mergeCell ref="F42:G42"/>
    <mergeCell ref="H40:I40"/>
    <mergeCell ref="H41:I41"/>
    <mergeCell ref="H42:I42"/>
    <mergeCell ref="J42:K42"/>
    <mergeCell ref="L17:M17"/>
    <mergeCell ref="B17:C17"/>
    <mergeCell ref="D17:E17"/>
    <mergeCell ref="C7:D7"/>
    <mergeCell ref="C9:D9"/>
    <mergeCell ref="C10:D10"/>
    <mergeCell ref="C12:D12"/>
    <mergeCell ref="C14:D14"/>
    <mergeCell ref="B11:D11"/>
    <mergeCell ref="C13:D13"/>
  </mergeCells>
  <phoneticPr fontId="5" type="noConversion"/>
  <conditionalFormatting sqref="J40:K42 J28:K31 J35:K36 J22:K24">
    <cfRule type="expression" dxfId="1" priority="1" stopIfTrue="1">
      <formula>IF($B$6=4,TRUE,FALSE)</formula>
    </cfRule>
  </conditionalFormatting>
  <conditionalFormatting sqref="J21:K21">
    <cfRule type="expression" dxfId="0" priority="2" stopIfTrue="1">
      <formula>IF($B$6=4,TRUE,FALSE)</formula>
    </cfRule>
  </conditionalFormatting>
  <dataValidations count="1">
    <dataValidation type="list" allowBlank="1" showInputMessage="1" showErrorMessage="1" sqref="B6">
      <formula1>"4, 5"</formula1>
    </dataValidation>
  </dataValidations>
  <pageMargins left="0.9055118110236221" right="0.9055118110236221" top="0.15748031496062992" bottom="0.15748031496062992" header="0.51181102362204722" footer="0.51181102362204722"/>
  <pageSetup paperSize="9" scale="8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217"/>
  <sheetViews>
    <sheetView showGridLines="0" workbookViewId="0">
      <pane ySplit="8" topLeftCell="A9" activePane="bottomLeft" state="frozen"/>
      <selection pane="bottomLeft" activeCell="D36" sqref="D36"/>
    </sheetView>
  </sheetViews>
  <sheetFormatPr defaultRowHeight="12.75"/>
  <cols>
    <col min="1" max="1" width="28.5703125" style="52" customWidth="1"/>
    <col min="2" max="2" width="21.28515625" style="50" customWidth="1"/>
    <col min="3" max="5" width="10.7109375" style="52" customWidth="1"/>
    <col min="6" max="6" width="3.7109375" style="52" customWidth="1"/>
    <col min="7" max="7" width="12" style="52" customWidth="1"/>
    <col min="8" max="8" width="3.7109375" style="52" customWidth="1"/>
    <col min="9" max="9" width="12" style="52" customWidth="1"/>
    <col min="10" max="16384" width="9.140625" style="52"/>
  </cols>
  <sheetData>
    <row r="1" spans="1:13" s="45" customFormat="1" ht="54.95" customHeight="1">
      <c r="A1" s="104" t="s">
        <v>230</v>
      </c>
      <c r="B1" s="105"/>
      <c r="C1" s="106"/>
      <c r="D1" s="106"/>
      <c r="E1" s="106"/>
      <c r="F1" s="106"/>
      <c r="G1" s="106"/>
      <c r="H1" s="106"/>
      <c r="I1" s="106"/>
      <c r="J1" s="151"/>
      <c r="K1" s="151"/>
      <c r="L1" s="152"/>
      <c r="M1" s="126"/>
    </row>
    <row r="2" spans="1:13" ht="33.75" customHeight="1">
      <c r="A2" s="108" t="str">
        <f>IF(Settings!$E$5="Enable",Settings!$B$5,"")</f>
        <v>My Company name</v>
      </c>
      <c r="B2" s="153"/>
      <c r="C2" s="154"/>
      <c r="D2" s="154"/>
      <c r="E2" s="154"/>
      <c r="F2" s="154"/>
      <c r="G2" s="154"/>
      <c r="H2" s="154"/>
      <c r="I2" s="90"/>
    </row>
    <row r="3" spans="1:13" ht="18" customHeight="1">
      <c r="A3" s="111" t="str">
        <f>IF(Settings!$E$6="Enable",Settings!$B$6,"")</f>
        <v>My company slogan</v>
      </c>
      <c r="B3" s="111"/>
      <c r="C3" s="57"/>
      <c r="D3" s="57"/>
      <c r="E3" s="58"/>
      <c r="F3" s="58"/>
      <c r="G3" s="57"/>
      <c r="I3" s="155"/>
    </row>
    <row r="4" spans="1:13" ht="15">
      <c r="A4" s="59"/>
      <c r="B4" s="111"/>
      <c r="C4" s="59"/>
      <c r="D4" s="59"/>
      <c r="E4" s="59"/>
      <c r="F4" s="59"/>
      <c r="G4" s="59"/>
      <c r="I4" s="116" t="s">
        <v>229</v>
      </c>
    </row>
    <row r="5" spans="1:13" ht="15">
      <c r="A5" s="59"/>
      <c r="B5" s="111"/>
      <c r="C5" s="59"/>
      <c r="D5" s="59"/>
      <c r="E5" s="59"/>
      <c r="F5" s="59"/>
      <c r="G5" s="59"/>
      <c r="I5" s="58"/>
    </row>
    <row r="6" spans="1:13" s="50" customFormat="1" ht="30" customHeight="1">
      <c r="A6" s="64" t="s">
        <v>127</v>
      </c>
      <c r="B6" s="64"/>
      <c r="C6" s="64"/>
      <c r="D6" s="64"/>
      <c r="E6" s="64"/>
      <c r="F6" s="64"/>
      <c r="G6" s="64"/>
      <c r="H6" s="64"/>
      <c r="I6" s="64"/>
    </row>
    <row r="7" spans="1:13" ht="12.75" customHeight="1">
      <c r="A7" s="156"/>
      <c r="B7" s="157"/>
      <c r="C7" s="156"/>
      <c r="D7" s="156"/>
      <c r="E7" s="156"/>
      <c r="F7" s="156"/>
      <c r="G7" s="156"/>
      <c r="H7" s="156"/>
      <c r="I7" s="156"/>
    </row>
    <row r="8" spans="1:13" s="45" customFormat="1" ht="18" customHeight="1">
      <c r="A8" s="74" t="s">
        <v>182</v>
      </c>
      <c r="B8" s="74" t="s">
        <v>164</v>
      </c>
      <c r="C8" s="236" t="s">
        <v>184</v>
      </c>
      <c r="D8" s="236"/>
      <c r="E8" s="236"/>
      <c r="F8" s="236" t="s">
        <v>183</v>
      </c>
      <c r="G8" s="236"/>
      <c r="H8" s="236"/>
      <c r="I8" s="236"/>
    </row>
    <row r="9" spans="1:13" ht="6.95" customHeight="1">
      <c r="A9" s="158"/>
      <c r="B9" s="159"/>
      <c r="C9" s="160"/>
      <c r="D9" s="160"/>
      <c r="E9" s="160"/>
      <c r="F9" s="160"/>
      <c r="G9" s="133"/>
      <c r="H9" s="62"/>
      <c r="I9" s="133"/>
    </row>
    <row r="10" spans="1:13" ht="18" customHeight="1" thickBot="1">
      <c r="A10" s="78" t="str">
        <f>Inventory!A10</f>
        <v>SPIRITS</v>
      </c>
      <c r="B10" s="78" t="str">
        <f>Inventory!C10</f>
        <v>VOLUME</v>
      </c>
      <c r="C10" s="22" t="s">
        <v>101</v>
      </c>
      <c r="D10" s="22" t="s">
        <v>102</v>
      </c>
      <c r="E10" s="23" t="s">
        <v>108</v>
      </c>
      <c r="F10" s="235" t="s">
        <v>30</v>
      </c>
      <c r="G10" s="235"/>
      <c r="H10" s="235" t="s">
        <v>31</v>
      </c>
      <c r="I10" s="235"/>
    </row>
    <row r="11" spans="1:13" ht="6.95" customHeight="1" thickTop="1">
      <c r="A11" s="76"/>
      <c r="B11" s="161"/>
      <c r="C11" s="67"/>
      <c r="D11" s="67"/>
      <c r="E11" s="71"/>
      <c r="F11" s="71"/>
      <c r="G11" s="67"/>
      <c r="H11" s="62"/>
      <c r="I11" s="67"/>
    </row>
    <row r="12" spans="1:13" s="29" customFormat="1" ht="15" customHeight="1">
      <c r="A12" s="31" t="str">
        <f>IF(ISBLANK(Inventory!A12),"",Inventory!A12)</f>
        <v>Teachers</v>
      </c>
      <c r="B12" s="31" t="str">
        <f>IF(ISBLANK(Inventory!A12),"",Inventory!C12)</f>
        <v>70cl</v>
      </c>
      <c r="C12" s="187">
        <v>1</v>
      </c>
      <c r="D12" s="187"/>
      <c r="E12" s="187"/>
      <c r="F12" s="35" t="str">
        <f>IF(OR(ISBLANK(G12),G12=0),"",Settings!$B$14)</f>
        <v>$</v>
      </c>
      <c r="G12" s="30">
        <f>IF(ISBLANK(Inventory!A12),0,SUM(C12:E12)*Inventory!F12)</f>
        <v>21.35</v>
      </c>
      <c r="H12" s="83" t="str">
        <f>IF(OR(ISBLANK(I12),I12=0),"",Settings!$B$14)</f>
        <v>$</v>
      </c>
      <c r="I12" s="30">
        <f>IF(ISBLANK(Inventory!A12),0,SUM(C12:E12)*Inventory!L12)</f>
        <v>80.92</v>
      </c>
    </row>
    <row r="13" spans="1:13" s="29" customFormat="1" ht="15" customHeight="1">
      <c r="A13" s="31" t="str">
        <f>IF(ISBLANK(Inventory!A13),"",Inventory!A13)</f>
        <v>Bells</v>
      </c>
      <c r="B13" s="31" t="str">
        <f>IF(ISBLANK(Inventory!A13),"",Inventory!C13)</f>
        <v>70cl</v>
      </c>
      <c r="C13" s="187"/>
      <c r="D13" s="187"/>
      <c r="E13" s="187"/>
      <c r="F13" s="35" t="str">
        <f>IF(OR(ISBLANK(G13),G13=0),"",Settings!$B$14)</f>
        <v/>
      </c>
      <c r="G13" s="30">
        <f>IF(ISBLANK(Inventory!A13),0,SUM(C13:E13)*Inventory!F13)</f>
        <v>0</v>
      </c>
      <c r="H13" s="83" t="str">
        <f>IF(OR(ISBLANK(I13),I13=0),"",Settings!$B$14)</f>
        <v/>
      </c>
      <c r="I13" s="30">
        <f>IF(ISBLANK(Inventory!A13),0,SUM(C13:E13)*Inventory!L13)</f>
        <v>0</v>
      </c>
    </row>
    <row r="14" spans="1:13" s="29" customFormat="1" ht="15" customHeight="1">
      <c r="A14" s="31" t="str">
        <f>IF(ISBLANK(Inventory!A14),"",Inventory!A14)</f>
        <v>Bells</v>
      </c>
      <c r="B14" s="31" t="str">
        <f>IF(ISBLANK(Inventory!A14),"",Inventory!C14)</f>
        <v>1.5ltr</v>
      </c>
      <c r="C14" s="187"/>
      <c r="D14" s="187"/>
      <c r="E14" s="187"/>
      <c r="F14" s="35" t="str">
        <f>IF(OR(ISBLANK(G14),G14=0),"",Settings!$B$14)</f>
        <v/>
      </c>
      <c r="G14" s="30">
        <f>IF(ISBLANK(Inventory!A14),0,SUM(C14:E14)*Inventory!F14)</f>
        <v>0</v>
      </c>
      <c r="H14" s="83" t="str">
        <f>IF(OR(ISBLANK(I14),I14=0),"",Settings!$B$14)</f>
        <v/>
      </c>
      <c r="I14" s="30">
        <f>IF(ISBLANK(Inventory!A14),0,SUM(C14:E14)*Inventory!L14)</f>
        <v>0</v>
      </c>
    </row>
    <row r="15" spans="1:13" s="29" customFormat="1" ht="15" customHeight="1">
      <c r="A15" s="31" t="str">
        <f>IF(ISBLANK(Inventory!A15),"",Inventory!A15)</f>
        <v>Glenfiddich</v>
      </c>
      <c r="B15" s="31" t="str">
        <f>IF(ISBLANK(Inventory!A15),"",Inventory!C15)</f>
        <v>75cl</v>
      </c>
      <c r="C15" s="187"/>
      <c r="D15" s="187"/>
      <c r="E15" s="187"/>
      <c r="F15" s="35" t="str">
        <f>IF(OR(ISBLANK(G15),G15=0),"",Settings!$B$14)</f>
        <v/>
      </c>
      <c r="G15" s="30">
        <f>IF(ISBLANK(Inventory!A15),0,SUM(C15:E15)*Inventory!F15)</f>
        <v>0</v>
      </c>
      <c r="H15" s="83" t="str">
        <f>IF(OR(ISBLANK(I15),I15=0),"",Settings!$B$14)</f>
        <v/>
      </c>
      <c r="I15" s="30">
        <f>IF(ISBLANK(Inventory!A15),0,SUM(C15:E15)*Inventory!L15)</f>
        <v>0</v>
      </c>
    </row>
    <row r="16" spans="1:13" s="29" customFormat="1" ht="15" customHeight="1">
      <c r="A16" s="31" t="str">
        <f>IF(ISBLANK(Inventory!A16),"",Inventory!A16)</f>
        <v>Glenmorangie</v>
      </c>
      <c r="B16" s="31" t="str">
        <f>IF(ISBLANK(Inventory!A16),"",Inventory!C16)</f>
        <v>70cl</v>
      </c>
      <c r="C16" s="187"/>
      <c r="D16" s="187"/>
      <c r="E16" s="187"/>
      <c r="F16" s="35" t="str">
        <f>IF(OR(ISBLANK(G16),G16=0),"",Settings!$B$14)</f>
        <v/>
      </c>
      <c r="G16" s="30">
        <f>IF(ISBLANK(Inventory!A16),0,SUM(C16:E16)*Inventory!F16)</f>
        <v>0</v>
      </c>
      <c r="H16" s="83" t="str">
        <f>IF(OR(ISBLANK(I16),I16=0),"",Settings!$B$14)</f>
        <v/>
      </c>
      <c r="I16" s="30">
        <f>IF(ISBLANK(Inventory!A16),0,SUM(C16:E16)*Inventory!L16)</f>
        <v>0</v>
      </c>
    </row>
    <row r="17" spans="1:9" s="29" customFormat="1" ht="15" customHeight="1">
      <c r="A17" s="31" t="str">
        <f>IF(ISBLANK(Inventory!A17),"",Inventory!A17)</f>
        <v>Jack Daniels</v>
      </c>
      <c r="B17" s="31" t="str">
        <f>IF(ISBLANK(Inventory!A17),"",Inventory!C17)</f>
        <v>70cl</v>
      </c>
      <c r="C17" s="187"/>
      <c r="D17" s="187"/>
      <c r="E17" s="187"/>
      <c r="F17" s="35" t="str">
        <f>IF(OR(ISBLANK(G17),G17=0),"",Settings!$B$14)</f>
        <v/>
      </c>
      <c r="G17" s="30">
        <f>IF(ISBLANK(Inventory!A17),0,SUM(C17:E17)*Inventory!F17)</f>
        <v>0</v>
      </c>
      <c r="H17" s="83" t="str">
        <f>IF(OR(ISBLANK(I17),I17=0),"",Settings!$B$14)</f>
        <v/>
      </c>
      <c r="I17" s="30">
        <f>IF(ISBLANK(Inventory!A17),0,SUM(C17:E17)*Inventory!L17)</f>
        <v>0</v>
      </c>
    </row>
    <row r="18" spans="1:9" s="29" customFormat="1" ht="15" customHeight="1">
      <c r="A18" s="31" t="str">
        <f>IF(ISBLANK(Inventory!A18),"",Inventory!A18)</f>
        <v>Jack Daniels</v>
      </c>
      <c r="B18" s="31" t="str">
        <f>IF(ISBLANK(Inventory!A18),"",Inventory!C18)</f>
        <v>1.5Ltr</v>
      </c>
      <c r="C18" s="187"/>
      <c r="D18" s="187"/>
      <c r="E18" s="187"/>
      <c r="F18" s="35" t="str">
        <f>IF(OR(ISBLANK(G18),G18=0),"",Settings!$B$14)</f>
        <v/>
      </c>
      <c r="G18" s="30">
        <f>IF(ISBLANK(Inventory!A18),0,SUM(C18:E18)*Inventory!F18)</f>
        <v>0</v>
      </c>
      <c r="H18" s="83" t="str">
        <f>IF(OR(ISBLANK(I18),I18=0),"",Settings!$B$14)</f>
        <v/>
      </c>
      <c r="I18" s="30">
        <f>IF(ISBLANK(Inventory!A18),0,SUM(C18:E18)*Inventory!L18)</f>
        <v>0</v>
      </c>
    </row>
    <row r="19" spans="1:9" s="29" customFormat="1" ht="15" customHeight="1">
      <c r="A19" s="31" t="str">
        <f>IF(ISBLANK(Inventory!A19),"",Inventory!A19)</f>
        <v>Jim Beam</v>
      </c>
      <c r="B19" s="31" t="str">
        <f>IF(ISBLANK(Inventory!A19),"",Inventory!C19)</f>
        <v>70cl</v>
      </c>
      <c r="C19" s="187"/>
      <c r="D19" s="187"/>
      <c r="E19" s="187"/>
      <c r="F19" s="35" t="str">
        <f>IF(OR(ISBLANK(G19),G19=0),"",Settings!$B$14)</f>
        <v/>
      </c>
      <c r="G19" s="30">
        <f>IF(ISBLANK(Inventory!A19),0,SUM(C19:E19)*Inventory!F19)</f>
        <v>0</v>
      </c>
      <c r="H19" s="83" t="str">
        <f>IF(OR(ISBLANK(I19),I19=0),"",Settings!$B$14)</f>
        <v/>
      </c>
      <c r="I19" s="30">
        <f>IF(ISBLANK(Inventory!A19),0,SUM(C19:E19)*Inventory!L19)</f>
        <v>0</v>
      </c>
    </row>
    <row r="20" spans="1:9" s="29" customFormat="1" ht="15" customHeight="1">
      <c r="A20" s="31" t="str">
        <f>IF(ISBLANK(Inventory!A20),"",Inventory!A20)</f>
        <v>Jameson's Irish</v>
      </c>
      <c r="B20" s="31" t="str">
        <f>IF(ISBLANK(Inventory!A20),"",Inventory!C20)</f>
        <v>70cl</v>
      </c>
      <c r="C20" s="187"/>
      <c r="D20" s="187"/>
      <c r="E20" s="187"/>
      <c r="F20" s="35" t="str">
        <f>IF(OR(ISBLANK(G20),G20=0),"",Settings!$B$14)</f>
        <v/>
      </c>
      <c r="G20" s="30">
        <f>IF(ISBLANK(Inventory!A20),0,SUM(C20:E20)*Inventory!F20)</f>
        <v>0</v>
      </c>
      <c r="H20" s="83" t="str">
        <f>IF(OR(ISBLANK(I20),I20=0),"",Settings!$B$14)</f>
        <v/>
      </c>
      <c r="I20" s="30">
        <f>IF(ISBLANK(Inventory!A20),0,SUM(C20:E20)*Inventory!L20)</f>
        <v>0</v>
      </c>
    </row>
    <row r="21" spans="1:9" s="29" customFormat="1" ht="15" customHeight="1">
      <c r="A21" s="31" t="str">
        <f>IF(ISBLANK(Inventory!A21),"",Inventory!A21)</f>
        <v>Jameson's Irish</v>
      </c>
      <c r="B21" s="31" t="str">
        <f>IF(ISBLANK(Inventory!A21),"",Inventory!C21)</f>
        <v>1.5Ltr</v>
      </c>
      <c r="C21" s="187"/>
      <c r="D21" s="187"/>
      <c r="E21" s="187"/>
      <c r="F21" s="35" t="str">
        <f>IF(OR(ISBLANK(G21),G21=0),"",Settings!$B$14)</f>
        <v/>
      </c>
      <c r="G21" s="30">
        <f>IF(ISBLANK(Inventory!A21),0,SUM(C21:E21)*Inventory!F21)</f>
        <v>0</v>
      </c>
      <c r="H21" s="83" t="str">
        <f>IF(OR(ISBLANK(I21),I21=0),"",Settings!$B$14)</f>
        <v/>
      </c>
      <c r="I21" s="30">
        <f>IF(ISBLANK(Inventory!A21),0,SUM(C21:E21)*Inventory!L21)</f>
        <v>0</v>
      </c>
    </row>
    <row r="22" spans="1:9" s="29" customFormat="1" ht="15" customHeight="1">
      <c r="A22" s="31" t="str">
        <f>IF(ISBLANK(Inventory!A22),"",Inventory!A22)</f>
        <v>Southern Comfort</v>
      </c>
      <c r="B22" s="31" t="str">
        <f>IF(ISBLANK(Inventory!A22),"",Inventory!C22)</f>
        <v>70cl</v>
      </c>
      <c r="C22" s="187"/>
      <c r="D22" s="187"/>
      <c r="E22" s="187"/>
      <c r="F22" s="35" t="str">
        <f>IF(OR(ISBLANK(G22),G22=0),"",Settings!$B$14)</f>
        <v/>
      </c>
      <c r="G22" s="30">
        <f>IF(ISBLANK(Inventory!A22),0,SUM(C22:E22)*Inventory!F22)</f>
        <v>0</v>
      </c>
      <c r="H22" s="83" t="str">
        <f>IF(OR(ISBLANK(I22),I22=0),"",Settings!$B$14)</f>
        <v/>
      </c>
      <c r="I22" s="30">
        <f>IF(ISBLANK(Inventory!A22),0,SUM(C22:E22)*Inventory!L22)</f>
        <v>0</v>
      </c>
    </row>
    <row r="23" spans="1:9" s="29" customFormat="1" ht="15" customHeight="1">
      <c r="A23" s="31" t="str">
        <f>IF(ISBLANK(Inventory!A23),"",Inventory!A23)</f>
        <v>Southern Comfort</v>
      </c>
      <c r="B23" s="31" t="str">
        <f>IF(ISBLANK(Inventory!A23),"",Inventory!C23)</f>
        <v>1.5ltr</v>
      </c>
      <c r="C23" s="187"/>
      <c r="D23" s="187"/>
      <c r="E23" s="187"/>
      <c r="F23" s="35" t="str">
        <f>IF(OR(ISBLANK(G23),G23=0),"",Settings!$B$14)</f>
        <v/>
      </c>
      <c r="G23" s="30">
        <f>IF(ISBLANK(Inventory!A23),0,SUM(C23:E23)*Inventory!F23)</f>
        <v>0</v>
      </c>
      <c r="H23" s="83" t="str">
        <f>IF(OR(ISBLANK(I23),I23=0),"",Settings!$B$14)</f>
        <v/>
      </c>
      <c r="I23" s="30">
        <f>IF(ISBLANK(Inventory!A23),0,SUM(C23:E23)*Inventory!L23)</f>
        <v>0</v>
      </c>
    </row>
    <row r="24" spans="1:9" s="29" customFormat="1" ht="15" customHeight="1">
      <c r="A24" s="31" t="str">
        <f>IF(ISBLANK(Inventory!A24),"",Inventory!A24)</f>
        <v>Gordons' Gin</v>
      </c>
      <c r="B24" s="31" t="str">
        <f>IF(ISBLANK(Inventory!A24),"",Inventory!C24)</f>
        <v>70cl</v>
      </c>
      <c r="C24" s="187"/>
      <c r="D24" s="187"/>
      <c r="E24" s="187"/>
      <c r="F24" s="35" t="str">
        <f>IF(OR(ISBLANK(G24),G24=0),"",Settings!$B$14)</f>
        <v/>
      </c>
      <c r="G24" s="30">
        <f>IF(ISBLANK(Inventory!A24),0,SUM(C24:E24)*Inventory!F24)</f>
        <v>0</v>
      </c>
      <c r="H24" s="83" t="str">
        <f>IF(OR(ISBLANK(I24),I24=0),"",Settings!$B$14)</f>
        <v/>
      </c>
      <c r="I24" s="30">
        <f>IF(ISBLANK(Inventory!A24),0,SUM(C24:E24)*Inventory!L24)</f>
        <v>0</v>
      </c>
    </row>
    <row r="25" spans="1:9" s="29" customFormat="1" ht="15" customHeight="1">
      <c r="A25" s="31" t="str">
        <f>IF(ISBLANK(Inventory!A25),"",Inventory!A25)</f>
        <v>Gordons' Gin</v>
      </c>
      <c r="B25" s="31" t="str">
        <f>IF(ISBLANK(Inventory!A25),"",Inventory!C25)</f>
        <v>1.5Ltr</v>
      </c>
      <c r="C25" s="187"/>
      <c r="D25" s="187"/>
      <c r="E25" s="187"/>
      <c r="F25" s="35" t="str">
        <f>IF(OR(ISBLANK(G25),G25=0),"",Settings!$B$14)</f>
        <v/>
      </c>
      <c r="G25" s="30">
        <f>IF(ISBLANK(Inventory!A25),0,SUM(C25:E25)*Inventory!F25)</f>
        <v>0</v>
      </c>
      <c r="H25" s="83" t="str">
        <f>IF(OR(ISBLANK(I25),I25=0),"",Settings!$B$14)</f>
        <v/>
      </c>
      <c r="I25" s="30">
        <f>IF(ISBLANK(Inventory!A25),0,SUM(C25:E25)*Inventory!L25)</f>
        <v>0</v>
      </c>
    </row>
    <row r="26" spans="1:9" s="29" customFormat="1" ht="15" customHeight="1">
      <c r="A26" s="31" t="str">
        <f>IF(ISBLANK(Inventory!A26),"",Inventory!A26)</f>
        <v>Bombay Sapphire</v>
      </c>
      <c r="B26" s="31" t="str">
        <f>IF(ISBLANK(Inventory!A26),"",Inventory!C26)</f>
        <v>70cl</v>
      </c>
      <c r="C26" s="187"/>
      <c r="D26" s="187"/>
      <c r="E26" s="187"/>
      <c r="F26" s="35" t="str">
        <f>IF(OR(ISBLANK(G26),G26=0),"",Settings!$B$14)</f>
        <v/>
      </c>
      <c r="G26" s="30">
        <f>IF(ISBLANK(Inventory!A26),0,SUM(C26:E26)*Inventory!F26)</f>
        <v>0</v>
      </c>
      <c r="H26" s="83" t="str">
        <f>IF(OR(ISBLANK(I26),I26=0),"",Settings!$B$14)</f>
        <v/>
      </c>
      <c r="I26" s="30">
        <f>IF(ISBLANK(Inventory!A26),0,SUM(C26:E26)*Inventory!L26)</f>
        <v>0</v>
      </c>
    </row>
    <row r="27" spans="1:9" s="29" customFormat="1" ht="15" customHeight="1">
      <c r="A27" s="31" t="str">
        <f>IF(ISBLANK(Inventory!A27),"",Inventory!A27)</f>
        <v>Smirnoff Red</v>
      </c>
      <c r="B27" s="31" t="str">
        <f>IF(ISBLANK(Inventory!A27),"",Inventory!C27)</f>
        <v>70cl</v>
      </c>
      <c r="C27" s="187"/>
      <c r="D27" s="187"/>
      <c r="E27" s="187"/>
      <c r="F27" s="35" t="str">
        <f>IF(OR(ISBLANK(G27),G27=0),"",Settings!$B$14)</f>
        <v/>
      </c>
      <c r="G27" s="30">
        <f>IF(ISBLANK(Inventory!A27),0,SUM(C27:E27)*Inventory!F27)</f>
        <v>0</v>
      </c>
      <c r="H27" s="83" t="str">
        <f>IF(OR(ISBLANK(I27),I27=0),"",Settings!$B$14)</f>
        <v/>
      </c>
      <c r="I27" s="30">
        <f>IF(ISBLANK(Inventory!A27),0,SUM(C27:E27)*Inventory!L27)</f>
        <v>0</v>
      </c>
    </row>
    <row r="28" spans="1:9" s="29" customFormat="1" ht="15" customHeight="1">
      <c r="A28" s="31" t="str">
        <f>IF(ISBLANK(Inventory!A28),"",Inventory!A28)</f>
        <v>Smirnoff Red</v>
      </c>
      <c r="B28" s="31" t="str">
        <f>IF(ISBLANK(Inventory!A28),"",Inventory!C28)</f>
        <v>1.5Ltr</v>
      </c>
      <c r="C28" s="187"/>
      <c r="D28" s="187"/>
      <c r="E28" s="187"/>
      <c r="F28" s="35" t="str">
        <f>IF(OR(ISBLANK(G28),G28=0),"",Settings!$B$14)</f>
        <v/>
      </c>
      <c r="G28" s="30">
        <f>IF(ISBLANK(Inventory!A28),0,SUM(C28:E28)*Inventory!F28)</f>
        <v>0</v>
      </c>
      <c r="H28" s="83" t="str">
        <f>IF(OR(ISBLANK(I28),I28=0),"",Settings!$B$14)</f>
        <v/>
      </c>
      <c r="I28" s="30">
        <f>IF(ISBLANK(Inventory!A28),0,SUM(C28:E28)*Inventory!L28)</f>
        <v>0</v>
      </c>
    </row>
    <row r="29" spans="1:9" s="29" customFormat="1" ht="15" customHeight="1">
      <c r="A29" s="31" t="str">
        <f>IF(ISBLANK(Inventory!A29),"",Inventory!A29)</f>
        <v>Absolut</v>
      </c>
      <c r="B29" s="31" t="str">
        <f>IF(ISBLANK(Inventory!A29),"",Inventory!C29)</f>
        <v>70cl</v>
      </c>
      <c r="C29" s="187"/>
      <c r="D29" s="187"/>
      <c r="E29" s="187"/>
      <c r="F29" s="35" t="str">
        <f>IF(OR(ISBLANK(G29),G29=0),"",Settings!$B$14)</f>
        <v/>
      </c>
      <c r="G29" s="30">
        <f>IF(ISBLANK(Inventory!A29),0,SUM(C29:E29)*Inventory!F29)</f>
        <v>0</v>
      </c>
      <c r="H29" s="83" t="str">
        <f>IF(OR(ISBLANK(I29),I29=0),"",Settings!$B$14)</f>
        <v/>
      </c>
      <c r="I29" s="30">
        <f>IF(ISBLANK(Inventory!A29),0,SUM(C29:E29)*Inventory!L29)</f>
        <v>0</v>
      </c>
    </row>
    <row r="30" spans="1:9" s="29" customFormat="1" ht="15" customHeight="1">
      <c r="A30" s="31" t="str">
        <f>IF(ISBLANK(Inventory!A30),"",Inventory!A30)</f>
        <v>Captain Morgan</v>
      </c>
      <c r="B30" s="31" t="str">
        <f>IF(ISBLANK(Inventory!A30),"",Inventory!C30)</f>
        <v>70cl</v>
      </c>
      <c r="C30" s="187"/>
      <c r="D30" s="187"/>
      <c r="E30" s="187"/>
      <c r="F30" s="35" t="str">
        <f>IF(OR(ISBLANK(G30),G30=0),"",Settings!$B$14)</f>
        <v/>
      </c>
      <c r="G30" s="30">
        <f>IF(ISBLANK(Inventory!A30),0,SUM(C30:E30)*Inventory!F30)</f>
        <v>0</v>
      </c>
      <c r="H30" s="83" t="str">
        <f>IF(OR(ISBLANK(I30),I30=0),"",Settings!$B$14)</f>
        <v/>
      </c>
      <c r="I30" s="30">
        <f>IF(ISBLANK(Inventory!A30),0,SUM(C30:E30)*Inventory!L30)</f>
        <v>0</v>
      </c>
    </row>
    <row r="31" spans="1:9" s="29" customFormat="1" ht="15" customHeight="1">
      <c r="A31" s="31" t="str">
        <f>IF(ISBLANK(Inventory!A31),"",Inventory!A31)</f>
        <v>Bacardi</v>
      </c>
      <c r="B31" s="31" t="str">
        <f>IF(ISBLANK(Inventory!A31),"",Inventory!C31)</f>
        <v>70cl</v>
      </c>
      <c r="C31" s="187"/>
      <c r="D31" s="187"/>
      <c r="E31" s="187"/>
      <c r="F31" s="35" t="str">
        <f>IF(OR(ISBLANK(G31),G31=0),"",Settings!$B$14)</f>
        <v/>
      </c>
      <c r="G31" s="30">
        <f>IF(ISBLANK(Inventory!A31),0,SUM(C31:E31)*Inventory!F31)</f>
        <v>0</v>
      </c>
      <c r="H31" s="83" t="str">
        <f>IF(OR(ISBLANK(I31),I31=0),"",Settings!$B$14)</f>
        <v/>
      </c>
      <c r="I31" s="30">
        <f>IF(ISBLANK(Inventory!A31),0,SUM(C31:E31)*Inventory!L31)</f>
        <v>0</v>
      </c>
    </row>
    <row r="32" spans="1:9" s="29" customFormat="1" ht="15" customHeight="1">
      <c r="A32" s="31" t="str">
        <f>IF(ISBLANK(Inventory!A32),"",Inventory!A32)</f>
        <v>Bacardi</v>
      </c>
      <c r="B32" s="31" t="str">
        <f>IF(ISBLANK(Inventory!A32),"",Inventory!C32)</f>
        <v>1.5Ltr</v>
      </c>
      <c r="C32" s="187"/>
      <c r="D32" s="187"/>
      <c r="E32" s="187"/>
      <c r="F32" s="35" t="str">
        <f>IF(OR(ISBLANK(G32),G32=0),"",Settings!$B$14)</f>
        <v/>
      </c>
      <c r="G32" s="30">
        <f>IF(ISBLANK(Inventory!A32),0,SUM(C32:E32)*Inventory!F32)</f>
        <v>0</v>
      </c>
      <c r="H32" s="83" t="str">
        <f>IF(OR(ISBLANK(I32),I32=0),"",Settings!$B$14)</f>
        <v/>
      </c>
      <c r="I32" s="30">
        <f>IF(ISBLANK(Inventory!A32),0,SUM(C32:E32)*Inventory!L32)</f>
        <v>0</v>
      </c>
    </row>
    <row r="33" spans="1:9" s="29" customFormat="1" ht="15" customHeight="1">
      <c r="A33" s="31" t="str">
        <f>IF(ISBLANK(Inventory!A33),"",Inventory!A33)</f>
        <v>Martell ***</v>
      </c>
      <c r="B33" s="31" t="str">
        <f>IF(ISBLANK(Inventory!A33),"",Inventory!C33)</f>
        <v>70cl</v>
      </c>
      <c r="C33" s="187"/>
      <c r="D33" s="187"/>
      <c r="E33" s="187"/>
      <c r="F33" s="35" t="str">
        <f>IF(OR(ISBLANK(G33),G33=0),"",Settings!$B$14)</f>
        <v/>
      </c>
      <c r="G33" s="30">
        <f>IF(ISBLANK(Inventory!A33),0,SUM(C33:E33)*Inventory!F33)</f>
        <v>0</v>
      </c>
      <c r="H33" s="83" t="str">
        <f>IF(OR(ISBLANK(I33),I33=0),"",Settings!$B$14)</f>
        <v/>
      </c>
      <c r="I33" s="30">
        <f>IF(ISBLANK(Inventory!A33),0,SUM(C33:E33)*Inventory!L33)</f>
        <v>0</v>
      </c>
    </row>
    <row r="34" spans="1:9" s="29" customFormat="1" ht="15" customHeight="1">
      <c r="A34" s="31" t="str">
        <f>IF(ISBLANK(Inventory!A34),"",Inventory!A34)</f>
        <v>Martell ***</v>
      </c>
      <c r="B34" s="31" t="str">
        <f>IF(ISBLANK(Inventory!A34),"",Inventory!C34)</f>
        <v>1.5Ltr</v>
      </c>
      <c r="C34" s="187"/>
      <c r="D34" s="187"/>
      <c r="E34" s="187"/>
      <c r="F34" s="35" t="str">
        <f>IF(OR(ISBLANK(G34),G34=0),"",Settings!$B$14)</f>
        <v/>
      </c>
      <c r="G34" s="30">
        <f>IF(ISBLANK(Inventory!A34),0,SUM(C34:E34)*Inventory!F34)</f>
        <v>0</v>
      </c>
      <c r="H34" s="83" t="str">
        <f>IF(OR(ISBLANK(I34),I34=0),"",Settings!$B$14)</f>
        <v/>
      </c>
      <c r="I34" s="30">
        <f>IF(ISBLANK(Inventory!A34),0,SUM(C34:E34)*Inventory!L34)</f>
        <v>0</v>
      </c>
    </row>
    <row r="35" spans="1:9" s="29" customFormat="1" ht="15" customHeight="1">
      <c r="A35" s="31" t="str">
        <f>IF(ISBLANK(Inventory!A35),"",Inventory!A35)</f>
        <v>Remy Martin</v>
      </c>
      <c r="B35" s="31" t="str">
        <f>IF(ISBLANK(Inventory!A35),"",Inventory!C35)</f>
        <v>70cl</v>
      </c>
      <c r="C35" s="187"/>
      <c r="D35" s="187"/>
      <c r="E35" s="187"/>
      <c r="F35" s="35" t="str">
        <f>IF(OR(ISBLANK(G35),G35=0),"",Settings!$B$14)</f>
        <v/>
      </c>
      <c r="G35" s="30">
        <f>IF(ISBLANK(Inventory!A35),0,SUM(C35:E35)*Inventory!F35)</f>
        <v>0</v>
      </c>
      <c r="H35" s="83" t="str">
        <f>IF(OR(ISBLANK(I35),I35=0),"",Settings!$B$14)</f>
        <v/>
      </c>
      <c r="I35" s="30">
        <f>IF(ISBLANK(Inventory!A35),0,SUM(C35:E35)*Inventory!L35)</f>
        <v>0</v>
      </c>
    </row>
    <row r="36" spans="1:9" s="29" customFormat="1" ht="15" customHeight="1">
      <c r="A36" s="31" t="str">
        <f>IF(ISBLANK(Inventory!A36),"",Inventory!A36)</f>
        <v>Baileys</v>
      </c>
      <c r="B36" s="31" t="str">
        <f>IF(ISBLANK(Inventory!A36),"",Inventory!C36)</f>
        <v>70cl</v>
      </c>
      <c r="C36" s="187"/>
      <c r="D36" s="187"/>
      <c r="E36" s="187"/>
      <c r="F36" s="35" t="str">
        <f>IF(OR(ISBLANK(G36),G36=0),"",Settings!$B$14)</f>
        <v/>
      </c>
      <c r="G36" s="30">
        <f>IF(ISBLANK(Inventory!A36),0,SUM(C36:E36)*Inventory!F36)</f>
        <v>0</v>
      </c>
      <c r="H36" s="83" t="str">
        <f>IF(OR(ISBLANK(I36),I36=0),"",Settings!$B$14)</f>
        <v/>
      </c>
      <c r="I36" s="30">
        <f>IF(ISBLANK(Inventory!A36),0,SUM(C36:E36)*Inventory!L36)</f>
        <v>0</v>
      </c>
    </row>
    <row r="37" spans="1:9" s="29" customFormat="1" ht="15" customHeight="1">
      <c r="A37" s="31" t="str">
        <f>IF(ISBLANK(Inventory!A37),"",Inventory!A37)</f>
        <v>Baileys</v>
      </c>
      <c r="B37" s="31" t="str">
        <f>IF(ISBLANK(Inventory!A37),"",Inventory!C37)</f>
        <v>1.5Ltr</v>
      </c>
      <c r="C37" s="187"/>
      <c r="D37" s="187"/>
      <c r="E37" s="187"/>
      <c r="F37" s="35" t="str">
        <f>IF(OR(ISBLANK(G37),G37=0),"",Settings!$B$14)</f>
        <v/>
      </c>
      <c r="G37" s="30">
        <f>IF(ISBLANK(Inventory!A37),0,SUM(C37:E37)*Inventory!F37)</f>
        <v>0</v>
      </c>
      <c r="H37" s="83" t="str">
        <f>IF(OR(ISBLANK(I37),I37=0),"",Settings!$B$14)</f>
        <v/>
      </c>
      <c r="I37" s="30">
        <f>IF(ISBLANK(Inventory!A37),0,SUM(C37:E37)*Inventory!L37)</f>
        <v>0</v>
      </c>
    </row>
    <row r="38" spans="1:9" s="29" customFormat="1" ht="15" customHeight="1">
      <c r="A38" s="31" t="str">
        <f>IF(ISBLANK(Inventory!A38),"",Inventory!A38)</f>
        <v>Cointreau</v>
      </c>
      <c r="B38" s="31" t="str">
        <f>IF(ISBLANK(Inventory!A38),"",Inventory!C38)</f>
        <v>70cl</v>
      </c>
      <c r="C38" s="187"/>
      <c r="D38" s="187"/>
      <c r="E38" s="187"/>
      <c r="F38" s="35" t="str">
        <f>IF(OR(ISBLANK(G38),G38=0),"",Settings!$B$14)</f>
        <v/>
      </c>
      <c r="G38" s="30">
        <f>IF(ISBLANK(Inventory!A38),0,SUM(C38:E38)*Inventory!F38)</f>
        <v>0</v>
      </c>
      <c r="H38" s="83" t="str">
        <f>IF(OR(ISBLANK(I38),I38=0),"",Settings!$B$14)</f>
        <v/>
      </c>
      <c r="I38" s="30">
        <f>IF(ISBLANK(Inventory!A38),0,SUM(C38:E38)*Inventory!L38)</f>
        <v>0</v>
      </c>
    </row>
    <row r="39" spans="1:9" s="29" customFormat="1" ht="15" customHeight="1">
      <c r="A39" s="31" t="str">
        <f>IF(ISBLANK(Inventory!A39),"",Inventory!A39)</f>
        <v>Drambuie</v>
      </c>
      <c r="B39" s="31" t="str">
        <f>IF(ISBLANK(Inventory!A39),"",Inventory!C39)</f>
        <v>70cl</v>
      </c>
      <c r="C39" s="187"/>
      <c r="D39" s="187"/>
      <c r="E39" s="187"/>
      <c r="F39" s="35" t="str">
        <f>IF(OR(ISBLANK(G39),G39=0),"",Settings!$B$14)</f>
        <v/>
      </c>
      <c r="G39" s="30">
        <f>IF(ISBLANK(Inventory!A39),0,SUM(C39:E39)*Inventory!F39)</f>
        <v>0</v>
      </c>
      <c r="H39" s="83" t="str">
        <f>IF(OR(ISBLANK(I39),I39=0),"",Settings!$B$14)</f>
        <v/>
      </c>
      <c r="I39" s="30">
        <f>IF(ISBLANK(Inventory!A39),0,SUM(C39:E39)*Inventory!L39)</f>
        <v>0</v>
      </c>
    </row>
    <row r="40" spans="1:9" s="29" customFormat="1" ht="15" customHeight="1">
      <c r="A40" s="31" t="str">
        <f>IF(ISBLANK(Inventory!A40),"",Inventory!A40)</f>
        <v>Malibu</v>
      </c>
      <c r="B40" s="31" t="str">
        <f>IF(ISBLANK(Inventory!A40),"",Inventory!C40)</f>
        <v>70cl</v>
      </c>
      <c r="C40" s="187"/>
      <c r="D40" s="187"/>
      <c r="E40" s="187"/>
      <c r="F40" s="35" t="str">
        <f>IF(OR(ISBLANK(G40),G40=0),"",Settings!$B$14)</f>
        <v/>
      </c>
      <c r="G40" s="30">
        <f>IF(ISBLANK(Inventory!A40),0,SUM(C40:E40)*Inventory!F40)</f>
        <v>0</v>
      </c>
      <c r="H40" s="83" t="str">
        <f>IF(OR(ISBLANK(I40),I40=0),"",Settings!$B$14)</f>
        <v/>
      </c>
      <c r="I40" s="30">
        <f>IF(ISBLANK(Inventory!A40),0,SUM(C40:E40)*Inventory!L40)</f>
        <v>0</v>
      </c>
    </row>
    <row r="41" spans="1:9" s="29" customFormat="1" ht="15" customHeight="1">
      <c r="A41" s="31" t="str">
        <f>IF(ISBLANK(Inventory!A41),"",Inventory!A41)</f>
        <v>Malibu</v>
      </c>
      <c r="B41" s="31" t="str">
        <f>IF(ISBLANK(Inventory!A41),"",Inventory!C41)</f>
        <v>1.5Ltr</v>
      </c>
      <c r="C41" s="187"/>
      <c r="D41" s="187"/>
      <c r="E41" s="187"/>
      <c r="F41" s="35" t="str">
        <f>IF(OR(ISBLANK(G41),G41=0),"",Settings!$B$14)</f>
        <v/>
      </c>
      <c r="G41" s="30">
        <f>IF(ISBLANK(Inventory!A41),0,SUM(C41:E41)*Inventory!F41)</f>
        <v>0</v>
      </c>
      <c r="H41" s="83" t="str">
        <f>IF(OR(ISBLANK(I41),I41=0),"",Settings!$B$14)</f>
        <v/>
      </c>
      <c r="I41" s="30">
        <f>IF(ISBLANK(Inventory!A41),0,SUM(C41:E41)*Inventory!L41)</f>
        <v>0</v>
      </c>
    </row>
    <row r="42" spans="1:9" s="29" customFormat="1" ht="15" customHeight="1">
      <c r="A42" s="31" t="str">
        <f>IF(ISBLANK(Inventory!A42),"",Inventory!A42)</f>
        <v>Archers</v>
      </c>
      <c r="B42" s="31" t="str">
        <f>IF(ISBLANK(Inventory!A42),"",Inventory!C42)</f>
        <v>70cl</v>
      </c>
      <c r="C42" s="187"/>
      <c r="D42" s="187"/>
      <c r="E42" s="187"/>
      <c r="F42" s="35" t="str">
        <f>IF(OR(ISBLANK(G42),G42=0),"",Settings!$B$14)</f>
        <v/>
      </c>
      <c r="G42" s="30">
        <f>IF(ISBLANK(Inventory!A42),0,SUM(C42:E42)*Inventory!F42)</f>
        <v>0</v>
      </c>
      <c r="H42" s="83" t="str">
        <f>IF(OR(ISBLANK(I42),I42=0),"",Settings!$B$14)</f>
        <v/>
      </c>
      <c r="I42" s="30">
        <f>IF(ISBLANK(Inventory!A42),0,SUM(C42:E42)*Inventory!L42)</f>
        <v>0</v>
      </c>
    </row>
    <row r="43" spans="1:9" s="29" customFormat="1" ht="15" customHeight="1">
      <c r="A43" s="31" t="str">
        <f>IF(ISBLANK(Inventory!A43),"",Inventory!A43)</f>
        <v>Archers</v>
      </c>
      <c r="B43" s="31" t="str">
        <f>IF(ISBLANK(Inventory!A43),"",Inventory!C43)</f>
        <v>70cl</v>
      </c>
      <c r="C43" s="187"/>
      <c r="D43" s="187"/>
      <c r="E43" s="187"/>
      <c r="F43" s="35" t="str">
        <f>IF(OR(ISBLANK(G43),G43=0),"",Settings!$B$14)</f>
        <v/>
      </c>
      <c r="G43" s="30">
        <f>IF(ISBLANK(Inventory!A43),0,SUM(C43:E43)*Inventory!F43)</f>
        <v>0</v>
      </c>
      <c r="H43" s="83" t="str">
        <f>IF(OR(ISBLANK(I43),I43=0),"",Settings!$B$14)</f>
        <v/>
      </c>
      <c r="I43" s="30">
        <f>IF(ISBLANK(Inventory!A43),0,SUM(C43:E43)*Inventory!L43)</f>
        <v>0</v>
      </c>
    </row>
    <row r="44" spans="1:9" s="29" customFormat="1" ht="15" customHeight="1">
      <c r="A44" s="31" t="str">
        <f>IF(ISBLANK(Inventory!A44),"",Inventory!A44)</f>
        <v>Tequila</v>
      </c>
      <c r="B44" s="31" t="str">
        <f>IF(ISBLANK(Inventory!A44),"",Inventory!C44)</f>
        <v>70cl</v>
      </c>
      <c r="C44" s="187"/>
      <c r="D44" s="187"/>
      <c r="E44" s="187"/>
      <c r="F44" s="35" t="str">
        <f>IF(OR(ISBLANK(G44),G44=0),"",Settings!$B$14)</f>
        <v/>
      </c>
      <c r="G44" s="30">
        <f>IF(ISBLANK(Inventory!A44),0,SUM(C44:E44)*Inventory!F44)</f>
        <v>0</v>
      </c>
      <c r="H44" s="83" t="str">
        <f>IF(OR(ISBLANK(I44),I44=0),"",Settings!$B$14)</f>
        <v/>
      </c>
      <c r="I44" s="30">
        <f>IF(ISBLANK(Inventory!A44),0,SUM(C44:E44)*Inventory!L44)</f>
        <v>0</v>
      </c>
    </row>
    <row r="45" spans="1:9" s="29" customFormat="1" ht="15" customHeight="1">
      <c r="A45" s="31" t="str">
        <f>IF(ISBLANK(Inventory!A45),"",Inventory!A45)</f>
        <v>Luxardo Sambuca</v>
      </c>
      <c r="B45" s="31" t="str">
        <f>IF(ISBLANK(Inventory!A45),"",Inventory!C45)</f>
        <v>70cl</v>
      </c>
      <c r="C45" s="187"/>
      <c r="D45" s="187"/>
      <c r="E45" s="187"/>
      <c r="F45" s="35" t="str">
        <f>IF(OR(ISBLANK(G45),G45=0),"",Settings!$B$14)</f>
        <v/>
      </c>
      <c r="G45" s="30">
        <f>IF(ISBLANK(Inventory!A45),0,SUM(C45:E45)*Inventory!F45)</f>
        <v>0</v>
      </c>
      <c r="H45" s="83" t="str">
        <f>IF(OR(ISBLANK(I45),I45=0),"",Settings!$B$14)</f>
        <v/>
      </c>
      <c r="I45" s="30">
        <f>IF(ISBLANK(Inventory!A45),0,SUM(C45:E45)*Inventory!L45)</f>
        <v>0</v>
      </c>
    </row>
    <row r="46" spans="1:9" s="29" customFormat="1" ht="15" customHeight="1">
      <c r="A46" s="31" t="str">
        <f>IF(ISBLANK(Inventory!A46),"",Inventory!A46)</f>
        <v>Tia Maria</v>
      </c>
      <c r="B46" s="31" t="str">
        <f>IF(ISBLANK(Inventory!A46),"",Inventory!C46)</f>
        <v>70cl</v>
      </c>
      <c r="C46" s="187"/>
      <c r="D46" s="187"/>
      <c r="E46" s="187"/>
      <c r="F46" s="35" t="str">
        <f>IF(OR(ISBLANK(G46),G46=0),"",Settings!$B$14)</f>
        <v/>
      </c>
      <c r="G46" s="30">
        <f>IF(ISBLANK(Inventory!A46),0,SUM(C46:E46)*Inventory!F46)</f>
        <v>0</v>
      </c>
      <c r="H46" s="83" t="str">
        <f>IF(OR(ISBLANK(I46),I46=0),"",Settings!$B$14)</f>
        <v/>
      </c>
      <c r="I46" s="30">
        <f>IF(ISBLANK(Inventory!A46),0,SUM(C46:E46)*Inventory!L46)</f>
        <v>0</v>
      </c>
    </row>
    <row r="47" spans="1:9" s="29" customFormat="1" ht="15" customHeight="1">
      <c r="A47" s="31" t="str">
        <f>IF(ISBLANK(Inventory!A47),"",Inventory!A47)</f>
        <v>Tia Maria</v>
      </c>
      <c r="B47" s="31" t="str">
        <f>IF(ISBLANK(Inventory!A47),"",Inventory!C47)</f>
        <v>1.5ltr</v>
      </c>
      <c r="C47" s="187"/>
      <c r="D47" s="187"/>
      <c r="E47" s="187"/>
      <c r="F47" s="35" t="str">
        <f>IF(OR(ISBLANK(G47),G47=0),"",Settings!$B$14)</f>
        <v/>
      </c>
      <c r="G47" s="30">
        <f>IF(ISBLANK(Inventory!A47),0,SUM(C47:E47)*Inventory!F47)</f>
        <v>0</v>
      </c>
      <c r="H47" s="83" t="str">
        <f>IF(OR(ISBLANK(I47),I47=0),"",Settings!$B$14)</f>
        <v/>
      </c>
      <c r="I47" s="30">
        <f>IF(ISBLANK(Inventory!A47),0,SUM(C47:E47)*Inventory!L47)</f>
        <v>0</v>
      </c>
    </row>
    <row r="48" spans="1:9" s="29" customFormat="1" ht="15" customHeight="1">
      <c r="A48" s="31" t="str">
        <f>IF(ISBLANK(Inventory!A48),"",Inventory!A48)</f>
        <v/>
      </c>
      <c r="B48" s="31" t="str">
        <f>IF(ISBLANK(Inventory!A48),"",Inventory!C48)</f>
        <v/>
      </c>
      <c r="C48" s="187"/>
      <c r="D48" s="187"/>
      <c r="E48" s="187"/>
      <c r="F48" s="35" t="str">
        <f>IF(OR(ISBLANK(G48),G48=0),"",Settings!$B$14)</f>
        <v/>
      </c>
      <c r="G48" s="30">
        <f>IF(ISBLANK(Inventory!A48),0,SUM(C48:E48)*Inventory!F48)</f>
        <v>0</v>
      </c>
      <c r="H48" s="83" t="str">
        <f>IF(OR(ISBLANK(I48),I48=0),"",Settings!$B$14)</f>
        <v/>
      </c>
      <c r="I48" s="30">
        <f>IF(ISBLANK(Inventory!A48),0,SUM(C48:E48)*Inventory!L48)</f>
        <v>0</v>
      </c>
    </row>
    <row r="49" spans="1:9" s="29" customFormat="1" ht="15" customHeight="1">
      <c r="A49" s="31" t="str">
        <f>IF(ISBLANK(Inventory!A49),"",Inventory!A49)</f>
        <v/>
      </c>
      <c r="B49" s="31" t="str">
        <f>IF(ISBLANK(Inventory!A49),"",Inventory!C49)</f>
        <v/>
      </c>
      <c r="C49" s="187"/>
      <c r="D49" s="187"/>
      <c r="E49" s="187"/>
      <c r="F49" s="35" t="str">
        <f>IF(OR(ISBLANK(G49),G49=0),"",Settings!$B$14)</f>
        <v/>
      </c>
      <c r="G49" s="30">
        <f>IF(ISBLANK(Inventory!A49),0,SUM(C49:E49)*Inventory!F49)</f>
        <v>0</v>
      </c>
      <c r="H49" s="83" t="str">
        <f>IF(OR(ISBLANK(I49),I49=0),"",Settings!$B$14)</f>
        <v/>
      </c>
      <c r="I49" s="30">
        <f>IF(ISBLANK(Inventory!A49),0,SUM(C49:E49)*Inventory!L49)</f>
        <v>0</v>
      </c>
    </row>
    <row r="50" spans="1:9" s="29" customFormat="1" ht="15" customHeight="1">
      <c r="A50" s="31" t="str">
        <f>IF(ISBLANK(Inventory!A50),"",Inventory!A50)</f>
        <v/>
      </c>
      <c r="B50" s="31" t="str">
        <f>IF(ISBLANK(Inventory!A50),"",Inventory!C50)</f>
        <v/>
      </c>
      <c r="C50" s="187"/>
      <c r="D50" s="187"/>
      <c r="E50" s="187"/>
      <c r="F50" s="35" t="str">
        <f>IF(OR(ISBLANK(G50),G50=0),"",Settings!$B$14)</f>
        <v/>
      </c>
      <c r="G50" s="30">
        <f>IF(ISBLANK(Inventory!A50),0,SUM(C50:E50)*Inventory!F50)</f>
        <v>0</v>
      </c>
      <c r="H50" s="83" t="str">
        <f>IF(OR(ISBLANK(I50),I50=0),"",Settings!$B$14)</f>
        <v/>
      </c>
      <c r="I50" s="30">
        <f>IF(ISBLANK(Inventory!A50),0,SUM(C50:E50)*Inventory!L50)</f>
        <v>0</v>
      </c>
    </row>
    <row r="51" spans="1:9" s="29" customFormat="1" ht="15" customHeight="1">
      <c r="A51" s="31" t="str">
        <f>IF(ISBLANK(Inventory!A51),"",Inventory!A51)</f>
        <v/>
      </c>
      <c r="B51" s="31" t="str">
        <f>IF(ISBLANK(Inventory!A51),"",Inventory!C51)</f>
        <v/>
      </c>
      <c r="C51" s="187"/>
      <c r="D51" s="187"/>
      <c r="E51" s="187"/>
      <c r="F51" s="35" t="str">
        <f>IF(OR(ISBLANK(G51),G51=0),"",Settings!$B$14)</f>
        <v/>
      </c>
      <c r="G51" s="30">
        <f>IF(ISBLANK(Inventory!A51),0,SUM(C51:E51)*Inventory!F51)</f>
        <v>0</v>
      </c>
      <c r="H51" s="83" t="str">
        <f>IF(OR(ISBLANK(I51),I51=0),"",Settings!$B$14)</f>
        <v/>
      </c>
      <c r="I51" s="30">
        <f>IF(ISBLANK(Inventory!A51),0,SUM(C51:E51)*Inventory!L51)</f>
        <v>0</v>
      </c>
    </row>
    <row r="52" spans="1:9" s="29" customFormat="1" ht="15" customHeight="1">
      <c r="A52" s="31" t="str">
        <f>IF(ISBLANK(Inventory!A52),"",Inventory!A52)</f>
        <v/>
      </c>
      <c r="B52" s="31" t="str">
        <f>IF(ISBLANK(Inventory!A52),"",Inventory!C52)</f>
        <v/>
      </c>
      <c r="C52" s="187"/>
      <c r="D52" s="187"/>
      <c r="E52" s="187"/>
      <c r="F52" s="35" t="str">
        <f>IF(OR(ISBLANK(G52),G52=0),"",Settings!$B$14)</f>
        <v/>
      </c>
      <c r="G52" s="30">
        <f>IF(ISBLANK(Inventory!A52),0,SUM(C52:E52)*Inventory!F52)</f>
        <v>0</v>
      </c>
      <c r="H52" s="83" t="str">
        <f>IF(OR(ISBLANK(I52),I52=0),"",Settings!$B$14)</f>
        <v/>
      </c>
      <c r="I52" s="30">
        <f>IF(ISBLANK(Inventory!A52),0,SUM(C52:E52)*Inventory!L52)</f>
        <v>0</v>
      </c>
    </row>
    <row r="53" spans="1:9" s="29" customFormat="1" ht="15" customHeight="1">
      <c r="A53" s="31" t="str">
        <f>IF(ISBLANK(Inventory!A53),"",Inventory!A53)</f>
        <v/>
      </c>
      <c r="B53" s="31" t="str">
        <f>IF(ISBLANK(Inventory!A53),"",Inventory!C53)</f>
        <v/>
      </c>
      <c r="C53" s="187"/>
      <c r="D53" s="187"/>
      <c r="E53" s="187"/>
      <c r="F53" s="35" t="str">
        <f>IF(OR(ISBLANK(G53),G53=0),"",Settings!$B$14)</f>
        <v/>
      </c>
      <c r="G53" s="30">
        <f>IF(ISBLANK(Inventory!A53),0,SUM(C53:E53)*Inventory!F53)</f>
        <v>0</v>
      </c>
      <c r="H53" s="83" t="str">
        <f>IF(OR(ISBLANK(I53),I53=0),"",Settings!$B$14)</f>
        <v/>
      </c>
      <c r="I53" s="30">
        <f>IF(ISBLANK(Inventory!A53),0,SUM(C53:E53)*Inventory!L53)</f>
        <v>0</v>
      </c>
    </row>
    <row r="54" spans="1:9" s="29" customFormat="1" ht="15" customHeight="1">
      <c r="A54" s="31" t="str">
        <f>IF(ISBLANK(Inventory!A54),"",Inventory!A54)</f>
        <v/>
      </c>
      <c r="B54" s="31" t="str">
        <f>IF(ISBLANK(Inventory!A54),"",Inventory!C54)</f>
        <v/>
      </c>
      <c r="C54" s="187"/>
      <c r="D54" s="187"/>
      <c r="E54" s="187"/>
      <c r="F54" s="35" t="str">
        <f>IF(OR(ISBLANK(G54),G54=0),"",Settings!$B$14)</f>
        <v/>
      </c>
      <c r="G54" s="30">
        <f>IF(ISBLANK(Inventory!A54),0,SUM(C54:E54)*Inventory!F54)</f>
        <v>0</v>
      </c>
      <c r="H54" s="83" t="str">
        <f>IF(OR(ISBLANK(I54),I54=0),"",Settings!$B$14)</f>
        <v/>
      </c>
      <c r="I54" s="30">
        <f>IF(ISBLANK(Inventory!A54),0,SUM(C54:E54)*Inventory!L54)</f>
        <v>0</v>
      </c>
    </row>
    <row r="55" spans="1:9" s="29" customFormat="1" ht="15" customHeight="1">
      <c r="A55" s="31" t="str">
        <f>IF(ISBLANK(Inventory!A55),"",Inventory!A55)</f>
        <v/>
      </c>
      <c r="B55" s="31" t="str">
        <f>IF(ISBLANK(Inventory!A55),"",Inventory!C55)</f>
        <v/>
      </c>
      <c r="C55" s="187"/>
      <c r="D55" s="187"/>
      <c r="E55" s="187"/>
      <c r="F55" s="35" t="str">
        <f>IF(OR(ISBLANK(G55),G55=0),"",Settings!$B$14)</f>
        <v/>
      </c>
      <c r="G55" s="30">
        <f>IF(ISBLANK(Inventory!A55),0,SUM(C55:E55)*Inventory!F55)</f>
        <v>0</v>
      </c>
      <c r="H55" s="83" t="str">
        <f>IF(OR(ISBLANK(I55),I55=0),"",Settings!$B$14)</f>
        <v/>
      </c>
      <c r="I55" s="30">
        <f>IF(ISBLANK(Inventory!A55),0,SUM(C55:E55)*Inventory!L55)</f>
        <v>0</v>
      </c>
    </row>
    <row r="56" spans="1:9" s="29" customFormat="1" ht="6.95" customHeight="1">
      <c r="A56" s="31"/>
      <c r="B56" s="31"/>
      <c r="C56" s="35"/>
      <c r="D56" s="35"/>
      <c r="E56" s="35"/>
      <c r="F56" s="35"/>
      <c r="G56" s="30"/>
      <c r="H56" s="83"/>
      <c r="I56" s="30"/>
    </row>
    <row r="57" spans="1:9" s="45" customFormat="1" ht="18" customHeight="1" thickBot="1">
      <c r="A57" s="78" t="str">
        <f>Inventory!A57</f>
        <v>FORTIFIED WINES</v>
      </c>
      <c r="B57" s="78" t="str">
        <f>Inventory!C57</f>
        <v>VOLUME</v>
      </c>
      <c r="C57" s="23" t="s">
        <v>101</v>
      </c>
      <c r="D57" s="23" t="s">
        <v>102</v>
      </c>
      <c r="E57" s="23" t="s">
        <v>108</v>
      </c>
      <c r="F57" s="235" t="s">
        <v>30</v>
      </c>
      <c r="G57" s="235"/>
      <c r="H57" s="235" t="s">
        <v>31</v>
      </c>
      <c r="I57" s="235"/>
    </row>
    <row r="58" spans="1:9" s="45" customFormat="1" ht="6.95" customHeight="1" thickTop="1">
      <c r="A58" s="76"/>
      <c r="B58" s="161"/>
      <c r="C58" s="162"/>
      <c r="D58" s="162"/>
      <c r="E58" s="162"/>
      <c r="F58" s="162"/>
      <c r="G58" s="163"/>
      <c r="H58" s="20"/>
      <c r="I58" s="163"/>
    </row>
    <row r="59" spans="1:9" s="45" customFormat="1" ht="15" customHeight="1">
      <c r="A59" s="31" t="str">
        <f>IF(ISBLANK(Inventory!A59),"",Inventory!A59)</f>
        <v>Cinzano Bianco</v>
      </c>
      <c r="B59" s="31" t="str">
        <f>IF(ISBLANK(Inventory!A59),"",Inventory!C59)</f>
        <v>75cl</v>
      </c>
      <c r="C59" s="187">
        <v>1</v>
      </c>
      <c r="D59" s="187">
        <v>0.7</v>
      </c>
      <c r="E59" s="187"/>
      <c r="F59" s="35" t="str">
        <f>IF(OR(ISBLANK(G59),G59=0),"",Settings!$B$14)</f>
        <v>$</v>
      </c>
      <c r="G59" s="30">
        <f>IF(ISBLANK(Inventory!A59),0,SUM(C59:E59)*Inventory!F59)</f>
        <v>22.847999999999999</v>
      </c>
      <c r="H59" s="83" t="str">
        <f>IF(OR(ISBLANK(I59),I59=0),"",Settings!$B$14)</f>
        <v>$</v>
      </c>
      <c r="I59" s="30">
        <f>IF(ISBLANK(Inventory!A59),0,SUM(C59:E59)*Inventory!L59)</f>
        <v>48.194999999999993</v>
      </c>
    </row>
    <row r="60" spans="1:9" s="45" customFormat="1" ht="15" customHeight="1">
      <c r="A60" s="31" t="str">
        <f>IF(ISBLANK(Inventory!A60),"",Inventory!A60)</f>
        <v>Martini Dry</v>
      </c>
      <c r="B60" s="31" t="str">
        <f>IF(ISBLANK(Inventory!A60),"",Inventory!C60)</f>
        <v>75cl</v>
      </c>
      <c r="C60" s="187"/>
      <c r="D60" s="187"/>
      <c r="E60" s="187"/>
      <c r="F60" s="35" t="str">
        <f>IF(OR(ISBLANK(G60),G60=0),"",Settings!$B$14)</f>
        <v/>
      </c>
      <c r="G60" s="30">
        <f>IF(ISBLANK(Inventory!A60),0,SUM(C60:E60)*Inventory!F60)</f>
        <v>0</v>
      </c>
      <c r="H60" s="83" t="str">
        <f>IF(OR(ISBLANK(I60),I60=0),"",Settings!$B$14)</f>
        <v/>
      </c>
      <c r="I60" s="30">
        <f>IF(ISBLANK(Inventory!A60),0,SUM(C60:E60)*Inventory!L60)</f>
        <v>0</v>
      </c>
    </row>
    <row r="61" spans="1:9" s="45" customFormat="1" ht="15" customHeight="1">
      <c r="A61" s="31" t="str">
        <f>IF(ISBLANK(Inventory!A61),"",Inventory!A61)</f>
        <v>Martini Rosso</v>
      </c>
      <c r="B61" s="31" t="str">
        <f>IF(ISBLANK(Inventory!A61),"",Inventory!C61)</f>
        <v>75cl</v>
      </c>
      <c r="C61" s="187"/>
      <c r="D61" s="187"/>
      <c r="E61" s="187"/>
      <c r="F61" s="35" t="str">
        <f>IF(OR(ISBLANK(G61),G61=0),"",Settings!$B$14)</f>
        <v/>
      </c>
      <c r="G61" s="30">
        <f>IF(ISBLANK(Inventory!A61),0,SUM(C61:E61)*Inventory!F61)</f>
        <v>0</v>
      </c>
      <c r="H61" s="83" t="str">
        <f>IF(OR(ISBLANK(I61),I61=0),"",Settings!$B$14)</f>
        <v/>
      </c>
      <c r="I61" s="30">
        <f>IF(ISBLANK(Inventory!A61),0,SUM(C61:E61)*Inventory!L61)</f>
        <v>0</v>
      </c>
    </row>
    <row r="62" spans="1:9" s="45" customFormat="1" ht="15" customHeight="1">
      <c r="A62" s="31" t="str">
        <f>IF(ISBLANK(Inventory!A62),"",Inventory!A62)</f>
        <v>Campari</v>
      </c>
      <c r="B62" s="31" t="str">
        <f>IF(ISBLANK(Inventory!A62),"",Inventory!C62)</f>
        <v>75cl</v>
      </c>
      <c r="C62" s="187"/>
      <c r="D62" s="187"/>
      <c r="E62" s="187"/>
      <c r="F62" s="35" t="str">
        <f>IF(OR(ISBLANK(G62),G62=0),"",Settings!$B$14)</f>
        <v/>
      </c>
      <c r="G62" s="30">
        <f>IF(ISBLANK(Inventory!A62),0,SUM(C62:E62)*Inventory!F62)</f>
        <v>0</v>
      </c>
      <c r="H62" s="83" t="str">
        <f>IF(OR(ISBLANK(I62),I62=0),"",Settings!$B$14)</f>
        <v/>
      </c>
      <c r="I62" s="30">
        <f>IF(ISBLANK(Inventory!A62),0,SUM(C62:E62)*Inventory!L62)</f>
        <v>0</v>
      </c>
    </row>
    <row r="63" spans="1:9" s="45" customFormat="1" ht="15" customHeight="1">
      <c r="A63" s="31" t="str">
        <f>IF(ISBLANK(Inventory!A63),"",Inventory!A63)</f>
        <v>Cockburns Ruby</v>
      </c>
      <c r="B63" s="31" t="str">
        <f>IF(ISBLANK(Inventory!A63),"",Inventory!C63)</f>
        <v>75cl</v>
      </c>
      <c r="C63" s="187"/>
      <c r="D63" s="187"/>
      <c r="E63" s="187"/>
      <c r="F63" s="35" t="str">
        <f>IF(OR(ISBLANK(G63),G63=0),"",Settings!$B$14)</f>
        <v/>
      </c>
      <c r="G63" s="30">
        <f>IF(ISBLANK(Inventory!A63),0,SUM(C63:E63)*Inventory!F63)</f>
        <v>0</v>
      </c>
      <c r="H63" s="83" t="str">
        <f>IF(OR(ISBLANK(I63),I63=0),"",Settings!$B$14)</f>
        <v/>
      </c>
      <c r="I63" s="30">
        <f>IF(ISBLANK(Inventory!A63),0,SUM(C63:E63)*Inventory!L63)</f>
        <v>0</v>
      </c>
    </row>
    <row r="64" spans="1:9" s="45" customFormat="1" ht="15" customHeight="1">
      <c r="A64" s="31" t="str">
        <f>IF(ISBLANK(Inventory!A64),"",Inventory!A64)</f>
        <v>Bristol Cream</v>
      </c>
      <c r="B64" s="31" t="str">
        <f>IF(ISBLANK(Inventory!A64),"",Inventory!C64)</f>
        <v>75cl</v>
      </c>
      <c r="C64" s="187"/>
      <c r="D64" s="187"/>
      <c r="E64" s="187"/>
      <c r="F64" s="35" t="str">
        <f>IF(OR(ISBLANK(G64),G64=0),"",Settings!$B$14)</f>
        <v/>
      </c>
      <c r="G64" s="30">
        <f>IF(ISBLANK(Inventory!A64),0,SUM(C64:E64)*Inventory!F64)</f>
        <v>0</v>
      </c>
      <c r="H64" s="83" t="str">
        <f>IF(OR(ISBLANK(I64),I64=0),"",Settings!$B$14)</f>
        <v/>
      </c>
      <c r="I64" s="30">
        <f>IF(ISBLANK(Inventory!A64),0,SUM(C64:E64)*Inventory!L64)</f>
        <v>0</v>
      </c>
    </row>
    <row r="65" spans="1:9" s="45" customFormat="1" ht="15" customHeight="1">
      <c r="A65" s="31" t="str">
        <f>IF(ISBLANK(Inventory!A65),"",Inventory!A65)</f>
        <v>Club Classic</v>
      </c>
      <c r="B65" s="31" t="str">
        <f>IF(ISBLANK(Inventory!A65),"",Inventory!C65)</f>
        <v>75cl</v>
      </c>
      <c r="C65" s="187"/>
      <c r="D65" s="187"/>
      <c r="E65" s="187"/>
      <c r="F65" s="35" t="str">
        <f>IF(OR(ISBLANK(G65),G65=0),"",Settings!$B$14)</f>
        <v/>
      </c>
      <c r="G65" s="30">
        <f>IF(ISBLANK(Inventory!A65),0,SUM(C65:E65)*Inventory!F65)</f>
        <v>0</v>
      </c>
      <c r="H65" s="83" t="str">
        <f>IF(OR(ISBLANK(I65),I65=0),"",Settings!$B$14)</f>
        <v/>
      </c>
      <c r="I65" s="30">
        <f>IF(ISBLANK(Inventory!A65),0,SUM(C65:E65)*Inventory!L65)</f>
        <v>0</v>
      </c>
    </row>
    <row r="66" spans="1:9" s="45" customFormat="1" ht="15" customHeight="1">
      <c r="A66" s="31" t="str">
        <f>IF(ISBLANK(Inventory!A66),"",Inventory!A66)</f>
        <v>Harveys Dune</v>
      </c>
      <c r="B66" s="31" t="str">
        <f>IF(ISBLANK(Inventory!A66),"",Inventory!C66)</f>
        <v>75cl</v>
      </c>
      <c r="C66" s="187"/>
      <c r="D66" s="187"/>
      <c r="E66" s="187"/>
      <c r="F66" s="35" t="str">
        <f>IF(OR(ISBLANK(G66),G66=0),"",Settings!$B$14)</f>
        <v/>
      </c>
      <c r="G66" s="30">
        <f>IF(ISBLANK(Inventory!A66),0,SUM(C66:E66)*Inventory!F66)</f>
        <v>0</v>
      </c>
      <c r="H66" s="83" t="str">
        <f>IF(OR(ISBLANK(I66),I66=0),"",Settings!$B$14)</f>
        <v/>
      </c>
      <c r="I66" s="30">
        <f>IF(ISBLANK(Inventory!A66),0,SUM(C66:E66)*Inventory!L66)</f>
        <v>0</v>
      </c>
    </row>
    <row r="67" spans="1:9" s="45" customFormat="1" ht="15" customHeight="1">
      <c r="A67" s="31" t="str">
        <f>IF(ISBLANK(Inventory!A67),"",Inventory!A67)</f>
        <v/>
      </c>
      <c r="B67" s="31" t="str">
        <f>IF(ISBLANK(Inventory!A67),"",Inventory!C67)</f>
        <v/>
      </c>
      <c r="C67" s="187"/>
      <c r="D67" s="187"/>
      <c r="E67" s="187"/>
      <c r="F67" s="35" t="str">
        <f>IF(OR(ISBLANK(G67),G67=0),"",Settings!$B$14)</f>
        <v/>
      </c>
      <c r="G67" s="30">
        <f>IF(ISBLANK(Inventory!A67),0,SUM(C67:E67)*Inventory!F67)</f>
        <v>0</v>
      </c>
      <c r="H67" s="83" t="str">
        <f>IF(OR(ISBLANK(I67),I67=0),"",Settings!$B$14)</f>
        <v/>
      </c>
      <c r="I67" s="30">
        <f>IF(ISBLANK(Inventory!A67),0,SUM(C67:E67)*Inventory!L67)</f>
        <v>0</v>
      </c>
    </row>
    <row r="68" spans="1:9" s="45" customFormat="1" ht="15" customHeight="1">
      <c r="A68" s="31" t="str">
        <f>IF(ISBLANK(Inventory!A68),"",Inventory!A68)</f>
        <v/>
      </c>
      <c r="B68" s="31" t="str">
        <f>IF(ISBLANK(Inventory!A68),"",Inventory!C68)</f>
        <v/>
      </c>
      <c r="C68" s="187"/>
      <c r="D68" s="187"/>
      <c r="E68" s="187"/>
      <c r="F68" s="35" t="str">
        <f>IF(OR(ISBLANK(G68),G68=0),"",Settings!$B$14)</f>
        <v/>
      </c>
      <c r="G68" s="30">
        <f>IF(ISBLANK(Inventory!A68),0,SUM(C68:E68)*Inventory!F68)</f>
        <v>0</v>
      </c>
      <c r="H68" s="83" t="str">
        <f>IF(OR(ISBLANK(I68),I68=0),"",Settings!$B$14)</f>
        <v/>
      </c>
      <c r="I68" s="30">
        <f>IF(ISBLANK(Inventory!A68),0,SUM(C68:E68)*Inventory!L68)</f>
        <v>0</v>
      </c>
    </row>
    <row r="69" spans="1:9" s="45" customFormat="1" ht="15" customHeight="1">
      <c r="A69" s="31" t="str">
        <f>IF(ISBLANK(Inventory!A69),"",Inventory!A69)</f>
        <v/>
      </c>
      <c r="B69" s="31" t="str">
        <f>IF(ISBLANK(Inventory!A69),"",Inventory!C69)</f>
        <v/>
      </c>
      <c r="C69" s="187"/>
      <c r="D69" s="187"/>
      <c r="E69" s="187"/>
      <c r="F69" s="35" t="str">
        <f>IF(OR(ISBLANK(G69),G69=0),"",Settings!$B$14)</f>
        <v/>
      </c>
      <c r="G69" s="30">
        <f>IF(ISBLANK(Inventory!A69),0,SUM(C69:E69)*Inventory!F69)</f>
        <v>0</v>
      </c>
      <c r="H69" s="83" t="str">
        <f>IF(OR(ISBLANK(I69),I69=0),"",Settings!$B$14)</f>
        <v/>
      </c>
      <c r="I69" s="30">
        <f>IF(ISBLANK(Inventory!A69),0,SUM(C69:E69)*Inventory!L69)</f>
        <v>0</v>
      </c>
    </row>
    <row r="70" spans="1:9" s="45" customFormat="1" ht="15" customHeight="1">
      <c r="A70" s="31" t="str">
        <f>IF(ISBLANK(Inventory!A70),"",Inventory!A70)</f>
        <v/>
      </c>
      <c r="B70" s="31" t="str">
        <f>IF(ISBLANK(Inventory!A70),"",Inventory!C70)</f>
        <v/>
      </c>
      <c r="C70" s="187"/>
      <c r="D70" s="187"/>
      <c r="E70" s="187"/>
      <c r="F70" s="35" t="str">
        <f>IF(OR(ISBLANK(G70),G70=0),"",Settings!$B$14)</f>
        <v/>
      </c>
      <c r="G70" s="30">
        <f>IF(ISBLANK(Inventory!A70),0,SUM(C70:E70)*Inventory!F70)</f>
        <v>0</v>
      </c>
      <c r="H70" s="83" t="str">
        <f>IF(OR(ISBLANK(I70),I70=0),"",Settings!$B$14)</f>
        <v/>
      </c>
      <c r="I70" s="30">
        <f>IF(ISBLANK(Inventory!A70),0,SUM(C70:E70)*Inventory!L70)</f>
        <v>0</v>
      </c>
    </row>
    <row r="71" spans="1:9" s="45" customFormat="1" ht="15" customHeight="1">
      <c r="A71" s="31" t="str">
        <f>IF(ISBLANK(Inventory!A71),"",Inventory!A71)</f>
        <v/>
      </c>
      <c r="B71" s="31" t="str">
        <f>IF(ISBLANK(Inventory!A71),"",Inventory!C71)</f>
        <v/>
      </c>
      <c r="C71" s="187"/>
      <c r="D71" s="187"/>
      <c r="E71" s="187"/>
      <c r="F71" s="35" t="str">
        <f>IF(OR(ISBLANK(G71),G71=0),"",Settings!$B$14)</f>
        <v/>
      </c>
      <c r="G71" s="30">
        <f>IF(ISBLANK(Inventory!A71),0,SUM(C71:E71)*Inventory!F71)</f>
        <v>0</v>
      </c>
      <c r="H71" s="83" t="str">
        <f>IF(OR(ISBLANK(I71),I71=0),"",Settings!$B$14)</f>
        <v/>
      </c>
      <c r="I71" s="30">
        <f>IF(ISBLANK(Inventory!A71),0,SUM(C71:E71)*Inventory!L71)</f>
        <v>0</v>
      </c>
    </row>
    <row r="72" spans="1:9" s="45" customFormat="1" ht="15" customHeight="1">
      <c r="A72" s="31" t="str">
        <f>IF(ISBLANK(Inventory!A72),"",Inventory!A72)</f>
        <v/>
      </c>
      <c r="B72" s="31" t="str">
        <f>IF(ISBLANK(Inventory!A72),"",Inventory!C72)</f>
        <v/>
      </c>
      <c r="C72" s="187"/>
      <c r="D72" s="187"/>
      <c r="E72" s="187"/>
      <c r="F72" s="35" t="str">
        <f>IF(OR(ISBLANK(G72),G72=0),"",Settings!$B$14)</f>
        <v/>
      </c>
      <c r="G72" s="30">
        <f>IF(ISBLANK(Inventory!A72),0,SUM(C72:E72)*Inventory!F72)</f>
        <v>0</v>
      </c>
      <c r="H72" s="83" t="str">
        <f>IF(OR(ISBLANK(I72),I72=0),"",Settings!$B$14)</f>
        <v/>
      </c>
      <c r="I72" s="30">
        <f>IF(ISBLANK(Inventory!A72),0,SUM(C72:E72)*Inventory!L72)</f>
        <v>0</v>
      </c>
    </row>
    <row r="73" spans="1:9" ht="6.95" customHeight="1">
      <c r="A73" s="77"/>
      <c r="B73" s="77"/>
      <c r="C73" s="252"/>
      <c r="D73" s="252"/>
      <c r="E73" s="252"/>
      <c r="F73" s="164"/>
      <c r="G73" s="25"/>
      <c r="H73" s="62"/>
      <c r="I73" s="25"/>
    </row>
    <row r="74" spans="1:9" ht="18" customHeight="1" thickBot="1">
      <c r="A74" s="78" t="str">
        <f>Inventory!A74</f>
        <v>TABLE WINES</v>
      </c>
      <c r="B74" s="78" t="str">
        <f>Inventory!C74</f>
        <v>VOLUME</v>
      </c>
      <c r="C74" s="23" t="s">
        <v>101</v>
      </c>
      <c r="D74" s="23" t="s">
        <v>102</v>
      </c>
      <c r="E74" s="23" t="s">
        <v>108</v>
      </c>
      <c r="F74" s="235" t="s">
        <v>30</v>
      </c>
      <c r="G74" s="235"/>
      <c r="H74" s="235" t="s">
        <v>31</v>
      </c>
      <c r="I74" s="235"/>
    </row>
    <row r="75" spans="1:9" ht="6.95" customHeight="1" thickTop="1">
      <c r="A75" s="76"/>
      <c r="B75" s="161"/>
      <c r="C75" s="162"/>
      <c r="D75" s="162"/>
      <c r="E75" s="162"/>
      <c r="F75" s="162"/>
      <c r="G75" s="163"/>
      <c r="H75" s="20"/>
      <c r="I75" s="163"/>
    </row>
    <row r="76" spans="1:9" ht="15" customHeight="1">
      <c r="A76" s="31" t="str">
        <f>IF(ISBLANK(Inventory!A76),"",Inventory!A76)</f>
        <v>35º South Red</v>
      </c>
      <c r="B76" s="31" t="str">
        <f>IF(ISBLANK(Inventory!A76),"",Inventory!C76)</f>
        <v>750ml</v>
      </c>
      <c r="C76" s="187"/>
      <c r="D76" s="187"/>
      <c r="E76" s="187"/>
      <c r="F76" s="35" t="str">
        <f>IF(OR(ISBLANK(G76),G76=0),"",Settings!$B$14)</f>
        <v/>
      </c>
      <c r="G76" s="30">
        <f>IF(ISBLANK(Inventory!A76),0,SUM(C76:E76)*Inventory!H76)</f>
        <v>0</v>
      </c>
      <c r="H76" s="83" t="str">
        <f>IF(OR(ISBLANK(I76),I76=0),"",Settings!$B$14)</f>
        <v/>
      </c>
      <c r="I76" s="30">
        <f>IF(ISBLANK(Inventory!A76),0,SUM(C76:E76)*Inventory!J76)</f>
        <v>0</v>
      </c>
    </row>
    <row r="77" spans="1:9" ht="15" customHeight="1">
      <c r="A77" s="31" t="str">
        <f>IF(ISBLANK(Inventory!A77),"",Inventory!A77)</f>
        <v>Lindemans' Chardonnay</v>
      </c>
      <c r="B77" s="31" t="str">
        <f>IF(ISBLANK(Inventory!A77),"",Inventory!C77)</f>
        <v>750ml</v>
      </c>
      <c r="C77" s="187"/>
      <c r="D77" s="187"/>
      <c r="E77" s="187"/>
      <c r="F77" s="35" t="str">
        <f>IF(OR(ISBLANK(G77),G77=0),"",Settings!$B$14)</f>
        <v/>
      </c>
      <c r="G77" s="30">
        <f>IF(ISBLANK(Inventory!A77),0,SUM(C77:E77)*Inventory!H77)</f>
        <v>0</v>
      </c>
      <c r="H77" s="83" t="str">
        <f>IF(OR(ISBLANK(I77),I77=0),"",Settings!$B$14)</f>
        <v/>
      </c>
      <c r="I77" s="30">
        <f>IF(ISBLANK(Inventory!A77),0,SUM(C77:E77)*Inventory!J77)</f>
        <v>0</v>
      </c>
    </row>
    <row r="78" spans="1:9" ht="15" customHeight="1">
      <c r="A78" s="31" t="str">
        <f>IF(ISBLANK(Inventory!A78),"",Inventory!A78)</f>
        <v>Arniston Bay</v>
      </c>
      <c r="B78" s="31" t="str">
        <f>IF(ISBLANK(Inventory!A78),"",Inventory!C78)</f>
        <v>750ml</v>
      </c>
      <c r="C78" s="187"/>
      <c r="D78" s="187"/>
      <c r="E78" s="187"/>
      <c r="F78" s="35" t="str">
        <f>IF(OR(ISBLANK(G78),G78=0),"",Settings!$B$14)</f>
        <v/>
      </c>
      <c r="G78" s="30">
        <f>IF(ISBLANK(Inventory!A78),0,SUM(C78:E78)*Inventory!H78)</f>
        <v>0</v>
      </c>
      <c r="H78" s="83" t="str">
        <f>IF(OR(ISBLANK(I78),I78=0),"",Settings!$B$14)</f>
        <v/>
      </c>
      <c r="I78" s="30">
        <f>IF(ISBLANK(Inventory!A78),0,SUM(C78:E78)*Inventory!J78)</f>
        <v>0</v>
      </c>
    </row>
    <row r="79" spans="1:9" ht="15" customHeight="1">
      <c r="A79" s="31" t="str">
        <f>IF(ISBLANK(Inventory!A79),"",Inventory!A79)</f>
        <v>Côtes du Rhône</v>
      </c>
      <c r="B79" s="31" t="str">
        <f>IF(ISBLANK(Inventory!A79),"",Inventory!C79)</f>
        <v>750ml</v>
      </c>
      <c r="C79" s="187"/>
      <c r="D79" s="187"/>
      <c r="E79" s="187"/>
      <c r="F79" s="35" t="str">
        <f>IF(OR(ISBLANK(G79),G79=0),"",Settings!$B$14)</f>
        <v/>
      </c>
      <c r="G79" s="30">
        <f>IF(ISBLANK(Inventory!A79),0,SUM(C79:E79)*Inventory!H79)</f>
        <v>0</v>
      </c>
      <c r="H79" s="83" t="str">
        <f>IF(OR(ISBLANK(I79),I79=0),"",Settings!$B$14)</f>
        <v/>
      </c>
      <c r="I79" s="30">
        <f>IF(ISBLANK(Inventory!A79),0,SUM(C79:E79)*Inventory!J79)</f>
        <v>0</v>
      </c>
    </row>
    <row r="80" spans="1:9" ht="15" customHeight="1">
      <c r="A80" s="31" t="str">
        <f>IF(ISBLANK(Inventory!A80),"",Inventory!A80)</f>
        <v>Jacobs Creek</v>
      </c>
      <c r="B80" s="31" t="str">
        <f>IF(ISBLANK(Inventory!A80),"",Inventory!C80)</f>
        <v>750ml</v>
      </c>
      <c r="C80" s="187"/>
      <c r="D80" s="187"/>
      <c r="E80" s="187"/>
      <c r="F80" s="35" t="str">
        <f>IF(OR(ISBLANK(G80),G80=0),"",Settings!$B$14)</f>
        <v/>
      </c>
      <c r="G80" s="30">
        <f>IF(ISBLANK(Inventory!A80),0,SUM(C80:E80)*Inventory!H80)</f>
        <v>0</v>
      </c>
      <c r="H80" s="83" t="str">
        <f>IF(OR(ISBLANK(I80),I80=0),"",Settings!$B$14)</f>
        <v/>
      </c>
      <c r="I80" s="30">
        <f>IF(ISBLANK(Inventory!A80),0,SUM(C80:E80)*Inventory!J80)</f>
        <v>0</v>
      </c>
    </row>
    <row r="81" spans="1:9" ht="15" customHeight="1">
      <c r="A81" s="31" t="str">
        <f>IF(ISBLANK(Inventory!A81),"",Inventory!A81)</f>
        <v>Louis Raymond</v>
      </c>
      <c r="B81" s="31" t="str">
        <f>IF(ISBLANK(Inventory!A81),"",Inventory!C81)</f>
        <v>375ml</v>
      </c>
      <c r="C81" s="187"/>
      <c r="D81" s="187"/>
      <c r="E81" s="187"/>
      <c r="F81" s="35" t="str">
        <f>IF(OR(ISBLANK(G81),G81=0),"",Settings!$B$14)</f>
        <v/>
      </c>
      <c r="G81" s="30">
        <f>IF(ISBLANK(Inventory!A81),0,SUM(C81:E81)*Inventory!H81)</f>
        <v>0</v>
      </c>
      <c r="H81" s="83" t="str">
        <f>IF(OR(ISBLANK(I81),I81=0),"",Settings!$B$14)</f>
        <v/>
      </c>
      <c r="I81" s="30">
        <f>IF(ISBLANK(Inventory!A81),0,SUM(C81:E81)*Inventory!J81)</f>
        <v>0</v>
      </c>
    </row>
    <row r="82" spans="1:9" ht="15" customHeight="1">
      <c r="A82" s="31" t="str">
        <f>IF(ISBLANK(Inventory!A82),"",Inventory!A82)</f>
        <v>Castletorre</v>
      </c>
      <c r="B82" s="31" t="str">
        <f>IF(ISBLANK(Inventory!A82),"",Inventory!C82)</f>
        <v>375ml</v>
      </c>
      <c r="C82" s="187"/>
      <c r="D82" s="187"/>
      <c r="E82" s="187"/>
      <c r="F82" s="35" t="str">
        <f>IF(OR(ISBLANK(G82),G82=0),"",Settings!$B$14)</f>
        <v/>
      </c>
      <c r="G82" s="30">
        <f>IF(ISBLANK(Inventory!A82),0,SUM(C82:E82)*Inventory!H82)</f>
        <v>0</v>
      </c>
      <c r="H82" s="83" t="str">
        <f>IF(OR(ISBLANK(I82),I82=0),"",Settings!$B$14)</f>
        <v/>
      </c>
      <c r="I82" s="30">
        <f>IF(ISBLANK(Inventory!A82),0,SUM(C82:E82)*Inventory!J82)</f>
        <v>0</v>
      </c>
    </row>
    <row r="83" spans="1:9" ht="15" customHeight="1">
      <c r="A83" s="31" t="str">
        <f>IF(ISBLANK(Inventory!A83),"",Inventory!A83)</f>
        <v>Muscadet</v>
      </c>
      <c r="B83" s="31" t="str">
        <f>IF(ISBLANK(Inventory!A83),"",Inventory!C83)</f>
        <v>750ml</v>
      </c>
      <c r="C83" s="187"/>
      <c r="D83" s="187"/>
      <c r="E83" s="187"/>
      <c r="F83" s="35" t="str">
        <f>IF(OR(ISBLANK(G83),G83=0),"",Settings!$B$14)</f>
        <v/>
      </c>
      <c r="G83" s="30">
        <f>IF(ISBLANK(Inventory!A83),0,SUM(C83:E83)*Inventory!H83)</f>
        <v>0</v>
      </c>
      <c r="H83" s="83" t="str">
        <f>IF(OR(ISBLANK(I83),I83=0),"",Settings!$B$14)</f>
        <v/>
      </c>
      <c r="I83" s="30">
        <f>IF(ISBLANK(Inventory!A83),0,SUM(C83:E83)*Inventory!J83)</f>
        <v>0</v>
      </c>
    </row>
    <row r="84" spans="1:9" ht="15" customHeight="1">
      <c r="A84" s="31" t="str">
        <f>IF(ISBLANK(Inventory!A84),"",Inventory!A84)</f>
        <v>Piesporter</v>
      </c>
      <c r="B84" s="31" t="str">
        <f>IF(ISBLANK(Inventory!A84),"",Inventory!C84)</f>
        <v>750ml</v>
      </c>
      <c r="C84" s="187"/>
      <c r="D84" s="187"/>
      <c r="E84" s="187"/>
      <c r="F84" s="35" t="str">
        <f>IF(OR(ISBLANK(G84),G84=0),"",Settings!$B$14)</f>
        <v/>
      </c>
      <c r="G84" s="30">
        <f>IF(ISBLANK(Inventory!A84),0,SUM(C84:E84)*Inventory!H84)</f>
        <v>0</v>
      </c>
      <c r="H84" s="83" t="str">
        <f>IF(OR(ISBLANK(I84),I84=0),"",Settings!$B$14)</f>
        <v/>
      </c>
      <c r="I84" s="30">
        <f>IF(ISBLANK(Inventory!A84),0,SUM(C84:E84)*Inventory!J84)</f>
        <v>0</v>
      </c>
    </row>
    <row r="85" spans="1:9" ht="15" customHeight="1">
      <c r="A85" s="31" t="str">
        <f>IF(ISBLANK(Inventory!A85),"",Inventory!A85)</f>
        <v>Piesporter (Small)</v>
      </c>
      <c r="B85" s="31" t="str">
        <f>IF(ISBLANK(Inventory!A85),"",Inventory!C85)</f>
        <v>375ml</v>
      </c>
      <c r="C85" s="187"/>
      <c r="D85" s="187"/>
      <c r="E85" s="187"/>
      <c r="F85" s="35" t="str">
        <f>IF(OR(ISBLANK(G85),G85=0),"",Settings!$B$14)</f>
        <v/>
      </c>
      <c r="G85" s="30">
        <f>IF(ISBLANK(Inventory!A85),0,SUM(C85:E85)*Inventory!H85)</f>
        <v>0</v>
      </c>
      <c r="H85" s="83" t="str">
        <f>IF(OR(ISBLANK(I85),I85=0),"",Settings!$B$14)</f>
        <v/>
      </c>
      <c r="I85" s="30">
        <f>IF(ISBLANK(Inventory!A85),0,SUM(C85:E85)*Inventory!J85)</f>
        <v>0</v>
      </c>
    </row>
    <row r="86" spans="1:9" ht="15" customHeight="1">
      <c r="A86" s="31" t="str">
        <f>IF(ISBLANK(Inventory!A86),"",Inventory!A86)</f>
        <v>Pinot Grigio</v>
      </c>
      <c r="B86" s="31" t="str">
        <f>IF(ISBLANK(Inventory!A86),"",Inventory!C86)</f>
        <v>750ml</v>
      </c>
      <c r="C86" s="187"/>
      <c r="D86" s="187"/>
      <c r="E86" s="187"/>
      <c r="F86" s="35" t="str">
        <f>IF(OR(ISBLANK(G86),G86=0),"",Settings!$B$14)</f>
        <v/>
      </c>
      <c r="G86" s="30">
        <f>IF(ISBLANK(Inventory!A86),0,SUM(C86:E86)*Inventory!H86)</f>
        <v>0</v>
      </c>
      <c r="H86" s="83" t="str">
        <f>IF(OR(ISBLANK(I86),I86=0),"",Settings!$B$14)</f>
        <v/>
      </c>
      <c r="I86" s="30">
        <f>IF(ISBLANK(Inventory!A86),0,SUM(C86:E86)*Inventory!J86)</f>
        <v>0</v>
      </c>
    </row>
    <row r="87" spans="1:9" ht="15" customHeight="1">
      <c r="A87" s="31" t="str">
        <f>IF(ISBLANK(Inventory!A87),"",Inventory!A87)</f>
        <v>Faustino Crianza</v>
      </c>
      <c r="B87" s="31" t="str">
        <f>IF(ISBLANK(Inventory!A87),"",Inventory!C87)</f>
        <v>750ml</v>
      </c>
      <c r="C87" s="187"/>
      <c r="D87" s="187"/>
      <c r="E87" s="187"/>
      <c r="F87" s="35" t="str">
        <f>IF(OR(ISBLANK(G87),G87=0),"",Settings!$B$14)</f>
        <v/>
      </c>
      <c r="G87" s="30">
        <f>IF(ISBLANK(Inventory!A87),0,SUM(C87:E87)*Inventory!H87)</f>
        <v>0</v>
      </c>
      <c r="H87" s="83" t="str">
        <f>IF(OR(ISBLANK(I87),I87=0),"",Settings!$B$14)</f>
        <v/>
      </c>
      <c r="I87" s="30">
        <f>IF(ISBLANK(Inventory!A87),0,SUM(C87:E87)*Inventory!J87)</f>
        <v>0</v>
      </c>
    </row>
    <row r="88" spans="1:9" ht="15" customHeight="1">
      <c r="A88" s="31" t="str">
        <f>IF(ISBLANK(Inventory!A88),"",Inventory!A88)</f>
        <v>35º South White</v>
      </c>
      <c r="B88" s="31" t="str">
        <f>IF(ISBLANK(Inventory!A88),"",Inventory!C88)</f>
        <v>750ml</v>
      </c>
      <c r="C88" s="187"/>
      <c r="D88" s="187"/>
      <c r="E88" s="187"/>
      <c r="F88" s="35" t="str">
        <f>IF(OR(ISBLANK(G88),G88=0),"",Settings!$B$14)</f>
        <v/>
      </c>
      <c r="G88" s="30">
        <f>IF(ISBLANK(Inventory!A88),0,SUM(C88:E88)*Inventory!H88)</f>
        <v>0</v>
      </c>
      <c r="H88" s="83" t="str">
        <f>IF(OR(ISBLANK(I88),I88=0),"",Settings!$B$14)</f>
        <v/>
      </c>
      <c r="I88" s="30">
        <f>IF(ISBLANK(Inventory!A88),0,SUM(C88:E88)*Inventory!J88)</f>
        <v>0</v>
      </c>
    </row>
    <row r="89" spans="1:9" ht="15" customHeight="1">
      <c r="A89" s="31" t="str">
        <f>IF(ISBLANK(Inventory!A89),"",Inventory!A89)</f>
        <v/>
      </c>
      <c r="B89" s="31" t="str">
        <f>IF(ISBLANK(Inventory!A89),"",Inventory!C89)</f>
        <v/>
      </c>
      <c r="C89" s="187"/>
      <c r="D89" s="187"/>
      <c r="E89" s="187"/>
      <c r="F89" s="35" t="str">
        <f>IF(OR(ISBLANK(G89),G89=0),"",Settings!$B$14)</f>
        <v/>
      </c>
      <c r="G89" s="30">
        <f>IF(ISBLANK(Inventory!A89),0,SUM(C89:E89)*Inventory!H89)</f>
        <v>0</v>
      </c>
      <c r="H89" s="83" t="str">
        <f>IF(OR(ISBLANK(I89),I89=0),"",Settings!$B$14)</f>
        <v/>
      </c>
      <c r="I89" s="30">
        <f>IF(ISBLANK(Inventory!A89),0,SUM(C89:E89)*Inventory!J89)</f>
        <v>0</v>
      </c>
    </row>
    <row r="90" spans="1:9" ht="15" customHeight="1">
      <c r="A90" s="31" t="str">
        <f>IF(ISBLANK(Inventory!A90),"",Inventory!A90)</f>
        <v/>
      </c>
      <c r="B90" s="31" t="str">
        <f>IF(ISBLANK(Inventory!A90),"",Inventory!C90)</f>
        <v/>
      </c>
      <c r="C90" s="187"/>
      <c r="D90" s="187"/>
      <c r="E90" s="187"/>
      <c r="F90" s="35" t="str">
        <f>IF(OR(ISBLANK(G90),G90=0),"",Settings!$B$14)</f>
        <v/>
      </c>
      <c r="G90" s="30">
        <f>IF(ISBLANK(Inventory!A90),0,SUM(C90:E90)*Inventory!H90)</f>
        <v>0</v>
      </c>
      <c r="H90" s="83" t="str">
        <f>IF(OR(ISBLANK(I90),I90=0),"",Settings!$B$14)</f>
        <v/>
      </c>
      <c r="I90" s="30">
        <f>IF(ISBLANK(Inventory!A90),0,SUM(C90:E90)*Inventory!J90)</f>
        <v>0</v>
      </c>
    </row>
    <row r="91" spans="1:9" ht="15" customHeight="1">
      <c r="A91" s="31" t="str">
        <f>IF(ISBLANK(Inventory!A91),"",Inventory!A91)</f>
        <v/>
      </c>
      <c r="B91" s="31" t="str">
        <f>IF(ISBLANK(Inventory!A91),"",Inventory!C91)</f>
        <v/>
      </c>
      <c r="C91" s="187"/>
      <c r="D91" s="187"/>
      <c r="E91" s="187"/>
      <c r="F91" s="35" t="str">
        <f>IF(OR(ISBLANK(G91),G91=0),"",Settings!$B$14)</f>
        <v/>
      </c>
      <c r="G91" s="30">
        <f>IF(ISBLANK(Inventory!A91),0,SUM(C91:E91)*Inventory!H91)</f>
        <v>0</v>
      </c>
      <c r="H91" s="83" t="str">
        <f>IF(OR(ISBLANK(I91),I91=0),"",Settings!$B$14)</f>
        <v/>
      </c>
      <c r="I91" s="30">
        <f>IF(ISBLANK(Inventory!A91),0,SUM(C91:E91)*Inventory!J91)</f>
        <v>0</v>
      </c>
    </row>
    <row r="92" spans="1:9" ht="15" customHeight="1">
      <c r="A92" s="31" t="str">
        <f>IF(ISBLANK(Inventory!A92),"",Inventory!A92)</f>
        <v/>
      </c>
      <c r="B92" s="31" t="str">
        <f>IF(ISBLANK(Inventory!A92),"",Inventory!C92)</f>
        <v/>
      </c>
      <c r="C92" s="187"/>
      <c r="D92" s="187"/>
      <c r="E92" s="187"/>
      <c r="F92" s="35" t="str">
        <f>IF(OR(ISBLANK(G92),G92=0),"",Settings!$B$14)</f>
        <v/>
      </c>
      <c r="G92" s="30">
        <f>IF(ISBLANK(Inventory!A92),0,SUM(C92:E92)*Inventory!H92)</f>
        <v>0</v>
      </c>
      <c r="H92" s="83" t="str">
        <f>IF(OR(ISBLANK(I92),I92=0),"",Settings!$B$14)</f>
        <v/>
      </c>
      <c r="I92" s="30">
        <f>IF(ISBLANK(Inventory!A92),0,SUM(C92:E92)*Inventory!J92)</f>
        <v>0</v>
      </c>
    </row>
    <row r="93" spans="1:9" ht="15" customHeight="1">
      <c r="A93" s="31" t="str">
        <f>IF(ISBLANK(Inventory!A93),"",Inventory!A93)</f>
        <v/>
      </c>
      <c r="B93" s="31" t="str">
        <f>IF(ISBLANK(Inventory!A93),"",Inventory!C93)</f>
        <v/>
      </c>
      <c r="C93" s="187"/>
      <c r="D93" s="187"/>
      <c r="E93" s="187"/>
      <c r="F93" s="35" t="str">
        <f>IF(OR(ISBLANK(G93),G93=0),"",Settings!$B$14)</f>
        <v/>
      </c>
      <c r="G93" s="30">
        <f>IF(ISBLANK(Inventory!A93),0,SUM(C93:E93)*Inventory!H93)</f>
        <v>0</v>
      </c>
      <c r="H93" s="83" t="str">
        <f>IF(OR(ISBLANK(I93),I93=0),"",Settings!$B$14)</f>
        <v/>
      </c>
      <c r="I93" s="30">
        <f>IF(ISBLANK(Inventory!A93),0,SUM(C93:E93)*Inventory!J93)</f>
        <v>0</v>
      </c>
    </row>
    <row r="94" spans="1:9" ht="15" customHeight="1">
      <c r="A94" s="31" t="str">
        <f>IF(ISBLANK(Inventory!A94),"",Inventory!A94)</f>
        <v/>
      </c>
      <c r="B94" s="31" t="str">
        <f>IF(ISBLANK(Inventory!A94),"",Inventory!C94)</f>
        <v/>
      </c>
      <c r="C94" s="187"/>
      <c r="D94" s="187"/>
      <c r="E94" s="187"/>
      <c r="F94" s="35" t="str">
        <f>IF(OR(ISBLANK(G94),G94=0),"",Settings!$B$14)</f>
        <v/>
      </c>
      <c r="G94" s="30">
        <f>IF(ISBLANK(Inventory!A94),0,SUM(C94:E94)*Inventory!H94)</f>
        <v>0</v>
      </c>
      <c r="H94" s="83" t="str">
        <f>IF(OR(ISBLANK(I94),I94=0),"",Settings!$B$14)</f>
        <v/>
      </c>
      <c r="I94" s="30">
        <f>IF(ISBLANK(Inventory!A94),0,SUM(C94:E94)*Inventory!J94)</f>
        <v>0</v>
      </c>
    </row>
    <row r="95" spans="1:9" ht="15" customHeight="1">
      <c r="A95" s="31" t="str">
        <f>IF(ISBLANK(Inventory!A95),"",Inventory!A95)</f>
        <v/>
      </c>
      <c r="B95" s="31" t="str">
        <f>IF(ISBLANK(Inventory!A95),"",Inventory!C95)</f>
        <v/>
      </c>
      <c r="C95" s="187"/>
      <c r="D95" s="187"/>
      <c r="E95" s="187"/>
      <c r="F95" s="35" t="str">
        <f>IF(OR(ISBLANK(G95),G95=0),"",Settings!$B$14)</f>
        <v/>
      </c>
      <c r="G95" s="30">
        <f>IF(ISBLANK(Inventory!A95),0,SUM(C95:E95)*Inventory!H95)</f>
        <v>0</v>
      </c>
      <c r="H95" s="83" t="str">
        <f>IF(OR(ISBLANK(I95),I95=0),"",Settings!$B$14)</f>
        <v/>
      </c>
      <c r="I95" s="30">
        <f>IF(ISBLANK(Inventory!A95),0,SUM(C95:E95)*Inventory!J95)</f>
        <v>0</v>
      </c>
    </row>
    <row r="96" spans="1:9" ht="15" customHeight="1">
      <c r="A96" s="31" t="str">
        <f>IF(ISBLANK(Inventory!A96),"",Inventory!A96)</f>
        <v/>
      </c>
      <c r="B96" s="31" t="str">
        <f>IF(ISBLANK(Inventory!A96),"",Inventory!C96)</f>
        <v/>
      </c>
      <c r="C96" s="187"/>
      <c r="D96" s="187"/>
      <c r="E96" s="187"/>
      <c r="F96" s="35" t="str">
        <f>IF(OR(ISBLANK(G96),G96=0),"",Settings!$B$14)</f>
        <v/>
      </c>
      <c r="G96" s="30">
        <f>IF(ISBLANK(Inventory!A96),0,SUM(C96:E96)*Inventory!H96)</f>
        <v>0</v>
      </c>
      <c r="H96" s="83" t="str">
        <f>IF(OR(ISBLANK(I96),I96=0),"",Settings!$B$14)</f>
        <v/>
      </c>
      <c r="I96" s="30">
        <f>IF(ISBLANK(Inventory!A96),0,SUM(C96:E96)*Inventory!J96)</f>
        <v>0</v>
      </c>
    </row>
    <row r="97" spans="1:9" ht="15" customHeight="1">
      <c r="A97" s="31" t="str">
        <f>IF(ISBLANK(Inventory!A97),"",Inventory!A97)</f>
        <v/>
      </c>
      <c r="B97" s="31" t="str">
        <f>IF(ISBLANK(Inventory!A97),"",Inventory!C97)</f>
        <v/>
      </c>
      <c r="C97" s="187"/>
      <c r="D97" s="187"/>
      <c r="E97" s="187"/>
      <c r="F97" s="35" t="str">
        <f>IF(OR(ISBLANK(G97),G97=0),"",Settings!$B$14)</f>
        <v/>
      </c>
      <c r="G97" s="30">
        <f>IF(ISBLANK(Inventory!A97),0,SUM(C97:E97)*Inventory!H97)</f>
        <v>0</v>
      </c>
      <c r="H97" s="83" t="str">
        <f>IF(OR(ISBLANK(I97),I97=0),"",Settings!$B$14)</f>
        <v/>
      </c>
      <c r="I97" s="30">
        <f>IF(ISBLANK(Inventory!A97),0,SUM(C97:E97)*Inventory!J97)</f>
        <v>0</v>
      </c>
    </row>
    <row r="98" spans="1:9" ht="6.95" customHeight="1">
      <c r="A98" s="77"/>
      <c r="B98" s="77"/>
      <c r="C98" s="252"/>
      <c r="D98" s="252"/>
      <c r="E98" s="252"/>
      <c r="F98" s="164"/>
      <c r="G98" s="25"/>
      <c r="H98" s="62"/>
      <c r="I98" s="25"/>
    </row>
    <row r="99" spans="1:9" ht="18" customHeight="1" thickBot="1">
      <c r="A99" s="78" t="str">
        <f>Inventory!A99</f>
        <v>DRAUGHT BEER</v>
      </c>
      <c r="B99" s="78" t="str">
        <f>Inventory!C99</f>
        <v>VOLUME</v>
      </c>
      <c r="C99" s="23" t="s">
        <v>103</v>
      </c>
      <c r="D99" s="23"/>
      <c r="E99" s="23" t="s">
        <v>108</v>
      </c>
      <c r="F99" s="235" t="s">
        <v>30</v>
      </c>
      <c r="G99" s="235"/>
      <c r="H99" s="235" t="s">
        <v>31</v>
      </c>
      <c r="I99" s="235"/>
    </row>
    <row r="100" spans="1:9" ht="6.95" customHeight="1" thickTop="1">
      <c r="A100" s="76"/>
      <c r="B100" s="161"/>
      <c r="C100" s="162"/>
      <c r="D100" s="162"/>
      <c r="E100" s="162"/>
      <c r="F100" s="162"/>
      <c r="G100" s="163"/>
      <c r="H100" s="20"/>
      <c r="I100" s="163"/>
    </row>
    <row r="101" spans="1:9" ht="15" customHeight="1">
      <c r="A101" s="31" t="str">
        <f>IF(ISBLANK(Inventory!A101),"",Inventory!A101)</f>
        <v>Boddingtons</v>
      </c>
      <c r="B101" s="31" t="str">
        <f>IF(ISBLANK(Inventory!A101),"",Inventory!C101)</f>
        <v>22 Gallon</v>
      </c>
      <c r="C101" s="187">
        <v>1</v>
      </c>
      <c r="D101" s="165"/>
      <c r="E101" s="187">
        <v>0.5</v>
      </c>
      <c r="F101" s="35" t="str">
        <f>IF(OR(ISBLANK(G101),G101=0),"",Settings!$B$14)</f>
        <v>$</v>
      </c>
      <c r="G101" s="30">
        <f>IF(ISBLANK(Inventory!A101),0,SUM(C101:E101)*Inventory!F101)</f>
        <v>143.07</v>
      </c>
      <c r="H101" s="83" t="str">
        <f>IF(OR(ISBLANK(I101),I101=0),"",Settings!$B$14)</f>
        <v>$</v>
      </c>
      <c r="I101" s="30">
        <f>IF(ISBLANK(Inventory!A101),0,SUM(C101:E101)*Inventory!L101)</f>
        <v>707.52</v>
      </c>
    </row>
    <row r="102" spans="1:9" ht="15" customHeight="1">
      <c r="A102" s="31" t="str">
        <f>IF(ISBLANK(Inventory!A102),"",Inventory!A102)</f>
        <v>Murphy's</v>
      </c>
      <c r="B102" s="31" t="str">
        <f>IF(ISBLANK(Inventory!A102),"",Inventory!C102)</f>
        <v>10 Gallon</v>
      </c>
      <c r="C102" s="187"/>
      <c r="D102" s="165"/>
      <c r="E102" s="187"/>
      <c r="F102" s="35" t="str">
        <f>IF(OR(ISBLANK(G102),G102=0),"",Settings!$B$14)</f>
        <v/>
      </c>
      <c r="G102" s="30">
        <f>IF(ISBLANK(Inventory!A102),0,SUM(C102:E102)*Inventory!F102)</f>
        <v>0</v>
      </c>
      <c r="H102" s="83" t="str">
        <f>IF(OR(ISBLANK(I102),I102=0),"",Settings!$B$14)</f>
        <v/>
      </c>
      <c r="I102" s="30">
        <f>IF(ISBLANK(Inventory!A102),0,SUM(C102:E102)*Inventory!L102)</f>
        <v>0</v>
      </c>
    </row>
    <row r="103" spans="1:9" ht="15" customHeight="1">
      <c r="A103" s="31" t="str">
        <f>IF(ISBLANK(Inventory!A103),"",Inventory!A103)</f>
        <v/>
      </c>
      <c r="B103" s="31" t="str">
        <f>IF(ISBLANK(Inventory!A103),"",Inventory!C103)</f>
        <v/>
      </c>
      <c r="C103" s="187"/>
      <c r="D103" s="165"/>
      <c r="E103" s="187"/>
      <c r="F103" s="35" t="str">
        <f>IF(OR(ISBLANK(G103),G103=0),"",Settings!$B$14)</f>
        <v/>
      </c>
      <c r="G103" s="30">
        <f>IF(ISBLANK(Inventory!A103),0,SUM(C103:E103)*Inventory!F103)</f>
        <v>0</v>
      </c>
      <c r="H103" s="83" t="str">
        <f>IF(OR(ISBLANK(I103),I103=0),"",Settings!$B$14)</f>
        <v/>
      </c>
      <c r="I103" s="30">
        <f>IF(ISBLANK(Inventory!A103),0,SUM(C103:E103)*Inventory!L103)</f>
        <v>0</v>
      </c>
    </row>
    <row r="104" spans="1:9" ht="15" customHeight="1">
      <c r="A104" s="31" t="str">
        <f>IF(ISBLANK(Inventory!A104),"",Inventory!A104)</f>
        <v/>
      </c>
      <c r="B104" s="31" t="str">
        <f>IF(ISBLANK(Inventory!A104),"",Inventory!C104)</f>
        <v/>
      </c>
      <c r="C104" s="187"/>
      <c r="D104" s="165"/>
      <c r="E104" s="187"/>
      <c r="F104" s="35" t="str">
        <f>IF(OR(ISBLANK(G104),G104=0),"",Settings!$B$14)</f>
        <v/>
      </c>
      <c r="G104" s="30">
        <f>IF(ISBLANK(Inventory!A104),0,SUM(C104:E104)*Inventory!F104)</f>
        <v>0</v>
      </c>
      <c r="H104" s="83" t="str">
        <f>IF(OR(ISBLANK(I104),I104=0),"",Settings!$B$14)</f>
        <v/>
      </c>
      <c r="I104" s="30">
        <f>IF(ISBLANK(Inventory!A104),0,SUM(C104:E104)*Inventory!L104)</f>
        <v>0</v>
      </c>
    </row>
    <row r="105" spans="1:9" ht="15" customHeight="1">
      <c r="A105" s="31" t="str">
        <f>IF(ISBLANK(Inventory!A105),"",Inventory!A105)</f>
        <v/>
      </c>
      <c r="B105" s="31" t="str">
        <f>IF(ISBLANK(Inventory!A105),"",Inventory!C105)</f>
        <v/>
      </c>
      <c r="C105" s="187"/>
      <c r="D105" s="165"/>
      <c r="E105" s="187"/>
      <c r="F105" s="35" t="str">
        <f>IF(OR(ISBLANK(G105),G105=0),"",Settings!$B$14)</f>
        <v/>
      </c>
      <c r="G105" s="30">
        <f>IF(ISBLANK(Inventory!A105),0,SUM(C105:E105)*Inventory!F105)</f>
        <v>0</v>
      </c>
      <c r="H105" s="83" t="str">
        <f>IF(OR(ISBLANK(I105),I105=0),"",Settings!$B$14)</f>
        <v/>
      </c>
      <c r="I105" s="30">
        <f>IF(ISBLANK(Inventory!A105),0,SUM(C105:E105)*Inventory!L105)</f>
        <v>0</v>
      </c>
    </row>
    <row r="106" spans="1:9" ht="15" customHeight="1">
      <c r="A106" s="31" t="str">
        <f>IF(ISBLANK(Inventory!A106),"",Inventory!A106)</f>
        <v/>
      </c>
      <c r="B106" s="31" t="str">
        <f>IF(ISBLANK(Inventory!A106),"",Inventory!C106)</f>
        <v/>
      </c>
      <c r="C106" s="187"/>
      <c r="D106" s="165"/>
      <c r="E106" s="187"/>
      <c r="F106" s="35" t="str">
        <f>IF(OR(ISBLANK(G106),G106=0),"",Settings!$B$14)</f>
        <v/>
      </c>
      <c r="G106" s="30">
        <f>IF(ISBLANK(Inventory!A106),0,SUM(C106:E106)*Inventory!F106)</f>
        <v>0</v>
      </c>
      <c r="H106" s="83" t="str">
        <f>IF(OR(ISBLANK(I106),I106=0),"",Settings!$B$14)</f>
        <v/>
      </c>
      <c r="I106" s="30">
        <f>IF(ISBLANK(Inventory!A106),0,SUM(C106:E106)*Inventory!L106)</f>
        <v>0</v>
      </c>
    </row>
    <row r="107" spans="1:9" ht="6.95" customHeight="1">
      <c r="A107" s="77"/>
      <c r="B107" s="77"/>
      <c r="C107" s="251"/>
      <c r="D107" s="251"/>
      <c r="E107" s="251"/>
      <c r="F107" s="166"/>
      <c r="G107" s="168"/>
      <c r="H107" s="20"/>
      <c r="I107" s="168"/>
    </row>
    <row r="108" spans="1:9" ht="18" customHeight="1" thickBot="1">
      <c r="A108" s="78" t="str">
        <f>Inventory!A108</f>
        <v>DRAUGHT LAGER</v>
      </c>
      <c r="B108" s="78" t="str">
        <f>Inventory!C108</f>
        <v>VOLUME</v>
      </c>
      <c r="C108" s="23" t="s">
        <v>103</v>
      </c>
      <c r="D108" s="23"/>
      <c r="E108" s="23" t="s">
        <v>108</v>
      </c>
      <c r="F108" s="235" t="s">
        <v>30</v>
      </c>
      <c r="G108" s="235"/>
      <c r="H108" s="235" t="s">
        <v>31</v>
      </c>
      <c r="I108" s="235"/>
    </row>
    <row r="109" spans="1:9" ht="6.95" customHeight="1" thickTop="1">
      <c r="A109" s="76"/>
      <c r="B109" s="161"/>
      <c r="C109" s="162"/>
      <c r="D109" s="162"/>
      <c r="E109" s="162"/>
      <c r="F109" s="162"/>
      <c r="G109" s="163"/>
      <c r="H109" s="20"/>
      <c r="I109" s="163"/>
    </row>
    <row r="110" spans="1:9" ht="15" customHeight="1">
      <c r="A110" s="31" t="str">
        <f>IF(ISBLANK(Inventory!A110),"",Inventory!A110)</f>
        <v>Hoegaarden</v>
      </c>
      <c r="B110" s="31" t="str">
        <f>IF(ISBLANK(Inventory!A110),"",Inventory!C110)</f>
        <v>7.1 Gallon</v>
      </c>
      <c r="C110" s="187">
        <v>2</v>
      </c>
      <c r="D110" s="165"/>
      <c r="E110" s="187">
        <v>0.2</v>
      </c>
      <c r="F110" s="35" t="str">
        <f>IF(OR(ISBLANK(G110),G110=0),"",Settings!$B$14)</f>
        <v>$</v>
      </c>
      <c r="G110" s="30">
        <f>IF(ISBLANK(Inventory!A110),0,SUM(C110:E110)*Inventory!F110)</f>
        <v>77</v>
      </c>
      <c r="H110" s="83" t="str">
        <f>IF(OR(ISBLANK(I110),I110=0),"",Settings!$B$14)</f>
        <v>$</v>
      </c>
      <c r="I110" s="30">
        <f>IF(ISBLANK(Inventory!A110),0,SUM(C110:E110)*Inventory!L110)</f>
        <v>318.64799999999997</v>
      </c>
    </row>
    <row r="111" spans="1:9" ht="15" customHeight="1">
      <c r="A111" s="31" t="str">
        <f>IF(ISBLANK(Inventory!A111),"",Inventory!A111)</f>
        <v>Stella Artois</v>
      </c>
      <c r="B111" s="31" t="str">
        <f>IF(ISBLANK(Inventory!A111),"",Inventory!C111)</f>
        <v>22 Gallon</v>
      </c>
      <c r="C111" s="187"/>
      <c r="D111" s="165"/>
      <c r="E111" s="187"/>
      <c r="F111" s="35" t="str">
        <f>IF(OR(ISBLANK(G111),G111=0),"",Settings!$B$14)</f>
        <v/>
      </c>
      <c r="G111" s="30">
        <f>IF(ISBLANK(Inventory!A111),0,SUM(C111:E111)*Inventory!F111)</f>
        <v>0</v>
      </c>
      <c r="H111" s="83" t="str">
        <f>IF(OR(ISBLANK(I111),I111=0),"",Settings!$B$14)</f>
        <v/>
      </c>
      <c r="I111" s="30">
        <f>IF(ISBLANK(Inventory!A111),0,SUM(C111:E111)*Inventory!L111)</f>
        <v>0</v>
      </c>
    </row>
    <row r="112" spans="1:9" ht="15" customHeight="1">
      <c r="A112" s="31" t="str">
        <f>IF(ISBLANK(Inventory!A112),"",Inventory!A112)</f>
        <v>Stella Artois</v>
      </c>
      <c r="B112" s="31" t="str">
        <f>IF(ISBLANK(Inventory!A112),"",Inventory!C112)</f>
        <v>10 Gallon</v>
      </c>
      <c r="C112" s="187"/>
      <c r="D112" s="165"/>
      <c r="E112" s="187"/>
      <c r="F112" s="35" t="str">
        <f>IF(OR(ISBLANK(G112),G112=0),"",Settings!$B$14)</f>
        <v/>
      </c>
      <c r="G112" s="30">
        <f>IF(ISBLANK(Inventory!A112),0,SUM(C112:E112)*Inventory!F112)</f>
        <v>0</v>
      </c>
      <c r="H112" s="83" t="str">
        <f>IF(OR(ISBLANK(I112),I112=0),"",Settings!$B$14)</f>
        <v/>
      </c>
      <c r="I112" s="30">
        <f>IF(ISBLANK(Inventory!A112),0,SUM(C112:E112)*Inventory!L112)</f>
        <v>0</v>
      </c>
    </row>
    <row r="113" spans="1:9" ht="15" customHeight="1">
      <c r="A113" s="31" t="str">
        <f>IF(ISBLANK(Inventory!A113),"",Inventory!A113)</f>
        <v/>
      </c>
      <c r="B113" s="31" t="str">
        <f>IF(ISBLANK(Inventory!A113),"",Inventory!C113)</f>
        <v/>
      </c>
      <c r="C113" s="187"/>
      <c r="D113" s="165"/>
      <c r="E113" s="187"/>
      <c r="F113" s="35" t="str">
        <f>IF(OR(ISBLANK(G113),G113=0),"",Settings!$B$14)</f>
        <v/>
      </c>
      <c r="G113" s="30">
        <f>IF(ISBLANK(Inventory!A113),0,SUM(C113:E113)*Inventory!F113)</f>
        <v>0</v>
      </c>
      <c r="H113" s="83" t="str">
        <f>IF(OR(ISBLANK(I113),I113=0),"",Settings!$B$14)</f>
        <v/>
      </c>
      <c r="I113" s="30">
        <f>IF(ISBLANK(Inventory!A113),0,SUM(C113:E113)*Inventory!L113)</f>
        <v>0</v>
      </c>
    </row>
    <row r="114" spans="1:9" ht="15" customHeight="1">
      <c r="A114" s="31" t="str">
        <f>IF(ISBLANK(Inventory!A114),"",Inventory!A114)</f>
        <v/>
      </c>
      <c r="B114" s="31" t="str">
        <f>IF(ISBLANK(Inventory!A114),"",Inventory!C114)</f>
        <v/>
      </c>
      <c r="C114" s="187"/>
      <c r="D114" s="165"/>
      <c r="E114" s="187"/>
      <c r="F114" s="35" t="str">
        <f>IF(OR(ISBLANK(G114),G114=0),"",Settings!$B$14)</f>
        <v/>
      </c>
      <c r="G114" s="30">
        <f>IF(ISBLANK(Inventory!A114),0,SUM(C114:E114)*Inventory!F114)</f>
        <v>0</v>
      </c>
      <c r="H114" s="83" t="str">
        <f>IF(OR(ISBLANK(I114),I114=0),"",Settings!$B$14)</f>
        <v/>
      </c>
      <c r="I114" s="30">
        <f>IF(ISBLANK(Inventory!A114),0,SUM(C114:E114)*Inventory!L114)</f>
        <v>0</v>
      </c>
    </row>
    <row r="115" spans="1:9" ht="15" customHeight="1">
      <c r="A115" s="31" t="str">
        <f>IF(ISBLANK(Inventory!A115),"",Inventory!A115)</f>
        <v/>
      </c>
      <c r="B115" s="31" t="str">
        <f>IF(ISBLANK(Inventory!A115),"",Inventory!C115)</f>
        <v/>
      </c>
      <c r="C115" s="187"/>
      <c r="D115" s="165"/>
      <c r="E115" s="187"/>
      <c r="F115" s="35" t="str">
        <f>IF(OR(ISBLANK(G115),G115=0),"",Settings!$B$14)</f>
        <v/>
      </c>
      <c r="G115" s="30">
        <f>IF(ISBLANK(Inventory!A115),0,SUM(C115:E115)*Inventory!F115)</f>
        <v>0</v>
      </c>
      <c r="H115" s="83" t="str">
        <f>IF(OR(ISBLANK(I115),I115=0),"",Settings!$B$14)</f>
        <v/>
      </c>
      <c r="I115" s="30">
        <f>IF(ISBLANK(Inventory!A115),0,SUM(C115:E115)*Inventory!L115)</f>
        <v>0</v>
      </c>
    </row>
    <row r="116" spans="1:9" ht="6.95" customHeight="1">
      <c r="A116" s="77"/>
      <c r="B116" s="77"/>
      <c r="C116" s="251"/>
      <c r="D116" s="251"/>
      <c r="E116" s="251"/>
      <c r="F116" s="166"/>
      <c r="G116" s="168"/>
      <c r="H116" s="20"/>
      <c r="I116" s="168"/>
    </row>
    <row r="117" spans="1:9" ht="18" customHeight="1" thickBot="1">
      <c r="A117" s="78" t="str">
        <f>Inventory!A117</f>
        <v>BOTTLED BEER</v>
      </c>
      <c r="B117" s="78" t="str">
        <f>Inventory!C117</f>
        <v>VOLUME</v>
      </c>
      <c r="C117" s="23" t="s">
        <v>101</v>
      </c>
      <c r="D117" s="23" t="s">
        <v>102</v>
      </c>
      <c r="E117" s="23"/>
      <c r="F117" s="235" t="s">
        <v>30</v>
      </c>
      <c r="G117" s="235"/>
      <c r="H117" s="235" t="s">
        <v>31</v>
      </c>
      <c r="I117" s="235"/>
    </row>
    <row r="118" spans="1:9" ht="6.95" customHeight="1" thickTop="1">
      <c r="A118" s="76"/>
      <c r="B118" s="161"/>
      <c r="C118" s="162"/>
      <c r="D118" s="162"/>
      <c r="E118" s="162"/>
      <c r="F118" s="162"/>
      <c r="G118" s="163"/>
      <c r="H118" s="20"/>
      <c r="I118" s="163"/>
    </row>
    <row r="119" spans="1:9" ht="15" customHeight="1">
      <c r="A119" s="31" t="str">
        <f>IF(ISBLANK(Inventory!A119),"",Inventory!A119)</f>
        <v>Labatt Ice</v>
      </c>
      <c r="B119" s="31" t="str">
        <f>IF(ISBLANK(Inventory!A119),"",Inventory!C119)</f>
        <v>330ml</v>
      </c>
      <c r="C119" s="187">
        <v>24</v>
      </c>
      <c r="D119" s="187">
        <v>12</v>
      </c>
      <c r="E119" s="169"/>
      <c r="F119" s="35" t="str">
        <f>IF(OR(ISBLANK(G119),G119=0),"",Settings!$B$14)</f>
        <v>$</v>
      </c>
      <c r="G119" s="30">
        <f>IF(ISBLANK(Inventory!A119),0,SUM(C119:E119)*Inventory!H119)</f>
        <v>19.98</v>
      </c>
      <c r="H119" s="83" t="str">
        <f>IF(OR(ISBLANK(I119),I119=0),"",Settings!$B$14)</f>
        <v>$</v>
      </c>
      <c r="I119" s="30">
        <f>IF(ISBLANK(Inventory!A119),0,SUM(C119:E119)*Inventory!J119)</f>
        <v>97.92</v>
      </c>
    </row>
    <row r="120" spans="1:9" ht="15" customHeight="1">
      <c r="A120" s="31" t="str">
        <f>IF(ISBLANK(Inventory!A120),"",Inventory!A120)</f>
        <v>Stella Artois</v>
      </c>
      <c r="B120" s="31" t="str">
        <f>IF(ISBLANK(Inventory!A120),"",Inventory!C120)</f>
        <v>330ml</v>
      </c>
      <c r="C120" s="187"/>
      <c r="D120" s="187"/>
      <c r="E120" s="169"/>
      <c r="F120" s="35" t="str">
        <f>IF(OR(ISBLANK(G120),G120=0),"",Settings!$B$14)</f>
        <v/>
      </c>
      <c r="G120" s="30">
        <f>IF(ISBLANK(Inventory!A120),0,SUM(C120:E120)*Inventory!H120)</f>
        <v>0</v>
      </c>
      <c r="H120" s="83" t="str">
        <f>IF(OR(ISBLANK(I120),I120=0),"",Settings!$B$14)</f>
        <v/>
      </c>
      <c r="I120" s="30">
        <f>IF(ISBLANK(Inventory!A120),0,SUM(C120:E120)*Inventory!J120)</f>
        <v>0</v>
      </c>
    </row>
    <row r="121" spans="1:9" ht="15" customHeight="1">
      <c r="A121" s="31" t="str">
        <f>IF(ISBLANK(Inventory!A121),"",Inventory!A121)</f>
        <v>Budweiser</v>
      </c>
      <c r="B121" s="31" t="str">
        <f>IF(ISBLANK(Inventory!A121),"",Inventory!C121)</f>
        <v>330ml</v>
      </c>
      <c r="C121" s="187"/>
      <c r="D121" s="187"/>
      <c r="E121" s="169"/>
      <c r="F121" s="35" t="str">
        <f>IF(OR(ISBLANK(G121),G121=0),"",Settings!$B$14)</f>
        <v/>
      </c>
      <c r="G121" s="30">
        <f>IF(ISBLANK(Inventory!A121),0,SUM(C121:E121)*Inventory!H121)</f>
        <v>0</v>
      </c>
      <c r="H121" s="83" t="str">
        <f>IF(OR(ISBLANK(I121),I121=0),"",Settings!$B$14)</f>
        <v/>
      </c>
      <c r="I121" s="30">
        <f>IF(ISBLANK(Inventory!A121),0,SUM(C121:E121)*Inventory!J121)</f>
        <v>0</v>
      </c>
    </row>
    <row r="122" spans="1:9" ht="15" customHeight="1">
      <c r="A122" s="31" t="str">
        <f>IF(ISBLANK(Inventory!A122),"",Inventory!A122)</f>
        <v>Becks</v>
      </c>
      <c r="B122" s="31" t="str">
        <f>IF(ISBLANK(Inventory!A122),"",Inventory!C122)</f>
        <v>275ml</v>
      </c>
      <c r="C122" s="187"/>
      <c r="D122" s="187"/>
      <c r="E122" s="169"/>
      <c r="F122" s="35" t="str">
        <f>IF(OR(ISBLANK(G122),G122=0),"",Settings!$B$14)</f>
        <v/>
      </c>
      <c r="G122" s="30">
        <f>IF(ISBLANK(Inventory!A122),0,SUM(C122:E122)*Inventory!H122)</f>
        <v>0</v>
      </c>
      <c r="H122" s="83" t="str">
        <f>IF(OR(ISBLANK(I122),I122=0),"",Settings!$B$14)</f>
        <v/>
      </c>
      <c r="I122" s="30">
        <f>IF(ISBLANK(Inventory!A122),0,SUM(C122:E122)*Inventory!J122)</f>
        <v>0</v>
      </c>
    </row>
    <row r="123" spans="1:9" ht="15" customHeight="1">
      <c r="A123" s="31" t="str">
        <f>IF(ISBLANK(Inventory!A123),"",Inventory!A123)</f>
        <v>Old Speckled Hen</v>
      </c>
      <c r="B123" s="31" t="str">
        <f>IF(ISBLANK(Inventory!A123),"",Inventory!C123)</f>
        <v>500ml</v>
      </c>
      <c r="C123" s="187"/>
      <c r="D123" s="187"/>
      <c r="E123" s="169"/>
      <c r="F123" s="35" t="str">
        <f>IF(OR(ISBLANK(G123),G123=0),"",Settings!$B$14)</f>
        <v/>
      </c>
      <c r="G123" s="30">
        <f>IF(ISBLANK(Inventory!A123),0,SUM(C123:E123)*Inventory!H123)</f>
        <v>0</v>
      </c>
      <c r="H123" s="83" t="str">
        <f>IF(OR(ISBLANK(I123),I123=0),"",Settings!$B$14)</f>
        <v/>
      </c>
      <c r="I123" s="30">
        <f>IF(ISBLANK(Inventory!A123),0,SUM(C123:E123)*Inventory!J123)</f>
        <v>0</v>
      </c>
    </row>
    <row r="124" spans="1:9" ht="15" customHeight="1">
      <c r="A124" s="31" t="str">
        <f>IF(ISBLANK(Inventory!A124),"",Inventory!A124)</f>
        <v>Bacardi Breezer</v>
      </c>
      <c r="B124" s="31" t="str">
        <f>IF(ISBLANK(Inventory!A124),"",Inventory!C124)</f>
        <v>275ml</v>
      </c>
      <c r="C124" s="187"/>
      <c r="D124" s="187"/>
      <c r="E124" s="169"/>
      <c r="F124" s="35" t="str">
        <f>IF(OR(ISBLANK(G124),G124=0),"",Settings!$B$14)</f>
        <v/>
      </c>
      <c r="G124" s="30">
        <f>IF(ISBLANK(Inventory!A124),0,SUM(C124:E124)*Inventory!H124)</f>
        <v>0</v>
      </c>
      <c r="H124" s="83" t="str">
        <f>IF(OR(ISBLANK(I124),I124=0),"",Settings!$B$14)</f>
        <v/>
      </c>
      <c r="I124" s="30">
        <f>IF(ISBLANK(Inventory!A124),0,SUM(C124:E124)*Inventory!J124)</f>
        <v>0</v>
      </c>
    </row>
    <row r="125" spans="1:9" ht="15" customHeight="1">
      <c r="A125" s="31" t="str">
        <f>IF(ISBLANK(Inventory!A125),"",Inventory!A125)</f>
        <v>WKD Blue/Iron Brew</v>
      </c>
      <c r="B125" s="31" t="str">
        <f>IF(ISBLANK(Inventory!A125),"",Inventory!C125)</f>
        <v>275ml</v>
      </c>
      <c r="C125" s="187"/>
      <c r="D125" s="187"/>
      <c r="E125" s="169"/>
      <c r="F125" s="35" t="str">
        <f>IF(OR(ISBLANK(G125),G125=0),"",Settings!$B$14)</f>
        <v/>
      </c>
      <c r="G125" s="30">
        <f>IF(ISBLANK(Inventory!A125),0,SUM(C125:E125)*Inventory!H125)</f>
        <v>0</v>
      </c>
      <c r="H125" s="83" t="str">
        <f>IF(OR(ISBLANK(I125),I125=0),"",Settings!$B$14)</f>
        <v/>
      </c>
      <c r="I125" s="30">
        <f>IF(ISBLANK(Inventory!A125),0,SUM(C125:E125)*Inventory!J125)</f>
        <v>0</v>
      </c>
    </row>
    <row r="126" spans="1:9" ht="15" customHeight="1">
      <c r="A126" s="31" t="str">
        <f>IF(ISBLANK(Inventory!A126),"",Inventory!A126)</f>
        <v>Smirnoff Ice/Black Ice</v>
      </c>
      <c r="B126" s="31" t="str">
        <f>IF(ISBLANK(Inventory!A126),"",Inventory!C126)</f>
        <v>275ml</v>
      </c>
      <c r="C126" s="187"/>
      <c r="D126" s="187"/>
      <c r="E126" s="169"/>
      <c r="F126" s="35" t="str">
        <f>IF(OR(ISBLANK(G126),G126=0),"",Settings!$B$14)</f>
        <v/>
      </c>
      <c r="G126" s="30">
        <f>IF(ISBLANK(Inventory!A126),0,SUM(C126:E126)*Inventory!H126)</f>
        <v>0</v>
      </c>
      <c r="H126" s="83" t="str">
        <f>IF(OR(ISBLANK(I126),I126=0),"",Settings!$B$14)</f>
        <v/>
      </c>
      <c r="I126" s="30">
        <f>IF(ISBLANK(Inventory!A126),0,SUM(C126:E126)*Inventory!J126)</f>
        <v>0</v>
      </c>
    </row>
    <row r="127" spans="1:9" ht="15" customHeight="1">
      <c r="A127" s="31" t="str">
        <f>IF(ISBLANK(Inventory!A127),"",Inventory!A127)</f>
        <v/>
      </c>
      <c r="B127" s="31" t="str">
        <f>IF(ISBLANK(Inventory!A127),"",Inventory!C127)</f>
        <v/>
      </c>
      <c r="C127" s="187"/>
      <c r="D127" s="187"/>
      <c r="E127" s="169"/>
      <c r="F127" s="35" t="str">
        <f>IF(OR(ISBLANK(G127),G127=0),"",Settings!$B$14)</f>
        <v/>
      </c>
      <c r="G127" s="30">
        <f>IF(ISBLANK(Inventory!A127),0,SUM(C127:E127)*Inventory!H127)</f>
        <v>0</v>
      </c>
      <c r="H127" s="83" t="str">
        <f>IF(OR(ISBLANK(I127),I127=0),"",Settings!$B$14)</f>
        <v/>
      </c>
      <c r="I127" s="30">
        <f>IF(ISBLANK(Inventory!A127),0,SUM(C127:E127)*Inventory!J127)</f>
        <v>0</v>
      </c>
    </row>
    <row r="128" spans="1:9" ht="15" customHeight="1">
      <c r="A128" s="31" t="str">
        <f>IF(ISBLANK(Inventory!A128),"",Inventory!A128)</f>
        <v/>
      </c>
      <c r="B128" s="31" t="str">
        <f>IF(ISBLANK(Inventory!A128),"",Inventory!C128)</f>
        <v/>
      </c>
      <c r="C128" s="187"/>
      <c r="D128" s="187"/>
      <c r="E128" s="169"/>
      <c r="F128" s="35" t="str">
        <f>IF(OR(ISBLANK(G128),G128=0),"",Settings!$B$14)</f>
        <v/>
      </c>
      <c r="G128" s="30">
        <f>IF(ISBLANK(Inventory!A128),0,SUM(C128:E128)*Inventory!H128)</f>
        <v>0</v>
      </c>
      <c r="H128" s="83" t="str">
        <f>IF(OR(ISBLANK(I128),I128=0),"",Settings!$B$14)</f>
        <v/>
      </c>
      <c r="I128" s="30">
        <f>IF(ISBLANK(Inventory!A128),0,SUM(C128:E128)*Inventory!J128)</f>
        <v>0</v>
      </c>
    </row>
    <row r="129" spans="1:9" ht="15" customHeight="1">
      <c r="A129" s="31" t="str">
        <f>IF(ISBLANK(Inventory!A129),"",Inventory!A129)</f>
        <v/>
      </c>
      <c r="B129" s="31" t="str">
        <f>IF(ISBLANK(Inventory!A129),"",Inventory!C129)</f>
        <v/>
      </c>
      <c r="C129" s="187"/>
      <c r="D129" s="187"/>
      <c r="E129" s="169"/>
      <c r="F129" s="35" t="str">
        <f>IF(OR(ISBLANK(G129),G129=0),"",Settings!$B$14)</f>
        <v/>
      </c>
      <c r="G129" s="30">
        <f>IF(ISBLANK(Inventory!A129),0,SUM(C129:E129)*Inventory!H129)</f>
        <v>0</v>
      </c>
      <c r="H129" s="83" t="str">
        <f>IF(OR(ISBLANK(I129),I129=0),"",Settings!$B$14)</f>
        <v/>
      </c>
      <c r="I129" s="30">
        <f>IF(ISBLANK(Inventory!A129),0,SUM(C129:E129)*Inventory!J129)</f>
        <v>0</v>
      </c>
    </row>
    <row r="130" spans="1:9" ht="15" customHeight="1">
      <c r="A130" s="31" t="str">
        <f>IF(ISBLANK(Inventory!A130),"",Inventory!A130)</f>
        <v/>
      </c>
      <c r="B130" s="31" t="str">
        <f>IF(ISBLANK(Inventory!A130),"",Inventory!C130)</f>
        <v/>
      </c>
      <c r="C130" s="187"/>
      <c r="D130" s="187"/>
      <c r="E130" s="169"/>
      <c r="F130" s="35" t="str">
        <f>IF(OR(ISBLANK(G130),G130=0),"",Settings!$B$14)</f>
        <v/>
      </c>
      <c r="G130" s="30">
        <f>IF(ISBLANK(Inventory!A130),0,SUM(C130:E130)*Inventory!H130)</f>
        <v>0</v>
      </c>
      <c r="H130" s="83" t="str">
        <f>IF(OR(ISBLANK(I130),I130=0),"",Settings!$B$14)</f>
        <v/>
      </c>
      <c r="I130" s="30">
        <f>IF(ISBLANK(Inventory!A130),0,SUM(C130:E130)*Inventory!J130)</f>
        <v>0</v>
      </c>
    </row>
    <row r="131" spans="1:9" ht="15" customHeight="1">
      <c r="A131" s="31" t="str">
        <f>IF(ISBLANK(Inventory!A131),"",Inventory!A131)</f>
        <v/>
      </c>
      <c r="B131" s="31" t="str">
        <f>IF(ISBLANK(Inventory!A131),"",Inventory!C131)</f>
        <v/>
      </c>
      <c r="C131" s="187"/>
      <c r="D131" s="187"/>
      <c r="E131" s="169"/>
      <c r="F131" s="35" t="str">
        <f>IF(OR(ISBLANK(G131),G131=0),"",Settings!$B$14)</f>
        <v/>
      </c>
      <c r="G131" s="30">
        <f>IF(ISBLANK(Inventory!A131),0,SUM(C131:E131)*Inventory!H131)</f>
        <v>0</v>
      </c>
      <c r="H131" s="83" t="str">
        <f>IF(OR(ISBLANK(I131),I131=0),"",Settings!$B$14)</f>
        <v/>
      </c>
      <c r="I131" s="30">
        <f>IF(ISBLANK(Inventory!A131),0,SUM(C131:E131)*Inventory!J131)</f>
        <v>0</v>
      </c>
    </row>
    <row r="132" spans="1:9" ht="15" customHeight="1">
      <c r="A132" s="31" t="str">
        <f>IF(ISBLANK(Inventory!A132),"",Inventory!A132)</f>
        <v/>
      </c>
      <c r="B132" s="31" t="str">
        <f>IF(ISBLANK(Inventory!A132),"",Inventory!C132)</f>
        <v/>
      </c>
      <c r="C132" s="187"/>
      <c r="D132" s="187"/>
      <c r="E132" s="169"/>
      <c r="F132" s="35" t="str">
        <f>IF(OR(ISBLANK(G132),G132=0),"",Settings!$B$14)</f>
        <v/>
      </c>
      <c r="G132" s="30">
        <f>IF(ISBLANK(Inventory!A132),0,SUM(C132:E132)*Inventory!H132)</f>
        <v>0</v>
      </c>
      <c r="H132" s="83" t="str">
        <f>IF(OR(ISBLANK(I132),I132=0),"",Settings!$B$14)</f>
        <v/>
      </c>
      <c r="I132" s="30">
        <f>IF(ISBLANK(Inventory!A132),0,SUM(C132:E132)*Inventory!J132)</f>
        <v>0</v>
      </c>
    </row>
    <row r="133" spans="1:9" ht="15" customHeight="1">
      <c r="A133" s="31" t="str">
        <f>IF(ISBLANK(Inventory!A133),"",Inventory!A133)</f>
        <v/>
      </c>
      <c r="B133" s="31" t="str">
        <f>IF(ISBLANK(Inventory!A133),"",Inventory!C133)</f>
        <v/>
      </c>
      <c r="C133" s="187"/>
      <c r="D133" s="187"/>
      <c r="E133" s="169"/>
      <c r="F133" s="35" t="str">
        <f>IF(OR(ISBLANK(G133),G133=0),"",Settings!$B$14)</f>
        <v/>
      </c>
      <c r="G133" s="30">
        <f>IF(ISBLANK(Inventory!A133),0,SUM(C133:E133)*Inventory!H133)</f>
        <v>0</v>
      </c>
      <c r="H133" s="83" t="str">
        <f>IF(OR(ISBLANK(I133),I133=0),"",Settings!$B$14)</f>
        <v/>
      </c>
      <c r="I133" s="30">
        <f>IF(ISBLANK(Inventory!A133),0,SUM(C133:E133)*Inventory!J133)</f>
        <v>0</v>
      </c>
    </row>
    <row r="134" spans="1:9" ht="15" customHeight="1">
      <c r="A134" s="31" t="str">
        <f>IF(ISBLANK(Inventory!A134),"",Inventory!A134)</f>
        <v/>
      </c>
      <c r="B134" s="31" t="str">
        <f>IF(ISBLANK(Inventory!A134),"",Inventory!C134)</f>
        <v/>
      </c>
      <c r="C134" s="187"/>
      <c r="D134" s="187"/>
      <c r="E134" s="169"/>
      <c r="F134" s="35" t="str">
        <f>IF(OR(ISBLANK(G134),G134=0),"",Settings!$B$14)</f>
        <v/>
      </c>
      <c r="G134" s="30">
        <f>IF(ISBLANK(Inventory!A134),0,SUM(C134:E134)*Inventory!H134)</f>
        <v>0</v>
      </c>
      <c r="H134" s="83" t="str">
        <f>IF(OR(ISBLANK(I134),I134=0),"",Settings!$B$14)</f>
        <v/>
      </c>
      <c r="I134" s="30">
        <f>IF(ISBLANK(Inventory!A134),0,SUM(C134:E134)*Inventory!J134)</f>
        <v>0</v>
      </c>
    </row>
    <row r="135" spans="1:9" ht="6.95" customHeight="1">
      <c r="A135" s="77"/>
      <c r="B135" s="77"/>
      <c r="C135" s="251"/>
      <c r="D135" s="251"/>
      <c r="E135" s="251"/>
      <c r="F135" s="166"/>
      <c r="G135" s="168"/>
      <c r="H135" s="20"/>
      <c r="I135" s="168"/>
    </row>
    <row r="136" spans="1:9" ht="18" customHeight="1" thickBot="1">
      <c r="A136" s="78" t="str">
        <f>Inventory!A136</f>
        <v>CIDER</v>
      </c>
      <c r="B136" s="78" t="str">
        <f>Inventory!C136</f>
        <v>VOLUME</v>
      </c>
      <c r="C136" s="23" t="s">
        <v>101</v>
      </c>
      <c r="D136" s="23" t="s">
        <v>102</v>
      </c>
      <c r="E136" s="23"/>
      <c r="F136" s="235" t="s">
        <v>30</v>
      </c>
      <c r="G136" s="235"/>
      <c r="H136" s="235" t="s">
        <v>31</v>
      </c>
      <c r="I136" s="235"/>
    </row>
    <row r="137" spans="1:9" ht="6.95" customHeight="1" thickTop="1">
      <c r="A137" s="76"/>
      <c r="B137" s="161"/>
      <c r="C137" s="162"/>
      <c r="D137" s="162"/>
      <c r="E137" s="162"/>
      <c r="F137" s="162"/>
      <c r="G137" s="163"/>
      <c r="H137" s="20"/>
      <c r="I137" s="163"/>
    </row>
    <row r="138" spans="1:9" ht="15" customHeight="1">
      <c r="A138" s="31" t="str">
        <f>IF(ISBLANK(Inventory!A138),"",Inventory!A138)</f>
        <v>Strongbow</v>
      </c>
      <c r="B138" s="31" t="str">
        <f>IF(ISBLANK(Inventory!A138),"",Inventory!C138)</f>
        <v>275ml</v>
      </c>
      <c r="C138" s="187"/>
      <c r="D138" s="187"/>
      <c r="E138" s="169"/>
      <c r="F138" s="35" t="str">
        <f>IF(OR(ISBLANK(G138),G138=0),"",Settings!$B$14)</f>
        <v/>
      </c>
      <c r="G138" s="30">
        <f>IF(ISBLANK(Inventory!A138),0,SUM(C138:E138)*Inventory!H138)</f>
        <v>0</v>
      </c>
      <c r="H138" s="83" t="str">
        <f>IF(OR(ISBLANK(I138),I138=0),"",Settings!$B$14)</f>
        <v/>
      </c>
      <c r="I138" s="30">
        <f>IF(ISBLANK(Inventory!A138),0,SUM(C138:E138)*Inventory!J138)</f>
        <v>0</v>
      </c>
    </row>
    <row r="139" spans="1:9" ht="15" customHeight="1">
      <c r="A139" s="31" t="str">
        <f>IF(ISBLANK(Inventory!A139),"",Inventory!A139)</f>
        <v>Woodpecker</v>
      </c>
      <c r="B139" s="31" t="str">
        <f>IF(ISBLANK(Inventory!A139),"",Inventory!C139)</f>
        <v>275ml</v>
      </c>
      <c r="C139" s="187"/>
      <c r="D139" s="187"/>
      <c r="E139" s="169"/>
      <c r="F139" s="35" t="str">
        <f>IF(OR(ISBLANK(G139),G139=0),"",Settings!$B$14)</f>
        <v/>
      </c>
      <c r="G139" s="30">
        <f>IF(ISBLANK(Inventory!A139),0,SUM(C139:E139)*Inventory!H139)</f>
        <v>0</v>
      </c>
      <c r="H139" s="83" t="str">
        <f>IF(OR(ISBLANK(I139),I139=0),"",Settings!$B$14)</f>
        <v/>
      </c>
      <c r="I139" s="30">
        <f>IF(ISBLANK(Inventory!A139),0,SUM(C139:E139)*Inventory!J139)</f>
        <v>0</v>
      </c>
    </row>
    <row r="140" spans="1:9" ht="15" customHeight="1">
      <c r="A140" s="31" t="str">
        <f>IF(ISBLANK(Inventory!A140),"",Inventory!A140)</f>
        <v/>
      </c>
      <c r="B140" s="31" t="str">
        <f>IF(ISBLANK(Inventory!A140),"",Inventory!C140)</f>
        <v/>
      </c>
      <c r="C140" s="187"/>
      <c r="D140" s="187"/>
      <c r="E140" s="169"/>
      <c r="F140" s="35" t="str">
        <f>IF(OR(ISBLANK(G140),G140=0),"",Settings!$B$14)</f>
        <v/>
      </c>
      <c r="G140" s="30">
        <f>IF(ISBLANK(Inventory!A140),0,SUM(C140:E140)*Inventory!H140)</f>
        <v>0</v>
      </c>
      <c r="H140" s="83" t="str">
        <f>IF(OR(ISBLANK(I140),I140=0),"",Settings!$B$14)</f>
        <v/>
      </c>
      <c r="I140" s="30">
        <f>IF(ISBLANK(Inventory!A140),0,SUM(C140:E140)*Inventory!J140)</f>
        <v>0</v>
      </c>
    </row>
    <row r="141" spans="1:9" ht="15" customHeight="1">
      <c r="A141" s="31" t="str">
        <f>IF(ISBLANK(Inventory!A141),"",Inventory!A141)</f>
        <v/>
      </c>
      <c r="B141" s="31" t="str">
        <f>IF(ISBLANK(Inventory!A141),"",Inventory!C141)</f>
        <v/>
      </c>
      <c r="C141" s="187"/>
      <c r="D141" s="187"/>
      <c r="E141" s="169"/>
      <c r="F141" s="35" t="str">
        <f>IF(OR(ISBLANK(G141),G141=0),"",Settings!$B$14)</f>
        <v/>
      </c>
      <c r="G141" s="30">
        <f>IF(ISBLANK(Inventory!A141),0,SUM(C141:E141)*Inventory!H141)</f>
        <v>0</v>
      </c>
      <c r="H141" s="83" t="str">
        <f>IF(OR(ISBLANK(I141),I141=0),"",Settings!$B$14)</f>
        <v/>
      </c>
      <c r="I141" s="30">
        <f>IF(ISBLANK(Inventory!A141),0,SUM(C141:E141)*Inventory!J141)</f>
        <v>0</v>
      </c>
    </row>
    <row r="142" spans="1:9" ht="15" customHeight="1">
      <c r="A142" s="31" t="str">
        <f>IF(ISBLANK(Inventory!A142),"",Inventory!A142)</f>
        <v/>
      </c>
      <c r="B142" s="31" t="str">
        <f>IF(ISBLANK(Inventory!A142),"",Inventory!C142)</f>
        <v/>
      </c>
      <c r="C142" s="187"/>
      <c r="D142" s="187"/>
      <c r="E142" s="169"/>
      <c r="F142" s="35" t="str">
        <f>IF(OR(ISBLANK(G142),G142=0),"",Settings!$B$14)</f>
        <v/>
      </c>
      <c r="G142" s="30">
        <f>IF(ISBLANK(Inventory!A142),0,SUM(C142:E142)*Inventory!H142)</f>
        <v>0</v>
      </c>
      <c r="H142" s="83" t="str">
        <f>IF(OR(ISBLANK(I142),I142=0),"",Settings!$B$14)</f>
        <v/>
      </c>
      <c r="I142" s="30">
        <f>IF(ISBLANK(Inventory!A142),0,SUM(C142:E142)*Inventory!J142)</f>
        <v>0</v>
      </c>
    </row>
    <row r="143" spans="1:9" ht="15" customHeight="1">
      <c r="A143" s="31" t="str">
        <f>IF(ISBLANK(Inventory!A143),"",Inventory!A143)</f>
        <v/>
      </c>
      <c r="B143" s="31" t="str">
        <f>IF(ISBLANK(Inventory!A143),"",Inventory!C143)</f>
        <v/>
      </c>
      <c r="C143" s="187"/>
      <c r="D143" s="187"/>
      <c r="E143" s="169"/>
      <c r="F143" s="35" t="str">
        <f>IF(OR(ISBLANK(G143),G143=0),"",Settings!$B$14)</f>
        <v/>
      </c>
      <c r="G143" s="30">
        <f>IF(ISBLANK(Inventory!A143),0,SUM(C143:E143)*Inventory!H143)</f>
        <v>0</v>
      </c>
      <c r="H143" s="83" t="str">
        <f>IF(OR(ISBLANK(I143),I143=0),"",Settings!$B$14)</f>
        <v/>
      </c>
      <c r="I143" s="30">
        <f>IF(ISBLANK(Inventory!A143),0,SUM(C143:E143)*Inventory!J143)</f>
        <v>0</v>
      </c>
    </row>
    <row r="144" spans="1:9" ht="15" customHeight="1">
      <c r="A144" s="31" t="str">
        <f>IF(ISBLANK(Inventory!A144),"",Inventory!A144)</f>
        <v/>
      </c>
      <c r="B144" s="31" t="str">
        <f>IF(ISBLANK(Inventory!A144),"",Inventory!C144)</f>
        <v/>
      </c>
      <c r="C144" s="187"/>
      <c r="D144" s="187"/>
      <c r="E144" s="169"/>
      <c r="F144" s="35" t="str">
        <f>IF(OR(ISBLANK(G144),G144=0),"",Settings!$B$14)</f>
        <v/>
      </c>
      <c r="G144" s="30">
        <f>IF(ISBLANK(Inventory!A144),0,SUM(C144:E144)*Inventory!H144)</f>
        <v>0</v>
      </c>
      <c r="H144" s="83" t="str">
        <f>IF(OR(ISBLANK(I144),I144=0),"",Settings!$B$14)</f>
        <v/>
      </c>
      <c r="I144" s="30">
        <f>IF(ISBLANK(Inventory!A144),0,SUM(C144:E144)*Inventory!J144)</f>
        <v>0</v>
      </c>
    </row>
    <row r="145" spans="1:9" ht="15" customHeight="1">
      <c r="A145" s="31" t="str">
        <f>IF(ISBLANK(Inventory!A145),"",Inventory!A145)</f>
        <v/>
      </c>
      <c r="B145" s="31" t="str">
        <f>IF(ISBLANK(Inventory!A145),"",Inventory!C145)</f>
        <v/>
      </c>
      <c r="C145" s="187"/>
      <c r="D145" s="187"/>
      <c r="E145" s="169"/>
      <c r="F145" s="35" t="str">
        <f>IF(OR(ISBLANK(G145),G145=0),"",Settings!$B$14)</f>
        <v/>
      </c>
      <c r="G145" s="30">
        <f>IF(ISBLANK(Inventory!A145),0,SUM(C145:E145)*Inventory!H145)</f>
        <v>0</v>
      </c>
      <c r="H145" s="83" t="str">
        <f>IF(OR(ISBLANK(I145),I145=0),"",Settings!$B$14)</f>
        <v/>
      </c>
      <c r="I145" s="30">
        <f>IF(ISBLANK(Inventory!A145),0,SUM(C145:E145)*Inventory!J145)</f>
        <v>0</v>
      </c>
    </row>
    <row r="146" spans="1:9" ht="15" customHeight="1">
      <c r="A146" s="31" t="str">
        <f>IF(ISBLANK(Inventory!A146),"",Inventory!A146)</f>
        <v/>
      </c>
      <c r="B146" s="31" t="str">
        <f>IF(ISBLANK(Inventory!A146),"",Inventory!C146)</f>
        <v/>
      </c>
      <c r="C146" s="187"/>
      <c r="D146" s="187"/>
      <c r="E146" s="169"/>
      <c r="F146" s="35" t="str">
        <f>IF(OR(ISBLANK(G146),G146=0),"",Settings!$B$14)</f>
        <v/>
      </c>
      <c r="G146" s="30">
        <f>IF(ISBLANK(Inventory!A146),0,SUM(C146:E146)*Inventory!H146)</f>
        <v>0</v>
      </c>
      <c r="H146" s="83" t="str">
        <f>IF(OR(ISBLANK(I146),I146=0),"",Settings!$B$14)</f>
        <v/>
      </c>
      <c r="I146" s="30">
        <f>IF(ISBLANK(Inventory!A146),0,SUM(C146:E146)*Inventory!J146)</f>
        <v>0</v>
      </c>
    </row>
    <row r="147" spans="1:9" ht="6.95" customHeight="1">
      <c r="A147" s="77"/>
      <c r="B147" s="77"/>
      <c r="C147" s="251"/>
      <c r="D147" s="251"/>
      <c r="E147" s="251"/>
      <c r="F147" s="166"/>
      <c r="G147" s="168"/>
      <c r="H147" s="20"/>
      <c r="I147" s="168"/>
    </row>
    <row r="148" spans="1:9" ht="18" customHeight="1" thickBot="1">
      <c r="A148" s="78" t="str">
        <f>Inventory!A148</f>
        <v>MINERALS/JUICES</v>
      </c>
      <c r="B148" s="78" t="str">
        <f>Inventory!C148</f>
        <v>VOLUME</v>
      </c>
      <c r="C148" s="23" t="s">
        <v>101</v>
      </c>
      <c r="D148" s="23" t="s">
        <v>102</v>
      </c>
      <c r="E148" s="23"/>
      <c r="F148" s="235" t="s">
        <v>30</v>
      </c>
      <c r="G148" s="235"/>
      <c r="H148" s="235" t="s">
        <v>31</v>
      </c>
      <c r="I148" s="235"/>
    </row>
    <row r="149" spans="1:9" ht="6.95" customHeight="1" thickTop="1">
      <c r="A149" s="76"/>
      <c r="B149" s="161"/>
      <c r="C149" s="162"/>
      <c r="D149" s="162"/>
      <c r="E149" s="162"/>
      <c r="F149" s="162"/>
      <c r="G149" s="163"/>
      <c r="H149" s="20"/>
      <c r="I149" s="163"/>
    </row>
    <row r="150" spans="1:9" ht="15" customHeight="1">
      <c r="A150" s="31" t="str">
        <f>IF(ISBLANK(Inventory!A150),"",Inventory!A150)</f>
        <v>Britvic J20</v>
      </c>
      <c r="B150" s="31" t="str">
        <f>IF(ISBLANK(Inventory!A150),"",Inventory!C150)</f>
        <v>275ml</v>
      </c>
      <c r="C150" s="187"/>
      <c r="D150" s="187"/>
      <c r="E150" s="187"/>
      <c r="F150" s="35" t="str">
        <f>IF(OR(ISBLANK(G150),G150=0),"",Settings!$B$14)</f>
        <v/>
      </c>
      <c r="G150" s="30">
        <f>IF(ISBLANK(Inventory!A150),0,SUM(C150:E150)*Inventory!H150)</f>
        <v>0</v>
      </c>
      <c r="H150" s="83" t="str">
        <f>IF(OR(ISBLANK(I150),I150=0),"",Settings!$B$14)</f>
        <v/>
      </c>
      <c r="I150" s="30">
        <f>IF(ISBLANK(Inventory!A150),0,SUM(C150:E150)*Inventory!J150)</f>
        <v>0</v>
      </c>
    </row>
    <row r="151" spans="1:9" ht="15" customHeight="1">
      <c r="A151" s="31" t="str">
        <f>IF(ISBLANK(Inventory!A151),"",Inventory!A151)</f>
        <v>Coke/Diet Coke</v>
      </c>
      <c r="B151" s="31" t="str">
        <f>IF(ISBLANK(Inventory!A151),"",Inventory!C151)</f>
        <v>330ml</v>
      </c>
      <c r="C151" s="187"/>
      <c r="D151" s="187"/>
      <c r="E151" s="187"/>
      <c r="F151" s="35" t="str">
        <f>IF(OR(ISBLANK(G151),G151=0),"",Settings!$B$14)</f>
        <v/>
      </c>
      <c r="G151" s="30">
        <f>IF(ISBLANK(Inventory!A151),0,SUM(C151:E151)*Inventory!H151)</f>
        <v>0</v>
      </c>
      <c r="H151" s="83" t="str">
        <f>IF(OR(ISBLANK(I151),I151=0),"",Settings!$B$14)</f>
        <v/>
      </c>
      <c r="I151" s="30">
        <f>IF(ISBLANK(Inventory!A151),0,SUM(C151:E151)*Inventory!J151)</f>
        <v>0</v>
      </c>
    </row>
    <row r="152" spans="1:9" ht="15" customHeight="1">
      <c r="A152" s="31" t="str">
        <f>IF(ISBLANK(Inventory!A152),"",Inventory!A152)</f>
        <v>Fruit Juices</v>
      </c>
      <c r="B152" s="31" t="str">
        <f>IF(ISBLANK(Inventory!A152),"",Inventory!C152)</f>
        <v>180ml</v>
      </c>
      <c r="C152" s="187"/>
      <c r="D152" s="187"/>
      <c r="E152" s="187"/>
      <c r="F152" s="35" t="str">
        <f>IF(OR(ISBLANK(G152),G152=0),"",Settings!$B$14)</f>
        <v/>
      </c>
      <c r="G152" s="30">
        <f>IF(ISBLANK(Inventory!A152),0,SUM(C152:E152)*Inventory!H152)</f>
        <v>0</v>
      </c>
      <c r="H152" s="83" t="str">
        <f>IF(OR(ISBLANK(I152),I152=0),"",Settings!$B$14)</f>
        <v/>
      </c>
      <c r="I152" s="30">
        <f>IF(ISBLANK(Inventory!A152),0,SUM(C152:E152)*Inventory!J152)</f>
        <v>0</v>
      </c>
    </row>
    <row r="153" spans="1:9" ht="15" customHeight="1">
      <c r="A153" s="31" t="str">
        <f>IF(ISBLANK(Inventory!A153),"",Inventory!A153)</f>
        <v>Fruit Juices</v>
      </c>
      <c r="B153" s="31" t="str">
        <f>IF(ISBLANK(Inventory!A153),"",Inventory!C153)</f>
        <v>113ml</v>
      </c>
      <c r="C153" s="187"/>
      <c r="D153" s="187"/>
      <c r="E153" s="187"/>
      <c r="F153" s="35" t="str">
        <f>IF(OR(ISBLANK(G153),G153=0),"",Settings!$B$14)</f>
        <v/>
      </c>
      <c r="G153" s="30">
        <f>IF(ISBLANK(Inventory!A153),0,SUM(C153:E153)*Inventory!H153)</f>
        <v>0</v>
      </c>
      <c r="H153" s="83" t="str">
        <f>IF(OR(ISBLANK(I153),I153=0),"",Settings!$B$14)</f>
        <v/>
      </c>
      <c r="I153" s="30">
        <f>IF(ISBLANK(Inventory!A153),0,SUM(C153:E153)*Inventory!J153)</f>
        <v>0</v>
      </c>
    </row>
    <row r="154" spans="1:9" ht="15" customHeight="1">
      <c r="A154" s="31" t="str">
        <f>IF(ISBLANK(Inventory!A154),"",Inventory!A154)</f>
        <v>Minerals</v>
      </c>
      <c r="B154" s="31" t="str">
        <f>IF(ISBLANK(Inventory!A154),"",Inventory!C154)</f>
        <v>180ml</v>
      </c>
      <c r="C154" s="187"/>
      <c r="D154" s="187"/>
      <c r="E154" s="187"/>
      <c r="F154" s="35" t="str">
        <f>IF(OR(ISBLANK(G154),G154=0),"",Settings!$B$14)</f>
        <v/>
      </c>
      <c r="G154" s="30">
        <f>IF(ISBLANK(Inventory!A154),0,SUM(C154:E154)*Inventory!H154)</f>
        <v>0</v>
      </c>
      <c r="H154" s="83" t="str">
        <f>IF(OR(ISBLANK(I154),I154=0),"",Settings!$B$14)</f>
        <v/>
      </c>
      <c r="I154" s="30">
        <f>IF(ISBLANK(Inventory!A154),0,SUM(C154:E154)*Inventory!J154)</f>
        <v>0</v>
      </c>
    </row>
    <row r="155" spans="1:9" ht="15" customHeight="1">
      <c r="A155" s="31" t="str">
        <f>IF(ISBLANK(Inventory!A155),"",Inventory!A155)</f>
        <v>Minerals</v>
      </c>
      <c r="B155" s="31" t="str">
        <f>IF(ISBLANK(Inventory!A155),"",Inventory!C155)</f>
        <v>113ml</v>
      </c>
      <c r="C155" s="187"/>
      <c r="D155" s="187"/>
      <c r="E155" s="187"/>
      <c r="F155" s="35" t="str">
        <f>IF(OR(ISBLANK(G155),G155=0),"",Settings!$B$14)</f>
        <v/>
      </c>
      <c r="G155" s="30">
        <f>IF(ISBLANK(Inventory!A155),0,SUM(C155:E155)*Inventory!H155)</f>
        <v>0</v>
      </c>
      <c r="H155" s="83" t="str">
        <f>IF(OR(ISBLANK(I155),I155=0),"",Settings!$B$14)</f>
        <v/>
      </c>
      <c r="I155" s="30">
        <f>IF(ISBLANK(Inventory!A155),0,SUM(C155:E155)*Inventory!J155)</f>
        <v>0</v>
      </c>
    </row>
    <row r="156" spans="1:9" ht="15" customHeight="1">
      <c r="A156" s="31" t="str">
        <f>IF(ISBLANK(Inventory!A156),"",Inventory!A156)</f>
        <v>Tango Diet</v>
      </c>
      <c r="B156" s="31" t="str">
        <f>IF(ISBLANK(Inventory!A156),"",Inventory!C156)</f>
        <v>180ml</v>
      </c>
      <c r="C156" s="187"/>
      <c r="D156" s="187"/>
      <c r="E156" s="187"/>
      <c r="F156" s="35" t="str">
        <f>IF(OR(ISBLANK(G156),G156=0),"",Settings!$B$14)</f>
        <v/>
      </c>
      <c r="G156" s="30">
        <f>IF(ISBLANK(Inventory!A156),0,SUM(C156:E156)*Inventory!H156)</f>
        <v>0</v>
      </c>
      <c r="H156" s="83" t="str">
        <f>IF(OR(ISBLANK(I156),I156=0),"",Settings!$B$14)</f>
        <v/>
      </c>
      <c r="I156" s="30">
        <f>IF(ISBLANK(Inventory!A156),0,SUM(C156:E156)*Inventory!J156)</f>
        <v>0</v>
      </c>
    </row>
    <row r="157" spans="1:9" ht="15" customHeight="1">
      <c r="A157" s="31" t="str">
        <f>IF(ISBLANK(Inventory!A157),"",Inventory!A157)</f>
        <v>Strathmore</v>
      </c>
      <c r="B157" s="31" t="str">
        <f>IF(ISBLANK(Inventory!A157),"",Inventory!C157)</f>
        <v>1Ltr</v>
      </c>
      <c r="C157" s="187"/>
      <c r="D157" s="187"/>
      <c r="E157" s="187"/>
      <c r="F157" s="35" t="str">
        <f>IF(OR(ISBLANK(G157),G157=0),"",Settings!$B$14)</f>
        <v/>
      </c>
      <c r="G157" s="30">
        <f>IF(ISBLANK(Inventory!A157),0,SUM(C157:E157)*Inventory!H157)</f>
        <v>0</v>
      </c>
      <c r="H157" s="83" t="str">
        <f>IF(OR(ISBLANK(I157),I157=0),"",Settings!$B$14)</f>
        <v/>
      </c>
      <c r="I157" s="30">
        <f>IF(ISBLANK(Inventory!A157),0,SUM(C157:E157)*Inventory!J157)</f>
        <v>0</v>
      </c>
    </row>
    <row r="158" spans="1:9" ht="15" customHeight="1">
      <c r="A158" s="31" t="str">
        <f>IF(ISBLANK(Inventory!A158),"",Inventory!A158)</f>
        <v>Strathmore</v>
      </c>
      <c r="B158" s="31" t="str">
        <f>IF(ISBLANK(Inventory!A158),"",Inventory!C158)</f>
        <v>330ml</v>
      </c>
      <c r="C158" s="187"/>
      <c r="D158" s="187"/>
      <c r="E158" s="187"/>
      <c r="F158" s="35" t="str">
        <f>IF(OR(ISBLANK(G158),G158=0),"",Settings!$B$14)</f>
        <v/>
      </c>
      <c r="G158" s="30">
        <f>IF(ISBLANK(Inventory!A158),0,SUM(C158:E158)*Inventory!H158)</f>
        <v>0</v>
      </c>
      <c r="H158" s="83" t="str">
        <f>IF(OR(ISBLANK(I158),I158=0),"",Settings!$B$14)</f>
        <v/>
      </c>
      <c r="I158" s="30">
        <f>IF(ISBLANK(Inventory!A158),0,SUM(C158:E158)*Inventory!J158)</f>
        <v>0</v>
      </c>
    </row>
    <row r="159" spans="1:9" ht="15" customHeight="1">
      <c r="A159" s="31" t="str">
        <f>IF(ISBLANK(Inventory!A159),"",Inventory!A159)</f>
        <v>Red Bull</v>
      </c>
      <c r="B159" s="31" t="str">
        <f>IF(ISBLANK(Inventory!A159),"",Inventory!C159)</f>
        <v>250ml</v>
      </c>
      <c r="C159" s="187"/>
      <c r="D159" s="187"/>
      <c r="E159" s="187"/>
      <c r="F159" s="35" t="str">
        <f>IF(OR(ISBLANK(G159),G159=0),"",Settings!$B$14)</f>
        <v/>
      </c>
      <c r="G159" s="30">
        <f>IF(ISBLANK(Inventory!A159),0,SUM(C159:E159)*Inventory!H159)</f>
        <v>0</v>
      </c>
      <c r="H159" s="83" t="str">
        <f>IF(OR(ISBLANK(I159),I159=0),"",Settings!$B$14)</f>
        <v/>
      </c>
      <c r="I159" s="30">
        <f>IF(ISBLANK(Inventory!A159),0,SUM(C159:E159)*Inventory!J159)</f>
        <v>0</v>
      </c>
    </row>
    <row r="160" spans="1:9" ht="15" customHeight="1">
      <c r="A160" s="31" t="str">
        <f>IF(ISBLANK(Inventory!A160),"",Inventory!A160)</f>
        <v>Squash/Cordial</v>
      </c>
      <c r="B160" s="31" t="str">
        <f>IF(ISBLANK(Inventory!A160),"",Inventory!C160)</f>
        <v>1Ltr</v>
      </c>
      <c r="C160" s="187"/>
      <c r="D160" s="187"/>
      <c r="E160" s="187"/>
      <c r="F160" s="35" t="str">
        <f>IF(OR(ISBLANK(G160),G160=0),"",Settings!$B$14)</f>
        <v/>
      </c>
      <c r="G160" s="30">
        <f>IF(ISBLANK(Inventory!A160),0,SUM(C160:E160)*Inventory!H160)</f>
        <v>0</v>
      </c>
      <c r="H160" s="83" t="str">
        <f>IF(OR(ISBLANK(I160),I160=0),"",Settings!$B$14)</f>
        <v/>
      </c>
      <c r="I160" s="30">
        <f>IF(ISBLANK(Inventory!A160),0,SUM(C160:E160)*Inventory!J160)</f>
        <v>0</v>
      </c>
    </row>
    <row r="161" spans="1:9" ht="15" customHeight="1">
      <c r="A161" s="31" t="str">
        <f>IF(ISBLANK(Inventory!A161),"",Inventory!A161)</f>
        <v>Lime Cordial</v>
      </c>
      <c r="B161" s="31" t="str">
        <f>IF(ISBLANK(Inventory!A161),"",Inventory!C161)</f>
        <v>1Ltr</v>
      </c>
      <c r="C161" s="187"/>
      <c r="D161" s="187"/>
      <c r="E161" s="187"/>
      <c r="F161" s="35" t="str">
        <f>IF(OR(ISBLANK(G161),G161=0),"",Settings!$B$14)</f>
        <v/>
      </c>
      <c r="G161" s="30">
        <f>IF(ISBLANK(Inventory!A161),0,SUM(C161:E161)*Inventory!H161)</f>
        <v>0</v>
      </c>
      <c r="H161" s="83" t="str">
        <f>IF(OR(ISBLANK(I161),I161=0),"",Settings!$B$14)</f>
        <v/>
      </c>
      <c r="I161" s="30">
        <f>IF(ISBLANK(Inventory!A161),0,SUM(C161:E161)*Inventory!J161)</f>
        <v>0</v>
      </c>
    </row>
    <row r="162" spans="1:9" ht="15" customHeight="1">
      <c r="A162" s="31" t="str">
        <f>IF(ISBLANK(Inventory!A162),"",Inventory!A162)</f>
        <v>Coke/Diet Coke (Cans)</v>
      </c>
      <c r="B162" s="31" t="str">
        <f>IF(ISBLANK(Inventory!A162),"",Inventory!C162)</f>
        <v>330ml</v>
      </c>
      <c r="C162" s="187"/>
      <c r="D162" s="187"/>
      <c r="E162" s="187"/>
      <c r="F162" s="35" t="str">
        <f>IF(OR(ISBLANK(G162),G162=0),"",Settings!$B$14)</f>
        <v/>
      </c>
      <c r="G162" s="30">
        <f>IF(ISBLANK(Inventory!A162),0,SUM(C162:E162)*Inventory!H162)</f>
        <v>0</v>
      </c>
      <c r="H162" s="83" t="str">
        <f>IF(OR(ISBLANK(I162),I162=0),"",Settings!$B$14)</f>
        <v/>
      </c>
      <c r="I162" s="30">
        <f>IF(ISBLANK(Inventory!A162),0,SUM(C162:E162)*Inventory!J162)</f>
        <v>0</v>
      </c>
    </row>
    <row r="163" spans="1:9" ht="15" customHeight="1">
      <c r="A163" s="31" t="str">
        <f>IF(ISBLANK(Inventory!A163),"",Inventory!A163)</f>
        <v/>
      </c>
      <c r="B163" s="31" t="str">
        <f>IF(ISBLANK(Inventory!A163),"",Inventory!C163)</f>
        <v/>
      </c>
      <c r="C163" s="187"/>
      <c r="D163" s="187"/>
      <c r="E163" s="187"/>
      <c r="F163" s="35" t="str">
        <f>IF(OR(ISBLANK(G163),G163=0),"",Settings!$B$14)</f>
        <v/>
      </c>
      <c r="G163" s="30">
        <f>IF(ISBLANK(Inventory!A163),0,SUM(C163:E163)*Inventory!H163)</f>
        <v>0</v>
      </c>
      <c r="H163" s="83" t="str">
        <f>IF(OR(ISBLANK(I163),I163=0),"",Settings!$B$14)</f>
        <v/>
      </c>
      <c r="I163" s="30">
        <f>IF(ISBLANK(Inventory!A163),0,SUM(C163:E163)*Inventory!J163)</f>
        <v>0</v>
      </c>
    </row>
    <row r="164" spans="1:9" ht="15" customHeight="1">
      <c r="A164" s="31" t="str">
        <f>IF(ISBLANK(Inventory!A164),"",Inventory!A164)</f>
        <v/>
      </c>
      <c r="B164" s="31" t="str">
        <f>IF(ISBLANK(Inventory!A164),"",Inventory!C164)</f>
        <v/>
      </c>
      <c r="C164" s="187"/>
      <c r="D164" s="187"/>
      <c r="E164" s="187"/>
      <c r="F164" s="35" t="str">
        <f>IF(OR(ISBLANK(G164),G164=0),"",Settings!$B$14)</f>
        <v/>
      </c>
      <c r="G164" s="30">
        <f>IF(ISBLANK(Inventory!A164),0,SUM(C164:E164)*Inventory!H164)</f>
        <v>0</v>
      </c>
      <c r="H164" s="83" t="str">
        <f>IF(OR(ISBLANK(I164),I164=0),"",Settings!$B$14)</f>
        <v/>
      </c>
      <c r="I164" s="30">
        <f>IF(ISBLANK(Inventory!A164),0,SUM(C164:E164)*Inventory!J164)</f>
        <v>0</v>
      </c>
    </row>
    <row r="165" spans="1:9" ht="15" customHeight="1">
      <c r="A165" s="31" t="str">
        <f>IF(ISBLANK(Inventory!A165),"",Inventory!A165)</f>
        <v/>
      </c>
      <c r="B165" s="31" t="str">
        <f>IF(ISBLANK(Inventory!A165),"",Inventory!C165)</f>
        <v/>
      </c>
      <c r="C165" s="187"/>
      <c r="D165" s="187"/>
      <c r="E165" s="187"/>
      <c r="F165" s="35" t="str">
        <f>IF(OR(ISBLANK(G165),G165=0),"",Settings!$B$14)</f>
        <v/>
      </c>
      <c r="G165" s="30">
        <f>IF(ISBLANK(Inventory!A165),0,SUM(C165:E165)*Inventory!H165)</f>
        <v>0</v>
      </c>
      <c r="H165" s="83" t="str">
        <f>IF(OR(ISBLANK(I165),I165=0),"",Settings!$B$14)</f>
        <v/>
      </c>
      <c r="I165" s="30">
        <f>IF(ISBLANK(Inventory!A165),0,SUM(C165:E165)*Inventory!J165)</f>
        <v>0</v>
      </c>
    </row>
    <row r="166" spans="1:9" ht="15" customHeight="1">
      <c r="A166" s="31" t="str">
        <f>IF(ISBLANK(Inventory!A166),"",Inventory!A166)</f>
        <v/>
      </c>
      <c r="B166" s="31" t="str">
        <f>IF(ISBLANK(Inventory!A166),"",Inventory!C166)</f>
        <v/>
      </c>
      <c r="C166" s="187"/>
      <c r="D166" s="187"/>
      <c r="E166" s="187"/>
      <c r="F166" s="35" t="str">
        <f>IF(OR(ISBLANK(G166),G166=0),"",Settings!$B$14)</f>
        <v/>
      </c>
      <c r="G166" s="30">
        <f>IF(ISBLANK(Inventory!A166),0,SUM(C166:E166)*Inventory!H166)</f>
        <v>0</v>
      </c>
      <c r="H166" s="83" t="str">
        <f>IF(OR(ISBLANK(I166),I166=0),"",Settings!$B$14)</f>
        <v/>
      </c>
      <c r="I166" s="30">
        <f>IF(ISBLANK(Inventory!A166),0,SUM(C166:E166)*Inventory!J166)</f>
        <v>0</v>
      </c>
    </row>
    <row r="167" spans="1:9" ht="15" customHeight="1">
      <c r="A167" s="31" t="str">
        <f>IF(ISBLANK(Inventory!A167),"",Inventory!A167)</f>
        <v/>
      </c>
      <c r="B167" s="31" t="str">
        <f>IF(ISBLANK(Inventory!A167),"",Inventory!C167)</f>
        <v/>
      </c>
      <c r="C167" s="187"/>
      <c r="D167" s="187"/>
      <c r="E167" s="187"/>
      <c r="F167" s="35" t="str">
        <f>IF(OR(ISBLANK(G167),G167=0),"",Settings!$B$14)</f>
        <v/>
      </c>
      <c r="G167" s="30">
        <f>IF(ISBLANK(Inventory!A167),0,SUM(C167:E167)*Inventory!H167)</f>
        <v>0</v>
      </c>
      <c r="H167" s="83" t="str">
        <f>IF(OR(ISBLANK(I167),I167=0),"",Settings!$B$14)</f>
        <v/>
      </c>
      <c r="I167" s="30">
        <f>IF(ISBLANK(Inventory!A167),0,SUM(C167:E167)*Inventory!J167)</f>
        <v>0</v>
      </c>
    </row>
    <row r="168" spans="1:9" ht="15" customHeight="1">
      <c r="A168" s="31" t="str">
        <f>IF(ISBLANK(Inventory!A168),"",Inventory!A168)</f>
        <v/>
      </c>
      <c r="B168" s="31" t="str">
        <f>IF(ISBLANK(Inventory!A168),"",Inventory!C168)</f>
        <v/>
      </c>
      <c r="C168" s="187"/>
      <c r="D168" s="187"/>
      <c r="E168" s="187"/>
      <c r="F168" s="35" t="str">
        <f>IF(OR(ISBLANK(G168),G168=0),"",Settings!$B$14)</f>
        <v/>
      </c>
      <c r="G168" s="30">
        <f>IF(ISBLANK(Inventory!A168),0,SUM(C168:E168)*Inventory!H168)</f>
        <v>0</v>
      </c>
      <c r="H168" s="83" t="str">
        <f>IF(OR(ISBLANK(I168),I168=0),"",Settings!$B$14)</f>
        <v/>
      </c>
      <c r="I168" s="30">
        <f>IF(ISBLANK(Inventory!A168),0,SUM(C168:E168)*Inventory!J168)</f>
        <v>0</v>
      </c>
    </row>
    <row r="169" spans="1:9" ht="15" customHeight="1">
      <c r="A169" s="31" t="str">
        <f>IF(ISBLANK(Inventory!A169),"",Inventory!A169)</f>
        <v/>
      </c>
      <c r="B169" s="31" t="str">
        <f>IF(ISBLANK(Inventory!A169),"",Inventory!C169)</f>
        <v/>
      </c>
      <c r="C169" s="187"/>
      <c r="D169" s="187"/>
      <c r="E169" s="187"/>
      <c r="F169" s="35" t="str">
        <f>IF(OR(ISBLANK(G169),G169=0),"",Settings!$B$14)</f>
        <v/>
      </c>
      <c r="G169" s="30">
        <f>IF(ISBLANK(Inventory!A169),0,SUM(C169:E169)*Inventory!H169)</f>
        <v>0</v>
      </c>
      <c r="H169" s="83" t="str">
        <f>IF(OR(ISBLANK(I169),I169=0),"",Settings!$B$14)</f>
        <v/>
      </c>
      <c r="I169" s="30">
        <f>IF(ISBLANK(Inventory!A169),0,SUM(C169:E169)*Inventory!J169)</f>
        <v>0</v>
      </c>
    </row>
    <row r="170" spans="1:9" ht="6.95" customHeight="1">
      <c r="A170" s="77"/>
      <c r="B170" s="77"/>
      <c r="C170" s="251"/>
      <c r="D170" s="251"/>
      <c r="E170" s="251"/>
      <c r="F170" s="166"/>
      <c r="G170" s="168"/>
      <c r="H170" s="20"/>
      <c r="I170" s="168"/>
    </row>
    <row r="171" spans="1:9" ht="18" customHeight="1" thickBot="1">
      <c r="A171" s="78" t="str">
        <f>Inventory!A171</f>
        <v>POST-MIX DRINKS</v>
      </c>
      <c r="B171" s="78" t="str">
        <f>Inventory!C171</f>
        <v>VOLUME</v>
      </c>
      <c r="C171" s="23" t="s">
        <v>101</v>
      </c>
      <c r="D171" s="23"/>
      <c r="E171" s="23" t="s">
        <v>108</v>
      </c>
      <c r="F171" s="235" t="s">
        <v>30</v>
      </c>
      <c r="G171" s="235"/>
      <c r="H171" s="235" t="s">
        <v>31</v>
      </c>
      <c r="I171" s="235"/>
    </row>
    <row r="172" spans="1:9" ht="6.95" customHeight="1" thickTop="1">
      <c r="A172" s="76"/>
      <c r="B172" s="161"/>
      <c r="C172" s="162"/>
      <c r="D172" s="162"/>
      <c r="E172" s="162"/>
      <c r="F172" s="162"/>
      <c r="G172" s="163"/>
      <c r="H172" s="20"/>
      <c r="I172" s="170"/>
    </row>
    <row r="173" spans="1:9" ht="15" customHeight="1">
      <c r="A173" s="31" t="str">
        <f>IF(ISBLANK(Inventory!A173),"",Inventory!A173)</f>
        <v>Post-Mix Pepsi/Diet</v>
      </c>
      <c r="B173" s="31" t="str">
        <f>IF(ISBLANK(Inventory!A173),"",Inventory!C173)</f>
        <v>20ml</v>
      </c>
      <c r="C173" s="187"/>
      <c r="D173" s="165"/>
      <c r="E173" s="187"/>
      <c r="F173" s="35" t="str">
        <f>IF(OR(ISBLANK(G173),G173=0),"",Settings!$B$14)</f>
        <v/>
      </c>
      <c r="G173" s="30">
        <f>IF(ISBLANK(Inventory!A173),0,SUM(C173:E173)*Inventory!F173)</f>
        <v>0</v>
      </c>
      <c r="H173" s="83" t="str">
        <f>IF(OR(ISBLANK(I173),I173=0),"",Settings!$B$14)</f>
        <v/>
      </c>
      <c r="I173" s="30">
        <f>IF(ISBLANK(Inventory!A173),0,SUM(C173:E173)*Inventory!L173)</f>
        <v>0</v>
      </c>
    </row>
    <row r="174" spans="1:9" ht="15" customHeight="1">
      <c r="A174" s="31" t="str">
        <f>IF(ISBLANK(Inventory!A174),"",Inventory!A174)</f>
        <v>Post-Mix Lemonade</v>
      </c>
      <c r="B174" s="31" t="str">
        <f>IF(ISBLANK(Inventory!A174),"",Inventory!C174)</f>
        <v>20ml</v>
      </c>
      <c r="C174" s="187"/>
      <c r="D174" s="165"/>
      <c r="E174" s="187"/>
      <c r="F174" s="35" t="str">
        <f>IF(OR(ISBLANK(G174),G174=0),"",Settings!$B$14)</f>
        <v/>
      </c>
      <c r="G174" s="30">
        <f>IF(ISBLANK(Inventory!A174),0,SUM(C174:E174)*Inventory!F174)</f>
        <v>0</v>
      </c>
      <c r="H174" s="83" t="str">
        <f>IF(OR(ISBLANK(I174),I174=0),"",Settings!$B$14)</f>
        <v/>
      </c>
      <c r="I174" s="30">
        <f>IF(ISBLANK(Inventory!A174),0,SUM(C174:E174)*Inventory!L174)</f>
        <v>0</v>
      </c>
    </row>
    <row r="175" spans="1:9" ht="15" customHeight="1">
      <c r="A175" s="31" t="str">
        <f>IF(ISBLANK(Inventory!A175),"",Inventory!A175)</f>
        <v>Post-Mix Tango</v>
      </c>
      <c r="B175" s="31" t="str">
        <f>IF(ISBLANK(Inventory!A175),"",Inventory!C175)</f>
        <v>20ml</v>
      </c>
      <c r="C175" s="187"/>
      <c r="D175" s="165"/>
      <c r="E175" s="187"/>
      <c r="F175" s="35" t="str">
        <f>IF(OR(ISBLANK(G175),G175=0),"",Settings!$B$14)</f>
        <v/>
      </c>
      <c r="G175" s="30">
        <f>IF(ISBLANK(Inventory!A175),0,SUM(C175:E175)*Inventory!F175)</f>
        <v>0</v>
      </c>
      <c r="H175" s="83" t="str">
        <f>IF(OR(ISBLANK(I175),I175=0),"",Settings!$B$14)</f>
        <v/>
      </c>
      <c r="I175" s="30">
        <f>IF(ISBLANK(Inventory!A175),0,SUM(C175:E175)*Inventory!L175)</f>
        <v>0</v>
      </c>
    </row>
    <row r="176" spans="1:9" ht="15" customHeight="1">
      <c r="A176" s="31" t="str">
        <f>IF(ISBLANK(Inventory!A176),"",Inventory!A176)</f>
        <v>Sprite</v>
      </c>
      <c r="B176" s="31" t="str">
        <f>IF(ISBLANK(Inventory!A176),"",Inventory!C176)</f>
        <v>25ml</v>
      </c>
      <c r="C176" s="187"/>
      <c r="D176" s="165"/>
      <c r="E176" s="187"/>
      <c r="F176" s="35" t="str">
        <f>IF(OR(ISBLANK(G176),G176=0),"",Settings!$B$14)</f>
        <v/>
      </c>
      <c r="G176" s="30">
        <f>IF(ISBLANK(Inventory!A176),0,SUM(C176:E176)*Inventory!F176)</f>
        <v>0</v>
      </c>
      <c r="H176" s="83" t="str">
        <f>IF(OR(ISBLANK(I176),I176=0),"",Settings!$B$14)</f>
        <v/>
      </c>
      <c r="I176" s="30">
        <f>IF(ISBLANK(Inventory!A176),0,SUM(C176:E176)*Inventory!L176)</f>
        <v>0</v>
      </c>
    </row>
    <row r="177" spans="1:9" ht="15" customHeight="1">
      <c r="A177" s="31" t="str">
        <f>IF(ISBLANK(Inventory!A177),"",Inventory!A177)</f>
        <v/>
      </c>
      <c r="B177" s="31" t="str">
        <f>IF(ISBLANK(Inventory!A177),"",Inventory!C177)</f>
        <v/>
      </c>
      <c r="C177" s="187"/>
      <c r="D177" s="165"/>
      <c r="E177" s="187"/>
      <c r="F177" s="35" t="str">
        <f>IF(OR(ISBLANK(G177),G177=0),"",Settings!$B$14)</f>
        <v/>
      </c>
      <c r="G177" s="30">
        <f>IF(ISBLANK(Inventory!A177),0,SUM(C177:E177)*Inventory!F177)</f>
        <v>0</v>
      </c>
      <c r="H177" s="83" t="str">
        <f>IF(OR(ISBLANK(I177),I177=0),"",Settings!$B$14)</f>
        <v/>
      </c>
      <c r="I177" s="30">
        <f>IF(ISBLANK(Inventory!A177),0,SUM(C177:E177)*Inventory!L177)</f>
        <v>0</v>
      </c>
    </row>
    <row r="178" spans="1:9" ht="15" customHeight="1">
      <c r="A178" s="31" t="str">
        <f>IF(ISBLANK(Inventory!A178),"",Inventory!A178)</f>
        <v/>
      </c>
      <c r="B178" s="31" t="str">
        <f>IF(ISBLANK(Inventory!A178),"",Inventory!C178)</f>
        <v/>
      </c>
      <c r="C178" s="187"/>
      <c r="D178" s="165"/>
      <c r="E178" s="187"/>
      <c r="F178" s="35" t="str">
        <f>IF(OR(ISBLANK(G178),G178=0),"",Settings!$B$14)</f>
        <v/>
      </c>
      <c r="G178" s="30">
        <f>IF(ISBLANK(Inventory!A178),0,SUM(C178:E178)*Inventory!F178)</f>
        <v>0</v>
      </c>
      <c r="H178" s="83" t="str">
        <f>IF(OR(ISBLANK(I178),I178=0),"",Settings!$B$14)</f>
        <v/>
      </c>
      <c r="I178" s="30">
        <f>IF(ISBLANK(Inventory!A178),0,SUM(C178:E178)*Inventory!L178)</f>
        <v>0</v>
      </c>
    </row>
    <row r="179" spans="1:9" ht="6.95" customHeight="1">
      <c r="A179" s="77"/>
      <c r="B179" s="77"/>
      <c r="C179" s="171"/>
      <c r="D179" s="171"/>
      <c r="E179" s="171"/>
      <c r="F179" s="171"/>
      <c r="G179" s="168"/>
      <c r="H179" s="20"/>
      <c r="I179" s="168"/>
    </row>
    <row r="180" spans="1:9" ht="18" customHeight="1" thickBot="1">
      <c r="A180" s="78" t="str">
        <f>Inventory!A180</f>
        <v>COMPRESSED GAS</v>
      </c>
      <c r="B180" s="78"/>
      <c r="C180" s="23" t="s">
        <v>101</v>
      </c>
      <c r="D180" s="23"/>
      <c r="E180" s="23" t="s">
        <v>108</v>
      </c>
      <c r="F180" s="235" t="s">
        <v>30</v>
      </c>
      <c r="G180" s="235"/>
      <c r="H180" s="235"/>
      <c r="I180" s="235"/>
    </row>
    <row r="181" spans="1:9" ht="6.95" customHeight="1" thickTop="1">
      <c r="A181" s="76"/>
      <c r="B181" s="161"/>
      <c r="C181" s="162"/>
      <c r="D181" s="162"/>
      <c r="E181" s="162"/>
      <c r="F181" s="162"/>
      <c r="G181" s="163"/>
      <c r="H181" s="20"/>
      <c r="I181" s="170"/>
    </row>
    <row r="182" spans="1:9" ht="15" customHeight="1">
      <c r="A182" s="31" t="str">
        <f>IF(ISBLANK(Inventory!A182),"",Inventory!A182)</f>
        <v>Suregas B</v>
      </c>
      <c r="B182" s="31"/>
      <c r="C182" s="187"/>
      <c r="D182" s="165"/>
      <c r="E182" s="187"/>
      <c r="F182" s="35" t="str">
        <f>IF(OR(ISBLANK(G182),G182=0),"",Settings!$B$14)</f>
        <v/>
      </c>
      <c r="G182" s="30">
        <f>IF(ISBLANK(Inventory!A182),0,SUM(C182:E182)*Inventory!F182)</f>
        <v>0</v>
      </c>
      <c r="H182" s="172"/>
      <c r="I182" s="33"/>
    </row>
    <row r="183" spans="1:9" ht="15" customHeight="1">
      <c r="A183" s="31" t="str">
        <f>IF(ISBLANK(Inventory!A183),"",Inventory!A183)</f>
        <v>Suremix 30/50</v>
      </c>
      <c r="B183" s="31"/>
      <c r="C183" s="187"/>
      <c r="D183" s="165"/>
      <c r="E183" s="187"/>
      <c r="F183" s="35" t="str">
        <f>IF(OR(ISBLANK(G183),G183=0),"",Settings!$B$14)</f>
        <v/>
      </c>
      <c r="G183" s="30">
        <f>IF(ISBLANK(Inventory!A183),0,SUM(C183:E183)*Inventory!F183)</f>
        <v>0</v>
      </c>
      <c r="H183" s="172"/>
      <c r="I183" s="33"/>
    </row>
    <row r="184" spans="1:9" ht="15" customHeight="1">
      <c r="A184" s="31" t="str">
        <f>IF(ISBLANK(Inventory!A184),"",Inventory!A184)</f>
        <v/>
      </c>
      <c r="B184" s="31"/>
      <c r="C184" s="187"/>
      <c r="D184" s="165"/>
      <c r="E184" s="187"/>
      <c r="F184" s="35" t="str">
        <f>IF(OR(ISBLANK(G184),G184=0),"",Settings!$B$14)</f>
        <v/>
      </c>
      <c r="G184" s="30">
        <f>IF(ISBLANK(Inventory!A184),0,SUM(C184:E184)*Inventory!F184)</f>
        <v>0</v>
      </c>
      <c r="H184" s="172"/>
      <c r="I184" s="33"/>
    </row>
    <row r="185" spans="1:9" ht="15" customHeight="1">
      <c r="A185" s="31" t="str">
        <f>IF(ISBLANK(Inventory!A185),"",Inventory!A185)</f>
        <v/>
      </c>
      <c r="B185" s="31"/>
      <c r="C185" s="187"/>
      <c r="D185" s="165"/>
      <c r="E185" s="187"/>
      <c r="F185" s="35" t="str">
        <f>IF(OR(ISBLANK(G185),G185=0),"",Settings!$B$14)</f>
        <v/>
      </c>
      <c r="G185" s="30">
        <f>IF(ISBLANK(Inventory!A185),0,SUM(C185:E185)*Inventory!F185)</f>
        <v>0</v>
      </c>
      <c r="H185" s="172"/>
      <c r="I185" s="33"/>
    </row>
    <row r="186" spans="1:9" ht="6.95" customHeight="1">
      <c r="A186" s="77"/>
      <c r="B186" s="77"/>
      <c r="C186" s="171"/>
      <c r="D186" s="171"/>
      <c r="E186" s="171"/>
      <c r="F186" s="171"/>
      <c r="G186" s="168"/>
      <c r="H186" s="20"/>
      <c r="I186" s="168"/>
    </row>
    <row r="187" spans="1:9" ht="18" customHeight="1" thickBot="1">
      <c r="A187" s="78" t="str">
        <f>Inventory!A187</f>
        <v xml:space="preserve">REUSABLE containers and bottles </v>
      </c>
      <c r="B187" s="78"/>
      <c r="C187" s="23" t="s">
        <v>101</v>
      </c>
      <c r="D187" s="23"/>
      <c r="E187" s="23"/>
      <c r="F187" s="235" t="s">
        <v>30</v>
      </c>
      <c r="G187" s="235"/>
      <c r="H187" s="235"/>
      <c r="I187" s="235"/>
    </row>
    <row r="188" spans="1:9" ht="6.95" customHeight="1" thickTop="1">
      <c r="A188" s="76"/>
      <c r="B188" s="161"/>
      <c r="C188" s="162"/>
      <c r="D188" s="162"/>
      <c r="E188" s="162"/>
      <c r="F188" s="162"/>
      <c r="G188" s="163"/>
      <c r="H188" s="20"/>
      <c r="I188" s="170"/>
    </row>
    <row r="189" spans="1:9" ht="15" customHeight="1">
      <c r="A189" s="31" t="str">
        <f>IF(ISBLANK(Inventory!A189),"",Inventory!A189)</f>
        <v>Cases</v>
      </c>
      <c r="B189" s="31"/>
      <c r="C189" s="187">
        <v>4</v>
      </c>
      <c r="D189" s="169"/>
      <c r="E189" s="173"/>
      <c r="F189" s="35" t="str">
        <f>IF(OR(ISBLANK(G189),G189=0),"",Settings!$B$14)</f>
        <v>$</v>
      </c>
      <c r="G189" s="30">
        <f>IF(ISBLANK(Inventory!A189),0,SUM(C189:E189)*Inventory!F189)</f>
        <v>4</v>
      </c>
      <c r="H189" s="172"/>
      <c r="I189" s="33"/>
    </row>
    <row r="190" spans="1:9" ht="15" customHeight="1">
      <c r="A190" s="31" t="str">
        <f>IF(ISBLANK(Inventory!A190),"",Inventory!A190)</f>
        <v>Bottles - Small</v>
      </c>
      <c r="B190" s="31"/>
      <c r="C190" s="187">
        <v>500</v>
      </c>
      <c r="D190" s="169"/>
      <c r="E190" s="173"/>
      <c r="F190" s="35" t="str">
        <f>IF(OR(ISBLANK(G190),G190=0),"",Settings!$B$14)</f>
        <v>$</v>
      </c>
      <c r="G190" s="30">
        <f>IF(ISBLANK(Inventory!A190),0,SUM(C190:E190)*Inventory!F190)</f>
        <v>21</v>
      </c>
      <c r="H190" s="172"/>
      <c r="I190" s="33"/>
    </row>
    <row r="191" spans="1:9" ht="15" customHeight="1">
      <c r="A191" s="31" t="str">
        <f>IF(ISBLANK(Inventory!A191),"",Inventory!A191)</f>
        <v>Suregas B</v>
      </c>
      <c r="B191" s="31"/>
      <c r="C191" s="187">
        <v>1</v>
      </c>
      <c r="D191" s="169"/>
      <c r="E191" s="173"/>
      <c r="F191" s="35" t="str">
        <f>IF(OR(ISBLANK(G191),G191=0),"",Settings!$B$14)</f>
        <v>$</v>
      </c>
      <c r="G191" s="30">
        <f>IF(ISBLANK(Inventory!A191),0,SUM(C191:E191)*Inventory!F191)</f>
        <v>4.3</v>
      </c>
      <c r="H191" s="172"/>
      <c r="I191" s="33"/>
    </row>
    <row r="192" spans="1:9" ht="15" customHeight="1">
      <c r="A192" s="31" t="str">
        <f>IF(ISBLANK(Inventory!A192),"",Inventory!A192)</f>
        <v>Suremix 30/50</v>
      </c>
      <c r="B192" s="31"/>
      <c r="C192" s="187">
        <v>1</v>
      </c>
      <c r="D192" s="169"/>
      <c r="E192" s="173"/>
      <c r="F192" s="35" t="str">
        <f>IF(OR(ISBLANK(G192),G192=0),"",Settings!$B$14)</f>
        <v>$</v>
      </c>
      <c r="G192" s="30">
        <f>IF(ISBLANK(Inventory!A192),0,SUM(C192:E192)*Inventory!F192)</f>
        <v>5.65</v>
      </c>
      <c r="H192" s="172"/>
      <c r="I192" s="33"/>
    </row>
    <row r="193" spans="1:9" ht="15" customHeight="1">
      <c r="A193" s="31" t="str">
        <f>IF(ISBLANK(Inventory!A193),"",Inventory!A193)</f>
        <v/>
      </c>
      <c r="B193" s="31"/>
      <c r="C193" s="187"/>
      <c r="D193" s="169"/>
      <c r="E193" s="173"/>
      <c r="F193" s="35" t="str">
        <f>IF(OR(ISBLANK(G193),G193=0),"",Settings!$B$14)</f>
        <v/>
      </c>
      <c r="G193" s="30">
        <f>IF(ISBLANK(Inventory!A193),0,SUM(C193:E193)*Inventory!F193)</f>
        <v>0</v>
      </c>
      <c r="H193" s="172"/>
      <c r="I193" s="33"/>
    </row>
    <row r="194" spans="1:9" ht="15" customHeight="1">
      <c r="A194" s="31" t="str">
        <f>IF(ISBLANK(Inventory!A194),"",Inventory!A194)</f>
        <v/>
      </c>
      <c r="B194" s="31"/>
      <c r="C194" s="187"/>
      <c r="D194" s="169"/>
      <c r="E194" s="173"/>
      <c r="F194" s="35" t="str">
        <f>IF(OR(ISBLANK(G194),G194=0),"",Settings!$B$14)</f>
        <v/>
      </c>
      <c r="G194" s="30">
        <f>IF(ISBLANK(Inventory!A194),0,SUM(C194:E194)*Inventory!F194)</f>
        <v>0</v>
      </c>
      <c r="H194" s="172"/>
      <c r="I194" s="33"/>
    </row>
    <row r="195" spans="1:9" ht="15" customHeight="1">
      <c r="A195" s="31" t="str">
        <f>IF(ISBLANK(Inventory!A195),"",Inventory!A195)</f>
        <v/>
      </c>
      <c r="B195" s="31"/>
      <c r="C195" s="187"/>
      <c r="D195" s="169"/>
      <c r="E195" s="173"/>
      <c r="F195" s="35" t="str">
        <f>IF(OR(ISBLANK(G195),G195=0),"",Settings!$B$14)</f>
        <v/>
      </c>
      <c r="G195" s="30">
        <f>IF(ISBLANK(Inventory!A195),0,SUM(C195:E195)*Inventory!F195)</f>
        <v>0</v>
      </c>
      <c r="H195" s="172"/>
      <c r="I195" s="33"/>
    </row>
    <row r="196" spans="1:9" ht="15" customHeight="1">
      <c r="A196" s="31" t="str">
        <f>IF(ISBLANK(Inventory!A196),"",Inventory!A196)</f>
        <v/>
      </c>
      <c r="B196" s="31"/>
      <c r="C196" s="187"/>
      <c r="D196" s="169"/>
      <c r="E196" s="173"/>
      <c r="F196" s="35" t="str">
        <f>IF(OR(ISBLANK(G196),G196=0),"",Settings!$B$14)</f>
        <v/>
      </c>
      <c r="G196" s="30">
        <f>IF(ISBLANK(Inventory!A196),0,SUM(C196:E196)*Inventory!F196)</f>
        <v>0</v>
      </c>
      <c r="H196" s="172"/>
      <c r="I196" s="33"/>
    </row>
    <row r="197" spans="1:9" ht="6.95" customHeight="1" thickBot="1">
      <c r="A197" s="77"/>
      <c r="B197" s="77"/>
      <c r="C197" s="171"/>
      <c r="D197" s="171"/>
      <c r="E197" s="171"/>
      <c r="F197" s="171"/>
      <c r="G197" s="168"/>
      <c r="H197" s="20"/>
      <c r="I197" s="168"/>
    </row>
    <row r="198" spans="1:9" ht="18" customHeight="1" thickTop="1">
      <c r="A198" s="174"/>
      <c r="B198" s="174"/>
      <c r="C198" s="167"/>
      <c r="D198" s="167"/>
      <c r="E198" s="167"/>
      <c r="F198" s="167"/>
      <c r="G198" s="175"/>
      <c r="H198" s="167"/>
      <c r="I198" s="167"/>
    </row>
    <row r="199" spans="1:9" ht="18" customHeight="1">
      <c r="C199" s="72"/>
      <c r="D199" s="72"/>
      <c r="E199" s="53"/>
      <c r="F199" s="53"/>
      <c r="G199" s="62"/>
      <c r="H199" s="62"/>
    </row>
    <row r="200" spans="1:9" ht="18" customHeight="1" thickBot="1">
      <c r="A200" s="78" t="s">
        <v>186</v>
      </c>
      <c r="B200" s="78"/>
      <c r="C200" s="176"/>
      <c r="D200" s="176"/>
      <c r="E200" s="177"/>
      <c r="F200" s="235" t="s">
        <v>30</v>
      </c>
      <c r="G200" s="235"/>
      <c r="H200" s="235" t="s">
        <v>31</v>
      </c>
      <c r="I200" s="235"/>
    </row>
    <row r="201" spans="1:9" ht="6.95" customHeight="1" thickTop="1">
      <c r="A201" s="50"/>
      <c r="C201" s="72"/>
      <c r="D201" s="72"/>
      <c r="E201" s="53"/>
      <c r="F201" s="53"/>
      <c r="G201" s="62"/>
      <c r="H201" s="62"/>
      <c r="I201" s="178"/>
    </row>
    <row r="202" spans="1:9" s="45" customFormat="1" ht="15" customHeight="1">
      <c r="A202" s="50" t="str">
        <f>A10</f>
        <v>SPIRITS</v>
      </c>
      <c r="B202" s="179"/>
      <c r="C202" s="20"/>
      <c r="D202" s="20"/>
      <c r="E202" s="20"/>
      <c r="F202" s="35" t="str">
        <f>IF(OR(ISBLANK(G202),G202=0),"",Settings!$B$14)</f>
        <v>$</v>
      </c>
      <c r="G202" s="30">
        <f>SUM(G12:G55)</f>
        <v>21.35</v>
      </c>
      <c r="H202" s="83" t="str">
        <f>IF(OR(ISBLANK(I202),I202=0),"",Settings!$B$14)</f>
        <v>$</v>
      </c>
      <c r="I202" s="30">
        <f>SUM(I12:I55)</f>
        <v>80.92</v>
      </c>
    </row>
    <row r="203" spans="1:9" s="45" customFormat="1" ht="15" customHeight="1">
      <c r="A203" s="50" t="str">
        <f>A57</f>
        <v>FORTIFIED WINES</v>
      </c>
      <c r="B203" s="179"/>
      <c r="C203" s="20"/>
      <c r="D203" s="20"/>
      <c r="E203" s="20"/>
      <c r="F203" s="35" t="str">
        <f>IF(OR(ISBLANK(G203),G203=0),"",Settings!$B$14)</f>
        <v>$</v>
      </c>
      <c r="G203" s="32">
        <f>SUM(G59:G72)</f>
        <v>22.847999999999999</v>
      </c>
      <c r="H203" s="83" t="str">
        <f>IF(OR(ISBLANK(I203),I203=0),"",Settings!$B$14)</f>
        <v>$</v>
      </c>
      <c r="I203" s="32">
        <f>SUM(I59:I72)</f>
        <v>48.194999999999993</v>
      </c>
    </row>
    <row r="204" spans="1:9" s="45" customFormat="1" ht="15" customHeight="1">
      <c r="A204" s="50" t="str">
        <f>A74</f>
        <v>TABLE WINES</v>
      </c>
      <c r="B204" s="179"/>
      <c r="C204" s="20"/>
      <c r="D204" s="20"/>
      <c r="E204" s="20"/>
      <c r="F204" s="35" t="str">
        <f>IF(OR(ISBLANK(G204),G204=0),"",Settings!$B$14)</f>
        <v/>
      </c>
      <c r="G204" s="32">
        <f>SUM(G76:G97)</f>
        <v>0</v>
      </c>
      <c r="H204" s="83" t="str">
        <f>IF(OR(ISBLANK(I204),I204=0),"",Settings!$B$14)</f>
        <v/>
      </c>
      <c r="I204" s="32">
        <f>SUM(I76:I97)</f>
        <v>0</v>
      </c>
    </row>
    <row r="205" spans="1:9" s="45" customFormat="1" ht="15" customHeight="1">
      <c r="A205" s="50" t="str">
        <f>A99</f>
        <v>DRAUGHT BEER</v>
      </c>
      <c r="B205" s="179"/>
      <c r="F205" s="35" t="str">
        <f>IF(OR(ISBLANK(G205),G205=0),"",Settings!$B$14)</f>
        <v>$</v>
      </c>
      <c r="G205" s="32">
        <f>SUM(G101:G106)</f>
        <v>143.07</v>
      </c>
      <c r="H205" s="83" t="str">
        <f>IF(OR(ISBLANK(I205),I205=0),"",Settings!$B$14)</f>
        <v>$</v>
      </c>
      <c r="I205" s="32">
        <f>SUM(I101:I106)</f>
        <v>707.52</v>
      </c>
    </row>
    <row r="206" spans="1:9" s="45" customFormat="1" ht="15" customHeight="1">
      <c r="A206" s="50" t="str">
        <f>A108</f>
        <v>DRAUGHT LAGER</v>
      </c>
      <c r="B206" s="179"/>
      <c r="F206" s="35" t="str">
        <f>IF(OR(ISBLANK(G206),G206=0),"",Settings!$B$14)</f>
        <v>$</v>
      </c>
      <c r="G206" s="32">
        <f>SUM(G110:G115)</f>
        <v>77</v>
      </c>
      <c r="H206" s="83" t="str">
        <f>IF(OR(ISBLANK(I206),I206=0),"",Settings!$B$14)</f>
        <v>$</v>
      </c>
      <c r="I206" s="32">
        <f>SUM(I110:I115)</f>
        <v>318.64799999999997</v>
      </c>
    </row>
    <row r="207" spans="1:9" s="45" customFormat="1" ht="15" customHeight="1">
      <c r="A207" s="50" t="str">
        <f>A117</f>
        <v>BOTTLED BEER</v>
      </c>
      <c r="B207" s="179"/>
      <c r="F207" s="35" t="str">
        <f>IF(OR(ISBLANK(G207),G207=0),"",Settings!$B$14)</f>
        <v>$</v>
      </c>
      <c r="G207" s="32">
        <f>SUM(G119:G134)</f>
        <v>19.98</v>
      </c>
      <c r="H207" s="83" t="str">
        <f>IF(OR(ISBLANK(I207),I207=0),"",Settings!$B$14)</f>
        <v>$</v>
      </c>
      <c r="I207" s="32">
        <f>SUM(I119:I134)</f>
        <v>97.92</v>
      </c>
    </row>
    <row r="208" spans="1:9" s="45" customFormat="1" ht="15" customHeight="1">
      <c r="A208" s="50" t="str">
        <f>A136</f>
        <v>CIDER</v>
      </c>
      <c r="B208" s="179"/>
      <c r="F208" s="35" t="str">
        <f>IF(OR(ISBLANK(G208),G208=0),"",Settings!$B$14)</f>
        <v/>
      </c>
      <c r="G208" s="32">
        <f>SUM(G138:G146)</f>
        <v>0</v>
      </c>
      <c r="H208" s="83" t="str">
        <f>IF(OR(ISBLANK(I208),I208=0),"",Settings!$B$14)</f>
        <v/>
      </c>
      <c r="I208" s="32">
        <f>SUM(I138:I146)</f>
        <v>0</v>
      </c>
    </row>
    <row r="209" spans="1:9" s="45" customFormat="1" ht="15" customHeight="1">
      <c r="A209" s="50" t="str">
        <f>A148</f>
        <v>MINERALS/JUICES</v>
      </c>
      <c r="B209" s="179"/>
      <c r="F209" s="35" t="str">
        <f>IF(OR(ISBLANK(G209),G209=0),"",Settings!$B$14)</f>
        <v/>
      </c>
      <c r="G209" s="32">
        <f>SUM(G150:G169)</f>
        <v>0</v>
      </c>
      <c r="H209" s="83" t="str">
        <f>IF(OR(ISBLANK(I209),I209=0),"",Settings!$B$14)</f>
        <v/>
      </c>
      <c r="I209" s="32">
        <f>SUM(I150:I169)</f>
        <v>0</v>
      </c>
    </row>
    <row r="210" spans="1:9" s="45" customFormat="1" ht="15" customHeight="1">
      <c r="A210" s="50" t="str">
        <f>A171</f>
        <v>POST-MIX DRINKS</v>
      </c>
      <c r="B210" s="179"/>
      <c r="F210" s="35" t="str">
        <f>IF(OR(ISBLANK(G210),G210=0),"",Settings!$B$14)</f>
        <v/>
      </c>
      <c r="G210" s="32">
        <f>SUM(G173:G178)</f>
        <v>0</v>
      </c>
      <c r="H210" s="83" t="str">
        <f>IF(OR(ISBLANK(I210),I210=0),"",Settings!$B$14)</f>
        <v/>
      </c>
      <c r="I210" s="32">
        <f>SUM(I173:I178)</f>
        <v>0</v>
      </c>
    </row>
    <row r="211" spans="1:9" s="45" customFormat="1" ht="15" customHeight="1">
      <c r="A211" s="50" t="str">
        <f>A180</f>
        <v>COMPRESSED GAS</v>
      </c>
      <c r="B211" s="179"/>
      <c r="F211" s="35" t="str">
        <f>IF(OR(ISBLANK(G211),G211=0),"",Settings!$B$14)</f>
        <v/>
      </c>
      <c r="G211" s="32">
        <f>SUM(G182:G185)</f>
        <v>0</v>
      </c>
      <c r="H211" s="172" t="str">
        <f>IF(OR(ISBLANK(I211),I211=0),"",Settings!$B$14)</f>
        <v/>
      </c>
      <c r="I211" s="89"/>
    </row>
    <row r="212" spans="1:9" s="45" customFormat="1" ht="15" customHeight="1">
      <c r="A212" s="50" t="str">
        <f>A187</f>
        <v xml:space="preserve">REUSABLE containers and bottles </v>
      </c>
      <c r="B212" s="179"/>
      <c r="F212" s="35" t="str">
        <f>IF(OR(ISBLANK(G212),G212=0),"",Settings!$B$14)</f>
        <v>$</v>
      </c>
      <c r="G212" s="32">
        <f>SUM(G189:G192)</f>
        <v>34.950000000000003</v>
      </c>
      <c r="H212" s="172" t="str">
        <f>IF(OR(ISBLANK(I212),I212=0),"",Settings!$B$14)</f>
        <v/>
      </c>
      <c r="I212" s="89"/>
    </row>
    <row r="213" spans="1:9" ht="6.95" customHeight="1">
      <c r="G213" s="180"/>
      <c r="I213" s="180"/>
    </row>
    <row r="214" spans="1:9" s="45" customFormat="1" ht="15" customHeight="1">
      <c r="A214" s="181" t="s">
        <v>186</v>
      </c>
      <c r="B214" s="182"/>
      <c r="C214" s="183"/>
      <c r="D214" s="183"/>
      <c r="E214" s="183"/>
      <c r="F214" s="184" t="str">
        <f>IF(OR(ISBLANK(G214),G214=0),"",Settings!$B$14)</f>
        <v>$</v>
      </c>
      <c r="G214" s="34">
        <f>SUM(G202:G212)</f>
        <v>319.19800000000004</v>
      </c>
      <c r="H214" s="185" t="str">
        <f>IF(OR(ISBLANK(I214),I214=0),"",Settings!$B$14)</f>
        <v>$</v>
      </c>
      <c r="I214" s="34">
        <f>SUM(I202:I212)</f>
        <v>1253.203</v>
      </c>
    </row>
    <row r="215" spans="1:9" ht="6.95" customHeight="1" thickBot="1">
      <c r="G215" s="58"/>
    </row>
    <row r="216" spans="1:9" ht="18" customHeight="1" thickTop="1">
      <c r="A216" s="84"/>
      <c r="B216" s="174"/>
      <c r="C216" s="84"/>
      <c r="D216" s="84"/>
      <c r="E216" s="84"/>
      <c r="F216" s="84"/>
      <c r="G216" s="186"/>
      <c r="H216" s="84"/>
      <c r="I216" s="186"/>
    </row>
    <row r="217" spans="1:9">
      <c r="G217" s="58"/>
    </row>
  </sheetData>
  <sheetProtection password="F349" sheet="1" objects="1" scenarios="1" selectLockedCells="1"/>
  <protectedRanges>
    <protectedRange sqref="C182:C185 C189:C196 H11" name="Containers"/>
    <protectedRange sqref="E173:E178 C173:C178 H11" name="Post Mix Drinks"/>
    <protectedRange sqref="C150:D169" name="Minerals"/>
    <protectedRange sqref="C138:D146" name="Cider"/>
    <protectedRange sqref="C119:D134" name="Bottled Beer"/>
    <protectedRange sqref="E110:E115 C110:C115 H11" name="Draught Lager"/>
    <protectedRange sqref="E101:E106 C101:C106 H11" name="Draught Beer"/>
    <protectedRange sqref="C76:E97" name="Table Wines"/>
    <protectedRange sqref="C59:E72" name="Fortified Wines"/>
    <protectedRange sqref="C12:F56 F59:F72 F189:F196 F101:F106 F110:F115 F76:F97 F119:F134 F138:F146 F173:F178 F150:F169 F182:F185 F202:F212 F214" name="Spirits"/>
  </protectedRanges>
  <mergeCells count="33">
    <mergeCell ref="H117:I117"/>
    <mergeCell ref="C107:E107"/>
    <mergeCell ref="F10:G10"/>
    <mergeCell ref="H10:I10"/>
    <mergeCell ref="H200:I200"/>
    <mergeCell ref="F200:G200"/>
    <mergeCell ref="F74:G74"/>
    <mergeCell ref="H74:I74"/>
    <mergeCell ref="F57:G57"/>
    <mergeCell ref="H57:I57"/>
    <mergeCell ref="F108:G108"/>
    <mergeCell ref="H108:I108"/>
    <mergeCell ref="F99:G99"/>
    <mergeCell ref="H99:I99"/>
    <mergeCell ref="F180:G180"/>
    <mergeCell ref="H180:I180"/>
    <mergeCell ref="F117:G117"/>
    <mergeCell ref="C116:E116"/>
    <mergeCell ref="F187:G187"/>
    <mergeCell ref="H187:I187"/>
    <mergeCell ref="C147:E147"/>
    <mergeCell ref="F8:I8"/>
    <mergeCell ref="F171:G171"/>
    <mergeCell ref="H171:I171"/>
    <mergeCell ref="F148:G148"/>
    <mergeCell ref="H148:I148"/>
    <mergeCell ref="F136:G136"/>
    <mergeCell ref="H136:I136"/>
    <mergeCell ref="C170:E170"/>
    <mergeCell ref="C8:E8"/>
    <mergeCell ref="C73:E73"/>
    <mergeCell ref="C98:E98"/>
    <mergeCell ref="C135:E135"/>
  </mergeCells>
  <phoneticPr fontId="5" type="noConversion"/>
  <pageMargins left="0.15748031496062992" right="0.15748031496062992" top="0.19685039370078741" bottom="0.19685039370078741" header="0.51181102362204722" footer="0.51181102362204722"/>
  <pageSetup paperSize="9" scale="9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P230"/>
  <sheetViews>
    <sheetView showGridLines="0" workbookViewId="0">
      <pane ySplit="8" topLeftCell="A9" activePane="bottomLeft" state="frozen"/>
      <selection pane="bottomLeft" activeCell="C23" sqref="C23"/>
    </sheetView>
  </sheetViews>
  <sheetFormatPr defaultRowHeight="12.75"/>
  <cols>
    <col min="1" max="1" width="28.5703125" style="52" customWidth="1"/>
    <col min="2" max="2" width="21.28515625" style="52" customWidth="1"/>
    <col min="3" max="3" width="10.7109375" style="52" customWidth="1"/>
    <col min="4" max="4" width="1.7109375" style="52" customWidth="1"/>
    <col min="5" max="8" width="10.7109375" style="52" customWidth="1"/>
    <col min="9" max="9" width="3.7109375" style="52" customWidth="1"/>
    <col min="10" max="10" width="13.140625" style="52" customWidth="1"/>
    <col min="11" max="11" width="3.7109375" style="52" customWidth="1"/>
    <col min="12" max="12" width="9.7109375" style="52" customWidth="1"/>
    <col min="13" max="13" width="3.7109375" style="52" customWidth="1"/>
    <col min="14" max="14" width="9.7109375" style="52" customWidth="1"/>
    <col min="15" max="15" width="3.7109375" style="52" customWidth="1"/>
    <col min="16" max="16" width="9.7109375" style="52" customWidth="1"/>
    <col min="17" max="16384" width="9.140625" style="52"/>
  </cols>
  <sheetData>
    <row r="1" spans="1:16" s="45" customFormat="1" ht="54.95" customHeight="1">
      <c r="A1" s="104" t="s">
        <v>230</v>
      </c>
      <c r="B1" s="105"/>
      <c r="C1" s="106"/>
      <c r="D1" s="106"/>
      <c r="E1" s="106"/>
      <c r="F1" s="106"/>
      <c r="G1" s="106"/>
      <c r="H1" s="106"/>
      <c r="I1" s="106"/>
      <c r="J1" s="106"/>
      <c r="K1" s="106"/>
      <c r="L1" s="107"/>
      <c r="M1" s="134"/>
      <c r="N1" s="188"/>
      <c r="O1" s="188"/>
      <c r="P1" s="188"/>
    </row>
    <row r="2" spans="1:16" s="45" customFormat="1" ht="33.75" customHeight="1">
      <c r="A2" s="108" t="str">
        <f>IF(Settings!$E$5="Enable",Settings!$B$5,"")</f>
        <v>My Company name</v>
      </c>
      <c r="B2" s="126"/>
      <c r="C2" s="126"/>
      <c r="D2" s="126"/>
      <c r="E2" s="126"/>
      <c r="F2" s="126"/>
      <c r="G2" s="126"/>
      <c r="H2" s="126"/>
      <c r="I2" s="126"/>
      <c r="J2" s="126"/>
      <c r="K2" s="126"/>
      <c r="L2" s="126"/>
      <c r="M2" s="126"/>
      <c r="N2" s="126"/>
      <c r="O2" s="126"/>
      <c r="P2" s="90"/>
    </row>
    <row r="3" spans="1:16" ht="18" customHeight="1">
      <c r="A3" s="111" t="str">
        <f>IF(Settings!$E$6="Enable",Settings!$B$6,"")</f>
        <v>My company slogan</v>
      </c>
      <c r="B3" s="57"/>
      <c r="C3" s="57"/>
      <c r="D3" s="57"/>
      <c r="E3" s="57"/>
      <c r="F3" s="57"/>
      <c r="G3" s="57"/>
      <c r="H3" s="57"/>
      <c r="I3" s="57"/>
      <c r="J3" s="57"/>
      <c r="K3" s="57"/>
      <c r="L3" s="57"/>
      <c r="M3" s="58"/>
      <c r="P3" s="63"/>
    </row>
    <row r="4" spans="1:16" ht="15" customHeight="1">
      <c r="A4" s="59"/>
      <c r="B4" s="59"/>
      <c r="C4" s="59"/>
      <c r="D4" s="59"/>
      <c r="E4" s="59"/>
      <c r="F4" s="59"/>
      <c r="G4" s="59"/>
      <c r="H4" s="59"/>
      <c r="I4" s="59"/>
      <c r="J4" s="59"/>
      <c r="K4" s="59"/>
      <c r="L4" s="59"/>
      <c r="N4" s="59"/>
      <c r="O4" s="59"/>
      <c r="P4" s="116" t="s">
        <v>229</v>
      </c>
    </row>
    <row r="5" spans="1:16" ht="15" customHeight="1">
      <c r="A5" s="59"/>
      <c r="B5" s="59"/>
      <c r="C5" s="59"/>
      <c r="D5" s="59"/>
      <c r="E5" s="59"/>
      <c r="F5" s="59"/>
      <c r="G5" s="59"/>
      <c r="H5" s="59"/>
      <c r="I5" s="59"/>
      <c r="J5" s="59"/>
      <c r="K5" s="59"/>
      <c r="L5" s="59"/>
      <c r="N5" s="59"/>
      <c r="O5" s="59"/>
      <c r="P5" s="58"/>
    </row>
    <row r="6" spans="1:16" s="50" customFormat="1" ht="30" customHeight="1">
      <c r="A6" s="64" t="s">
        <v>188</v>
      </c>
      <c r="B6" s="64"/>
      <c r="C6" s="64"/>
      <c r="D6" s="64"/>
      <c r="E6" s="64"/>
      <c r="F6" s="189"/>
      <c r="G6" s="189"/>
      <c r="H6" s="189"/>
      <c r="I6" s="189"/>
      <c r="J6" s="189"/>
      <c r="K6" s="189"/>
      <c r="L6" s="189"/>
      <c r="M6" s="189"/>
      <c r="N6" s="189"/>
      <c r="O6" s="189"/>
      <c r="P6" s="189"/>
    </row>
    <row r="7" spans="1:16" ht="12.75" customHeight="1">
      <c r="A7" s="65"/>
      <c r="B7" s="65"/>
      <c r="C7" s="65"/>
      <c r="D7" s="65"/>
      <c r="E7" s="65"/>
      <c r="F7" s="65"/>
      <c r="G7" s="65"/>
      <c r="H7" s="65"/>
      <c r="I7" s="65"/>
      <c r="J7" s="65"/>
      <c r="K7" s="65"/>
      <c r="L7" s="65"/>
      <c r="M7" s="65"/>
      <c r="N7" s="65"/>
      <c r="O7" s="65"/>
      <c r="P7" s="65"/>
    </row>
    <row r="8" spans="1:16" s="190" customFormat="1" ht="18" customHeight="1">
      <c r="A8" s="74" t="s">
        <v>182</v>
      </c>
      <c r="B8" s="74" t="s">
        <v>164</v>
      </c>
      <c r="C8" s="236" t="s">
        <v>118</v>
      </c>
      <c r="D8" s="236"/>
      <c r="E8" s="236"/>
      <c r="F8" s="236"/>
      <c r="G8" s="236"/>
      <c r="H8" s="236"/>
      <c r="I8" s="236" t="s">
        <v>183</v>
      </c>
      <c r="J8" s="236"/>
      <c r="K8" s="236"/>
      <c r="L8" s="236"/>
      <c r="M8" s="236"/>
      <c r="N8" s="236"/>
      <c r="O8" s="236"/>
      <c r="P8" s="236"/>
    </row>
    <row r="9" spans="1:16" ht="6.95" customHeight="1">
      <c r="C9" s="62"/>
      <c r="D9" s="62"/>
      <c r="E9" s="62"/>
      <c r="F9" s="62"/>
      <c r="G9" s="62"/>
      <c r="H9" s="62"/>
      <c r="I9" s="62"/>
      <c r="J9" s="62"/>
      <c r="K9" s="62"/>
      <c r="L9" s="62"/>
      <c r="M9" s="62"/>
      <c r="N9" s="62"/>
      <c r="O9" s="62"/>
      <c r="P9" s="62"/>
    </row>
    <row r="10" spans="1:16" s="50" customFormat="1" ht="18" customHeight="1" thickBot="1">
      <c r="A10" s="78" t="str">
        <f>Inventory!A10</f>
        <v>SPIRITS</v>
      </c>
      <c r="B10" s="78" t="str">
        <f>Inventory!C10</f>
        <v>VOLUME</v>
      </c>
      <c r="C10" s="22" t="s">
        <v>187</v>
      </c>
      <c r="D10" s="22"/>
      <c r="E10" s="22" t="s">
        <v>101</v>
      </c>
      <c r="F10" s="22" t="s">
        <v>102</v>
      </c>
      <c r="G10" s="23" t="s">
        <v>108</v>
      </c>
      <c r="H10" s="79" t="s">
        <v>119</v>
      </c>
      <c r="I10" s="253" t="s">
        <v>190</v>
      </c>
      <c r="J10" s="253"/>
      <c r="K10" s="235" t="s">
        <v>30</v>
      </c>
      <c r="L10" s="235"/>
      <c r="M10" s="235" t="s">
        <v>31</v>
      </c>
      <c r="N10" s="235"/>
      <c r="O10" s="235" t="s">
        <v>189</v>
      </c>
      <c r="P10" s="235"/>
    </row>
    <row r="11" spans="1:16" s="50" customFormat="1" ht="6.95" customHeight="1" thickTop="1">
      <c r="C11" s="20"/>
      <c r="D11" s="20"/>
      <c r="E11" s="20"/>
      <c r="F11" s="20"/>
      <c r="G11" s="46"/>
      <c r="H11" s="191"/>
      <c r="I11" s="191"/>
      <c r="J11" s="191"/>
      <c r="K11" s="20"/>
      <c r="L11" s="20"/>
      <c r="M11" s="20"/>
      <c r="N11" s="20"/>
      <c r="O11" s="20"/>
      <c r="P11" s="20"/>
    </row>
    <row r="12" spans="1:16" s="29" customFormat="1" ht="15" customHeight="1">
      <c r="A12" s="31" t="str">
        <f>IF(ISBLANK(Inventory!A12),"",Inventory!A12)</f>
        <v>Teachers</v>
      </c>
      <c r="B12" s="31" t="str">
        <f>IF(ISBLANK(Inventory!A12),"",Inventory!C12)</f>
        <v>70cl</v>
      </c>
      <c r="C12" s="187">
        <v>1</v>
      </c>
      <c r="D12" s="192"/>
      <c r="E12" s="187">
        <v>1</v>
      </c>
      <c r="F12" s="187"/>
      <c r="G12" s="187"/>
      <c r="H12" s="37">
        <f>IF(ISBLANK(Inventory!A12),0,C12+SUM('Stock Opening'!C12:E12)-SUM(E12:G12))</f>
        <v>1</v>
      </c>
      <c r="I12" s="35" t="str">
        <f>IF(OR(ISBLANK(J12),J12=0),"",Settings!$B$14)</f>
        <v>$</v>
      </c>
      <c r="J12" s="30">
        <f>IF(ISBLANK(C12),0,C12*Inventory!F12)</f>
        <v>21.35</v>
      </c>
      <c r="K12" s="35" t="str">
        <f>IF(OR(ISBLANK(L12),L12=0),"",Settings!$B$14)</f>
        <v>$</v>
      </c>
      <c r="L12" s="30">
        <f>IF(ISBLANK(Inventory!A12),0,SUM(E12:G12)*Inventory!F12)</f>
        <v>21.35</v>
      </c>
      <c r="M12" s="35" t="str">
        <f>IF(OR(ISBLANK(N12),N12=0),"",Settings!$B$14)</f>
        <v>$</v>
      </c>
      <c r="N12" s="30">
        <f>IF(ISBLANK(Inventory!A12),0,SUM(E12:G12)*Inventory!L12)</f>
        <v>80.92</v>
      </c>
      <c r="O12" s="35" t="str">
        <f>IF(OR(ISBLANK(P12),P12=0),"",Settings!$B$14)</f>
        <v>$</v>
      </c>
      <c r="P12" s="30">
        <f>IF(ISBLANK(Inventory!A12),0,H12*Inventory!L12)</f>
        <v>80.92</v>
      </c>
    </row>
    <row r="13" spans="1:16" s="29" customFormat="1" ht="15" customHeight="1">
      <c r="A13" s="31" t="str">
        <f>IF(ISBLANK(Inventory!A13),"",Inventory!A13)</f>
        <v>Bells</v>
      </c>
      <c r="B13" s="31" t="str">
        <f>IF(ISBLANK(Inventory!A13),"",Inventory!C13)</f>
        <v>70cl</v>
      </c>
      <c r="C13" s="187"/>
      <c r="D13" s="192"/>
      <c r="E13" s="187"/>
      <c r="F13" s="187"/>
      <c r="G13" s="187"/>
      <c r="H13" s="37">
        <f>IF(ISBLANK(Inventory!A13),0,C13+SUM('Stock Opening'!C13:E13)-SUM(E13:G13))</f>
        <v>0</v>
      </c>
      <c r="I13" s="35" t="str">
        <f>IF(OR(ISBLANK(J13),J13=0),"",Settings!$B$14)</f>
        <v/>
      </c>
      <c r="J13" s="30">
        <f>IF(ISBLANK(C13),0,C13*Inventory!F13)</f>
        <v>0</v>
      </c>
      <c r="K13" s="35" t="str">
        <f>IF(OR(ISBLANK(L13),L13=0),"",Settings!$B$14)</f>
        <v/>
      </c>
      <c r="L13" s="30">
        <f>IF(ISBLANK(Inventory!A13),0,SUM(E13:G13)*Inventory!F13)</f>
        <v>0</v>
      </c>
      <c r="M13" s="35" t="str">
        <f>IF(OR(ISBLANK(N13),N13=0),"",Settings!$B$14)</f>
        <v/>
      </c>
      <c r="N13" s="30">
        <f>IF(ISBLANK(Inventory!A13),0,SUM(E13:G13)*Inventory!L13)</f>
        <v>0</v>
      </c>
      <c r="O13" s="35" t="str">
        <f>IF(OR(ISBLANK(P13),P13=0),"",Settings!$B$14)</f>
        <v/>
      </c>
      <c r="P13" s="30">
        <f>IF(ISBLANK(Inventory!A13),0,H13*Inventory!L13)</f>
        <v>0</v>
      </c>
    </row>
    <row r="14" spans="1:16" s="29" customFormat="1" ht="15" customHeight="1">
      <c r="A14" s="31" t="str">
        <f>IF(ISBLANK(Inventory!A14),"",Inventory!A14)</f>
        <v>Bells</v>
      </c>
      <c r="B14" s="31" t="str">
        <f>IF(ISBLANK(Inventory!A14),"",Inventory!C14)</f>
        <v>1.5ltr</v>
      </c>
      <c r="C14" s="187"/>
      <c r="D14" s="192"/>
      <c r="E14" s="187"/>
      <c r="F14" s="187"/>
      <c r="G14" s="187"/>
      <c r="H14" s="37">
        <f>IF(ISBLANK(Inventory!A14),0,C14+SUM('Stock Opening'!C14:E14)-SUM(E14:G14))</f>
        <v>0</v>
      </c>
      <c r="I14" s="35" t="str">
        <f>IF(OR(ISBLANK(J14),J14=0),"",Settings!$B$14)</f>
        <v/>
      </c>
      <c r="J14" s="30">
        <f>IF(ISBLANK(C14),0,C14*Inventory!F14)</f>
        <v>0</v>
      </c>
      <c r="K14" s="35" t="str">
        <f>IF(OR(ISBLANK(L14),L14=0),"",Settings!$B$14)</f>
        <v/>
      </c>
      <c r="L14" s="30">
        <f>IF(ISBLANK(Inventory!A14),0,SUM(E14:G14)*Inventory!F14)</f>
        <v>0</v>
      </c>
      <c r="M14" s="35" t="str">
        <f>IF(OR(ISBLANK(N14),N14=0),"",Settings!$B$14)</f>
        <v/>
      </c>
      <c r="N14" s="30">
        <f>IF(ISBLANK(Inventory!A14),0,SUM(E14:G14)*Inventory!L14)</f>
        <v>0</v>
      </c>
      <c r="O14" s="35" t="str">
        <f>IF(OR(ISBLANK(P14),P14=0),"",Settings!$B$14)</f>
        <v/>
      </c>
      <c r="P14" s="30">
        <f>IF(ISBLANK(Inventory!A14),0,H14*Inventory!L14)</f>
        <v>0</v>
      </c>
    </row>
    <row r="15" spans="1:16" s="29" customFormat="1" ht="15" customHeight="1">
      <c r="A15" s="31" t="str">
        <f>IF(ISBLANK(Inventory!A15),"",Inventory!A15)</f>
        <v>Glenfiddich</v>
      </c>
      <c r="B15" s="31" t="str">
        <f>IF(ISBLANK(Inventory!A15),"",Inventory!C15)</f>
        <v>75cl</v>
      </c>
      <c r="C15" s="187"/>
      <c r="D15" s="192"/>
      <c r="E15" s="187"/>
      <c r="F15" s="187"/>
      <c r="G15" s="187"/>
      <c r="H15" s="37">
        <f>IF(ISBLANK(Inventory!A15),0,C15+SUM('Stock Opening'!C15:E15)-SUM(E15:G15))</f>
        <v>0</v>
      </c>
      <c r="I15" s="35" t="str">
        <f>IF(OR(ISBLANK(J15),J15=0),"",Settings!$B$14)</f>
        <v/>
      </c>
      <c r="J15" s="30">
        <f>IF(ISBLANK(C15),0,C15*Inventory!F15)</f>
        <v>0</v>
      </c>
      <c r="K15" s="35" t="str">
        <f>IF(OR(ISBLANK(L15),L15=0),"",Settings!$B$14)</f>
        <v/>
      </c>
      <c r="L15" s="30">
        <f>IF(ISBLANK(Inventory!A15),0,SUM(E15:G15)*Inventory!F15)</f>
        <v>0</v>
      </c>
      <c r="M15" s="35" t="str">
        <f>IF(OR(ISBLANK(N15),N15=0),"",Settings!$B$14)</f>
        <v/>
      </c>
      <c r="N15" s="30">
        <f>IF(ISBLANK(Inventory!A15),0,SUM(E15:G15)*Inventory!L15)</f>
        <v>0</v>
      </c>
      <c r="O15" s="35" t="str">
        <f>IF(OR(ISBLANK(P15),P15=0),"",Settings!$B$14)</f>
        <v/>
      </c>
      <c r="P15" s="30">
        <f>IF(ISBLANK(Inventory!A15),0,H15*Inventory!L15)</f>
        <v>0</v>
      </c>
    </row>
    <row r="16" spans="1:16" s="29" customFormat="1" ht="15" customHeight="1">
      <c r="A16" s="31" t="str">
        <f>IF(ISBLANK(Inventory!A16),"",Inventory!A16)</f>
        <v>Glenmorangie</v>
      </c>
      <c r="B16" s="31" t="str">
        <f>IF(ISBLANK(Inventory!A16),"",Inventory!C16)</f>
        <v>70cl</v>
      </c>
      <c r="C16" s="187"/>
      <c r="D16" s="192"/>
      <c r="E16" s="187"/>
      <c r="F16" s="187"/>
      <c r="G16" s="187"/>
      <c r="H16" s="37">
        <f>IF(ISBLANK(Inventory!A16),0,C16+SUM('Stock Opening'!C16:E16)-SUM(E16:G16))</f>
        <v>0</v>
      </c>
      <c r="I16" s="35" t="str">
        <f>IF(OR(ISBLANK(J16),J16=0),"",Settings!$B$14)</f>
        <v/>
      </c>
      <c r="J16" s="30">
        <f>IF(ISBLANK(C16),0,C16*Inventory!F16)</f>
        <v>0</v>
      </c>
      <c r="K16" s="35" t="str">
        <f>IF(OR(ISBLANK(L16),L16=0),"",Settings!$B$14)</f>
        <v/>
      </c>
      <c r="L16" s="30">
        <f>IF(ISBLANK(Inventory!A16),0,SUM(E16:G16)*Inventory!F16)</f>
        <v>0</v>
      </c>
      <c r="M16" s="35" t="str">
        <f>IF(OR(ISBLANK(N16),N16=0),"",Settings!$B$14)</f>
        <v/>
      </c>
      <c r="N16" s="30">
        <f>IF(ISBLANK(Inventory!A16),0,SUM(E16:G16)*Inventory!L16)</f>
        <v>0</v>
      </c>
      <c r="O16" s="35" t="str">
        <f>IF(OR(ISBLANK(P16),P16=0),"",Settings!$B$14)</f>
        <v/>
      </c>
      <c r="P16" s="30">
        <f>IF(ISBLANK(Inventory!A16),0,H16*Inventory!L16)</f>
        <v>0</v>
      </c>
    </row>
    <row r="17" spans="1:16" s="29" customFormat="1" ht="15" customHeight="1">
      <c r="A17" s="31" t="str">
        <f>IF(ISBLANK(Inventory!A17),"",Inventory!A17)</f>
        <v>Jack Daniels</v>
      </c>
      <c r="B17" s="31" t="str">
        <f>IF(ISBLANK(Inventory!A17),"",Inventory!C17)</f>
        <v>70cl</v>
      </c>
      <c r="C17" s="187"/>
      <c r="D17" s="192"/>
      <c r="E17" s="187"/>
      <c r="F17" s="187"/>
      <c r="G17" s="187"/>
      <c r="H17" s="37">
        <f>IF(ISBLANK(Inventory!A17),0,C17+SUM('Stock Opening'!C17:E17)-SUM(E17:G17))</f>
        <v>0</v>
      </c>
      <c r="I17" s="35" t="str">
        <f>IF(OR(ISBLANK(J17),J17=0),"",Settings!$B$14)</f>
        <v/>
      </c>
      <c r="J17" s="30">
        <f>IF(ISBLANK(C17),0,C17*Inventory!F17)</f>
        <v>0</v>
      </c>
      <c r="K17" s="35" t="str">
        <f>IF(OR(ISBLANK(L17),L17=0),"",Settings!$B$14)</f>
        <v/>
      </c>
      <c r="L17" s="30">
        <f>IF(ISBLANK(Inventory!A17),0,SUM(E17:G17)*Inventory!F17)</f>
        <v>0</v>
      </c>
      <c r="M17" s="35" t="str">
        <f>IF(OR(ISBLANK(N17),N17=0),"",Settings!$B$14)</f>
        <v/>
      </c>
      <c r="N17" s="30">
        <f>IF(ISBLANK(Inventory!A17),0,SUM(E17:G17)*Inventory!L17)</f>
        <v>0</v>
      </c>
      <c r="O17" s="35" t="str">
        <f>IF(OR(ISBLANK(P17),P17=0),"",Settings!$B$14)</f>
        <v/>
      </c>
      <c r="P17" s="30">
        <f>IF(ISBLANK(Inventory!A17),0,H17*Inventory!L17)</f>
        <v>0</v>
      </c>
    </row>
    <row r="18" spans="1:16" s="29" customFormat="1" ht="15" customHeight="1">
      <c r="A18" s="31" t="str">
        <f>IF(ISBLANK(Inventory!A18),"",Inventory!A18)</f>
        <v>Jack Daniels</v>
      </c>
      <c r="B18" s="31" t="str">
        <f>IF(ISBLANK(Inventory!A18),"",Inventory!C18)</f>
        <v>1.5Ltr</v>
      </c>
      <c r="C18" s="187"/>
      <c r="D18" s="192"/>
      <c r="E18" s="187"/>
      <c r="F18" s="187"/>
      <c r="G18" s="187"/>
      <c r="H18" s="37">
        <f>IF(ISBLANK(Inventory!A18),0,C18+SUM('Stock Opening'!C18:E18)-SUM(E18:G18))</f>
        <v>0</v>
      </c>
      <c r="I18" s="35" t="str">
        <f>IF(OR(ISBLANK(J18),J18=0),"",Settings!$B$14)</f>
        <v/>
      </c>
      <c r="J18" s="30">
        <f>IF(ISBLANK(C18),0,C18*Inventory!F18)</f>
        <v>0</v>
      </c>
      <c r="K18" s="35" t="str">
        <f>IF(OR(ISBLANK(L18),L18=0),"",Settings!$B$14)</f>
        <v/>
      </c>
      <c r="L18" s="30">
        <f>IF(ISBLANK(Inventory!A18),0,SUM(E18:G18)*Inventory!F18)</f>
        <v>0</v>
      </c>
      <c r="M18" s="35" t="str">
        <f>IF(OR(ISBLANK(N18),N18=0),"",Settings!$B$14)</f>
        <v/>
      </c>
      <c r="N18" s="30">
        <f>IF(ISBLANK(Inventory!A18),0,SUM(E18:G18)*Inventory!L18)</f>
        <v>0</v>
      </c>
      <c r="O18" s="35" t="str">
        <f>IF(OR(ISBLANK(P18),P18=0),"",Settings!$B$14)</f>
        <v/>
      </c>
      <c r="P18" s="30">
        <f>IF(ISBLANK(Inventory!A18),0,H18*Inventory!L18)</f>
        <v>0</v>
      </c>
    </row>
    <row r="19" spans="1:16" s="29" customFormat="1" ht="15" customHeight="1">
      <c r="A19" s="31" t="str">
        <f>IF(ISBLANK(Inventory!A19),"",Inventory!A19)</f>
        <v>Jim Beam</v>
      </c>
      <c r="B19" s="31" t="str">
        <f>IF(ISBLANK(Inventory!A19),"",Inventory!C19)</f>
        <v>70cl</v>
      </c>
      <c r="C19" s="187"/>
      <c r="D19" s="192"/>
      <c r="E19" s="187"/>
      <c r="F19" s="187"/>
      <c r="G19" s="187"/>
      <c r="H19" s="37">
        <f>IF(ISBLANK(Inventory!A19),0,C19+SUM('Stock Opening'!C19:E19)-SUM(E19:G19))</f>
        <v>0</v>
      </c>
      <c r="I19" s="35" t="str">
        <f>IF(OR(ISBLANK(J19),J19=0),"",Settings!$B$14)</f>
        <v/>
      </c>
      <c r="J19" s="30">
        <f>IF(ISBLANK(C19),0,C19*Inventory!F19)</f>
        <v>0</v>
      </c>
      <c r="K19" s="35" t="str">
        <f>IF(OR(ISBLANK(L19),L19=0),"",Settings!$B$14)</f>
        <v/>
      </c>
      <c r="L19" s="30">
        <f>IF(ISBLANK(Inventory!A19),0,SUM(E19:G19)*Inventory!F19)</f>
        <v>0</v>
      </c>
      <c r="M19" s="35" t="str">
        <f>IF(OR(ISBLANK(N19),N19=0),"",Settings!$B$14)</f>
        <v/>
      </c>
      <c r="N19" s="30">
        <f>IF(ISBLANK(Inventory!A19),0,SUM(E19:G19)*Inventory!L19)</f>
        <v>0</v>
      </c>
      <c r="O19" s="35" t="str">
        <f>IF(OR(ISBLANK(P19),P19=0),"",Settings!$B$14)</f>
        <v/>
      </c>
      <c r="P19" s="30">
        <f>IF(ISBLANK(Inventory!A19),0,H19*Inventory!L19)</f>
        <v>0</v>
      </c>
    </row>
    <row r="20" spans="1:16" s="29" customFormat="1" ht="15" customHeight="1">
      <c r="A20" s="31" t="str">
        <f>IF(ISBLANK(Inventory!A20),"",Inventory!A20)</f>
        <v>Jameson's Irish</v>
      </c>
      <c r="B20" s="31" t="str">
        <f>IF(ISBLANK(Inventory!A20),"",Inventory!C20)</f>
        <v>70cl</v>
      </c>
      <c r="C20" s="187"/>
      <c r="D20" s="192"/>
      <c r="E20" s="187"/>
      <c r="F20" s="187"/>
      <c r="G20" s="187"/>
      <c r="H20" s="37">
        <f>IF(ISBLANK(Inventory!A20),0,C20+SUM('Stock Opening'!C20:E20)-SUM(E20:G20))</f>
        <v>0</v>
      </c>
      <c r="I20" s="35" t="str">
        <f>IF(OR(ISBLANK(J20),J20=0),"",Settings!$B$14)</f>
        <v/>
      </c>
      <c r="J20" s="30">
        <f>IF(ISBLANK(C20),0,C20*Inventory!F20)</f>
        <v>0</v>
      </c>
      <c r="K20" s="35" t="str">
        <f>IF(OR(ISBLANK(L20),L20=0),"",Settings!$B$14)</f>
        <v/>
      </c>
      <c r="L20" s="30">
        <f>IF(ISBLANK(Inventory!A20),0,SUM(E20:G20)*Inventory!F20)</f>
        <v>0</v>
      </c>
      <c r="M20" s="35" t="str">
        <f>IF(OR(ISBLANK(N20),N20=0),"",Settings!$B$14)</f>
        <v/>
      </c>
      <c r="N20" s="30">
        <f>IF(ISBLANK(Inventory!A20),0,SUM(E20:G20)*Inventory!L20)</f>
        <v>0</v>
      </c>
      <c r="O20" s="35" t="str">
        <f>IF(OR(ISBLANK(P20),P20=0),"",Settings!$B$14)</f>
        <v/>
      </c>
      <c r="P20" s="30">
        <f>IF(ISBLANK(Inventory!A20),0,H20*Inventory!L20)</f>
        <v>0</v>
      </c>
    </row>
    <row r="21" spans="1:16" s="29" customFormat="1" ht="15" customHeight="1">
      <c r="A21" s="31" t="str">
        <f>IF(ISBLANK(Inventory!A21),"",Inventory!A21)</f>
        <v>Jameson's Irish</v>
      </c>
      <c r="B21" s="31" t="str">
        <f>IF(ISBLANK(Inventory!A21),"",Inventory!C21)</f>
        <v>1.5Ltr</v>
      </c>
      <c r="C21" s="187"/>
      <c r="D21" s="192"/>
      <c r="E21" s="187"/>
      <c r="F21" s="187"/>
      <c r="G21" s="187"/>
      <c r="H21" s="37">
        <f>IF(ISBLANK(Inventory!A21),0,C21+SUM('Stock Opening'!C21:E21)-SUM(E21:G21))</f>
        <v>0</v>
      </c>
      <c r="I21" s="35" t="str">
        <f>IF(OR(ISBLANK(J21),J21=0),"",Settings!$B$14)</f>
        <v/>
      </c>
      <c r="J21" s="30">
        <f>IF(ISBLANK(C21),0,C21*Inventory!F21)</f>
        <v>0</v>
      </c>
      <c r="K21" s="35" t="str">
        <f>IF(OR(ISBLANK(L21),L21=0),"",Settings!$B$14)</f>
        <v/>
      </c>
      <c r="L21" s="30">
        <f>IF(ISBLANK(Inventory!A21),0,SUM(E21:G21)*Inventory!F21)</f>
        <v>0</v>
      </c>
      <c r="M21" s="35" t="str">
        <f>IF(OR(ISBLANK(N21),N21=0),"",Settings!$B$14)</f>
        <v/>
      </c>
      <c r="N21" s="30">
        <f>IF(ISBLANK(Inventory!A21),0,SUM(E21:G21)*Inventory!L21)</f>
        <v>0</v>
      </c>
      <c r="O21" s="35" t="str">
        <f>IF(OR(ISBLANK(P21),P21=0),"",Settings!$B$14)</f>
        <v/>
      </c>
      <c r="P21" s="30">
        <f>IF(ISBLANK(Inventory!A21),0,H21*Inventory!L21)</f>
        <v>0</v>
      </c>
    </row>
    <row r="22" spans="1:16" s="29" customFormat="1" ht="15" customHeight="1">
      <c r="A22" s="31" t="str">
        <f>IF(ISBLANK(Inventory!A22),"",Inventory!A22)</f>
        <v>Southern Comfort</v>
      </c>
      <c r="B22" s="31" t="str">
        <f>IF(ISBLANK(Inventory!A22),"",Inventory!C22)</f>
        <v>70cl</v>
      </c>
      <c r="C22" s="187"/>
      <c r="D22" s="192"/>
      <c r="E22" s="187"/>
      <c r="F22" s="187"/>
      <c r="G22" s="187"/>
      <c r="H22" s="37">
        <f>IF(ISBLANK(Inventory!A22),0,C22+SUM('Stock Opening'!C22:E22)-SUM(E22:G22))</f>
        <v>0</v>
      </c>
      <c r="I22" s="35" t="str">
        <f>IF(OR(ISBLANK(J22),J22=0),"",Settings!$B$14)</f>
        <v/>
      </c>
      <c r="J22" s="30">
        <f>IF(ISBLANK(C22),0,C22*Inventory!F22)</f>
        <v>0</v>
      </c>
      <c r="K22" s="35" t="str">
        <f>IF(OR(ISBLANK(L22),L22=0),"",Settings!$B$14)</f>
        <v/>
      </c>
      <c r="L22" s="30">
        <f>IF(ISBLANK(Inventory!A22),0,SUM(E22:G22)*Inventory!F22)</f>
        <v>0</v>
      </c>
      <c r="M22" s="35" t="str">
        <f>IF(OR(ISBLANK(N22),N22=0),"",Settings!$B$14)</f>
        <v/>
      </c>
      <c r="N22" s="30">
        <f>IF(ISBLANK(Inventory!A22),0,SUM(E22:G22)*Inventory!L22)</f>
        <v>0</v>
      </c>
      <c r="O22" s="35" t="str">
        <f>IF(OR(ISBLANK(P22),P22=0),"",Settings!$B$14)</f>
        <v/>
      </c>
      <c r="P22" s="30">
        <f>IF(ISBLANK(Inventory!A22),0,H22*Inventory!L22)</f>
        <v>0</v>
      </c>
    </row>
    <row r="23" spans="1:16" s="29" customFormat="1" ht="15" customHeight="1">
      <c r="A23" s="31" t="str">
        <f>IF(ISBLANK(Inventory!A23),"",Inventory!A23)</f>
        <v>Southern Comfort</v>
      </c>
      <c r="B23" s="31" t="str">
        <f>IF(ISBLANK(Inventory!A23),"",Inventory!C23)</f>
        <v>1.5ltr</v>
      </c>
      <c r="C23" s="187"/>
      <c r="D23" s="192"/>
      <c r="E23" s="187"/>
      <c r="F23" s="187"/>
      <c r="G23" s="187"/>
      <c r="H23" s="37">
        <f>IF(ISBLANK(Inventory!A23),0,C23+SUM('Stock Opening'!C23:E23)-SUM(E23:G23))</f>
        <v>0</v>
      </c>
      <c r="I23" s="35" t="str">
        <f>IF(OR(ISBLANK(J23),J23=0),"",Settings!$B$14)</f>
        <v/>
      </c>
      <c r="J23" s="30">
        <f>IF(ISBLANK(C23),0,C23*Inventory!F23)</f>
        <v>0</v>
      </c>
      <c r="K23" s="35" t="str">
        <f>IF(OR(ISBLANK(L23),L23=0),"",Settings!$B$14)</f>
        <v/>
      </c>
      <c r="L23" s="30">
        <f>IF(ISBLANK(Inventory!A23),0,SUM(E23:G23)*Inventory!F23)</f>
        <v>0</v>
      </c>
      <c r="M23" s="35" t="str">
        <f>IF(OR(ISBLANK(N23),N23=0),"",Settings!$B$14)</f>
        <v/>
      </c>
      <c r="N23" s="30">
        <f>IF(ISBLANK(Inventory!A23),0,SUM(E23:G23)*Inventory!L23)</f>
        <v>0</v>
      </c>
      <c r="O23" s="35" t="str">
        <f>IF(OR(ISBLANK(P23),P23=0),"",Settings!$B$14)</f>
        <v/>
      </c>
      <c r="P23" s="30">
        <f>IF(ISBLANK(Inventory!A23),0,H23*Inventory!L23)</f>
        <v>0</v>
      </c>
    </row>
    <row r="24" spans="1:16" s="29" customFormat="1" ht="15" customHeight="1">
      <c r="A24" s="31" t="str">
        <f>IF(ISBLANK(Inventory!A24),"",Inventory!A24)</f>
        <v>Gordons' Gin</v>
      </c>
      <c r="B24" s="31" t="str">
        <f>IF(ISBLANK(Inventory!A24),"",Inventory!C24)</f>
        <v>70cl</v>
      </c>
      <c r="C24" s="187"/>
      <c r="D24" s="192"/>
      <c r="E24" s="187"/>
      <c r="F24" s="187"/>
      <c r="G24" s="187"/>
      <c r="H24" s="37">
        <f>IF(ISBLANK(Inventory!A24),0,C24+SUM('Stock Opening'!C24:E24)-SUM(E24:G24))</f>
        <v>0</v>
      </c>
      <c r="I24" s="35" t="str">
        <f>IF(OR(ISBLANK(J24),J24=0),"",Settings!$B$14)</f>
        <v/>
      </c>
      <c r="J24" s="30">
        <f>IF(ISBLANK(C24),0,C24*Inventory!F24)</f>
        <v>0</v>
      </c>
      <c r="K24" s="35" t="str">
        <f>IF(OR(ISBLANK(L24),L24=0),"",Settings!$B$14)</f>
        <v/>
      </c>
      <c r="L24" s="30">
        <f>IF(ISBLANK(Inventory!A24),0,SUM(E24:G24)*Inventory!F24)</f>
        <v>0</v>
      </c>
      <c r="M24" s="35" t="str">
        <f>IF(OR(ISBLANK(N24),N24=0),"",Settings!$B$14)</f>
        <v/>
      </c>
      <c r="N24" s="30">
        <f>IF(ISBLANK(Inventory!A24),0,SUM(E24:G24)*Inventory!L24)</f>
        <v>0</v>
      </c>
      <c r="O24" s="35" t="str">
        <f>IF(OR(ISBLANK(P24),P24=0),"",Settings!$B$14)</f>
        <v/>
      </c>
      <c r="P24" s="30">
        <f>IF(ISBLANK(Inventory!A24),0,H24*Inventory!L24)</f>
        <v>0</v>
      </c>
    </row>
    <row r="25" spans="1:16" s="29" customFormat="1" ht="15" customHeight="1">
      <c r="A25" s="31" t="str">
        <f>IF(ISBLANK(Inventory!A25),"",Inventory!A25)</f>
        <v>Gordons' Gin</v>
      </c>
      <c r="B25" s="31" t="str">
        <f>IF(ISBLANK(Inventory!A25),"",Inventory!C25)</f>
        <v>1.5Ltr</v>
      </c>
      <c r="C25" s="187"/>
      <c r="D25" s="192"/>
      <c r="E25" s="187"/>
      <c r="F25" s="187"/>
      <c r="G25" s="187"/>
      <c r="H25" s="37">
        <f>IF(ISBLANK(Inventory!A25),0,C25+SUM('Stock Opening'!C25:E25)-SUM(E25:G25))</f>
        <v>0</v>
      </c>
      <c r="I25" s="35" t="str">
        <f>IF(OR(ISBLANK(J25),J25=0),"",Settings!$B$14)</f>
        <v/>
      </c>
      <c r="J25" s="30">
        <f>IF(ISBLANK(C25),0,C25*Inventory!F25)</f>
        <v>0</v>
      </c>
      <c r="K25" s="35" t="str">
        <f>IF(OR(ISBLANK(L25),L25=0),"",Settings!$B$14)</f>
        <v/>
      </c>
      <c r="L25" s="30">
        <f>IF(ISBLANK(Inventory!A25),0,SUM(E25:G25)*Inventory!F25)</f>
        <v>0</v>
      </c>
      <c r="M25" s="35" t="str">
        <f>IF(OR(ISBLANK(N25),N25=0),"",Settings!$B$14)</f>
        <v/>
      </c>
      <c r="N25" s="30">
        <f>IF(ISBLANK(Inventory!A25),0,SUM(E25:G25)*Inventory!L25)</f>
        <v>0</v>
      </c>
      <c r="O25" s="35" t="str">
        <f>IF(OR(ISBLANK(P25),P25=0),"",Settings!$B$14)</f>
        <v/>
      </c>
      <c r="P25" s="30">
        <f>IF(ISBLANK(Inventory!A25),0,H25*Inventory!L25)</f>
        <v>0</v>
      </c>
    </row>
    <row r="26" spans="1:16" s="29" customFormat="1" ht="15" customHeight="1">
      <c r="A26" s="31" t="str">
        <f>IF(ISBLANK(Inventory!A26),"",Inventory!A26)</f>
        <v>Bombay Sapphire</v>
      </c>
      <c r="B26" s="31" t="str">
        <f>IF(ISBLANK(Inventory!A26),"",Inventory!C26)</f>
        <v>70cl</v>
      </c>
      <c r="C26" s="187"/>
      <c r="D26" s="192"/>
      <c r="E26" s="187"/>
      <c r="F26" s="187"/>
      <c r="G26" s="187"/>
      <c r="H26" s="37">
        <f>IF(ISBLANK(Inventory!A26),0,C26+SUM('Stock Opening'!C26:E26)-SUM(E26:G26))</f>
        <v>0</v>
      </c>
      <c r="I26" s="35" t="str">
        <f>IF(OR(ISBLANK(J26),J26=0),"",Settings!$B$14)</f>
        <v/>
      </c>
      <c r="J26" s="30">
        <f>IF(ISBLANK(C26),0,C26*Inventory!F26)</f>
        <v>0</v>
      </c>
      <c r="K26" s="35" t="str">
        <f>IF(OR(ISBLANK(L26),L26=0),"",Settings!$B$14)</f>
        <v/>
      </c>
      <c r="L26" s="30">
        <f>IF(ISBLANK(Inventory!A26),0,SUM(E26:G26)*Inventory!F26)</f>
        <v>0</v>
      </c>
      <c r="M26" s="35" t="str">
        <f>IF(OR(ISBLANK(N26),N26=0),"",Settings!$B$14)</f>
        <v/>
      </c>
      <c r="N26" s="30">
        <f>IF(ISBLANK(Inventory!A26),0,SUM(E26:G26)*Inventory!L26)</f>
        <v>0</v>
      </c>
      <c r="O26" s="35" t="str">
        <f>IF(OR(ISBLANK(P26),P26=0),"",Settings!$B$14)</f>
        <v/>
      </c>
      <c r="P26" s="30">
        <f>IF(ISBLANK(Inventory!A26),0,H26*Inventory!L26)</f>
        <v>0</v>
      </c>
    </row>
    <row r="27" spans="1:16" s="29" customFormat="1" ht="15" customHeight="1">
      <c r="A27" s="31" t="str">
        <f>IF(ISBLANK(Inventory!A27),"",Inventory!A27)</f>
        <v>Smirnoff Red</v>
      </c>
      <c r="B27" s="31" t="str">
        <f>IF(ISBLANK(Inventory!A27),"",Inventory!C27)</f>
        <v>70cl</v>
      </c>
      <c r="C27" s="187"/>
      <c r="D27" s="192"/>
      <c r="E27" s="187"/>
      <c r="F27" s="187"/>
      <c r="G27" s="187"/>
      <c r="H27" s="37">
        <f>IF(ISBLANK(Inventory!A27),0,C27+SUM('Stock Opening'!C27:E27)-SUM(E27:G27))</f>
        <v>0</v>
      </c>
      <c r="I27" s="35" t="str">
        <f>IF(OR(ISBLANK(J27),J27=0),"",Settings!$B$14)</f>
        <v/>
      </c>
      <c r="J27" s="30">
        <f>IF(ISBLANK(C27),0,C27*Inventory!F27)</f>
        <v>0</v>
      </c>
      <c r="K27" s="35" t="str">
        <f>IF(OR(ISBLANK(L27),L27=0),"",Settings!$B$14)</f>
        <v/>
      </c>
      <c r="L27" s="30">
        <f>IF(ISBLANK(Inventory!A27),0,SUM(E27:G27)*Inventory!F27)</f>
        <v>0</v>
      </c>
      <c r="M27" s="35" t="str">
        <f>IF(OR(ISBLANK(N27),N27=0),"",Settings!$B$14)</f>
        <v/>
      </c>
      <c r="N27" s="30">
        <f>IF(ISBLANK(Inventory!A27),0,SUM(E27:G27)*Inventory!L27)</f>
        <v>0</v>
      </c>
      <c r="O27" s="35" t="str">
        <f>IF(OR(ISBLANK(P27),P27=0),"",Settings!$B$14)</f>
        <v/>
      </c>
      <c r="P27" s="30">
        <f>IF(ISBLANK(Inventory!A27),0,H27*Inventory!L27)</f>
        <v>0</v>
      </c>
    </row>
    <row r="28" spans="1:16" s="29" customFormat="1" ht="15" customHeight="1">
      <c r="A28" s="31" t="str">
        <f>IF(ISBLANK(Inventory!A28),"",Inventory!A28)</f>
        <v>Smirnoff Red</v>
      </c>
      <c r="B28" s="31" t="str">
        <f>IF(ISBLANK(Inventory!A28),"",Inventory!C28)</f>
        <v>1.5Ltr</v>
      </c>
      <c r="C28" s="187"/>
      <c r="D28" s="192"/>
      <c r="E28" s="187"/>
      <c r="F28" s="187"/>
      <c r="G28" s="187"/>
      <c r="H28" s="37">
        <f>IF(ISBLANK(Inventory!A28),0,C28+SUM('Stock Opening'!C28:E28)-SUM(E28:G28))</f>
        <v>0</v>
      </c>
      <c r="I28" s="35" t="str">
        <f>IF(OR(ISBLANK(J28),J28=0),"",Settings!$B$14)</f>
        <v/>
      </c>
      <c r="J28" s="30">
        <f>IF(ISBLANK(C28),0,C28*Inventory!F28)</f>
        <v>0</v>
      </c>
      <c r="K28" s="35" t="str">
        <f>IF(OR(ISBLANK(L28),L28=0),"",Settings!$B$14)</f>
        <v/>
      </c>
      <c r="L28" s="30">
        <f>IF(ISBLANK(Inventory!A28),0,SUM(E28:G28)*Inventory!F28)</f>
        <v>0</v>
      </c>
      <c r="M28" s="35" t="str">
        <f>IF(OR(ISBLANK(N28),N28=0),"",Settings!$B$14)</f>
        <v/>
      </c>
      <c r="N28" s="30">
        <f>IF(ISBLANK(Inventory!A28),0,SUM(E28:G28)*Inventory!L28)</f>
        <v>0</v>
      </c>
      <c r="O28" s="35" t="str">
        <f>IF(OR(ISBLANK(P28),P28=0),"",Settings!$B$14)</f>
        <v/>
      </c>
      <c r="P28" s="30">
        <f>IF(ISBLANK(Inventory!A28),0,H28*Inventory!L28)</f>
        <v>0</v>
      </c>
    </row>
    <row r="29" spans="1:16" s="29" customFormat="1" ht="15" customHeight="1">
      <c r="A29" s="31" t="str">
        <f>IF(ISBLANK(Inventory!A29),"",Inventory!A29)</f>
        <v>Absolut</v>
      </c>
      <c r="B29" s="31" t="str">
        <f>IF(ISBLANK(Inventory!A29),"",Inventory!C29)</f>
        <v>70cl</v>
      </c>
      <c r="C29" s="187"/>
      <c r="D29" s="192"/>
      <c r="E29" s="187"/>
      <c r="F29" s="187"/>
      <c r="G29" s="187"/>
      <c r="H29" s="37">
        <f>IF(ISBLANK(Inventory!A29),0,C29+SUM('Stock Opening'!C29:E29)-SUM(E29:G29))</f>
        <v>0</v>
      </c>
      <c r="I29" s="35" t="str">
        <f>IF(OR(ISBLANK(J29),J29=0),"",Settings!$B$14)</f>
        <v/>
      </c>
      <c r="J29" s="30">
        <f>IF(ISBLANK(C29),0,C29*Inventory!F29)</f>
        <v>0</v>
      </c>
      <c r="K29" s="35" t="str">
        <f>IF(OR(ISBLANK(L29),L29=0),"",Settings!$B$14)</f>
        <v/>
      </c>
      <c r="L29" s="30">
        <f>IF(ISBLANK(Inventory!A29),0,SUM(E29:G29)*Inventory!F29)</f>
        <v>0</v>
      </c>
      <c r="M29" s="35" t="str">
        <f>IF(OR(ISBLANK(N29),N29=0),"",Settings!$B$14)</f>
        <v/>
      </c>
      <c r="N29" s="30">
        <f>IF(ISBLANK(Inventory!A29),0,SUM(E29:G29)*Inventory!L29)</f>
        <v>0</v>
      </c>
      <c r="O29" s="35" t="str">
        <f>IF(OR(ISBLANK(P29),P29=0),"",Settings!$B$14)</f>
        <v/>
      </c>
      <c r="P29" s="30">
        <f>IF(ISBLANK(Inventory!A29),0,H29*Inventory!L29)</f>
        <v>0</v>
      </c>
    </row>
    <row r="30" spans="1:16" s="29" customFormat="1" ht="15" customHeight="1">
      <c r="A30" s="31" t="str">
        <f>IF(ISBLANK(Inventory!A30),"",Inventory!A30)</f>
        <v>Captain Morgan</v>
      </c>
      <c r="B30" s="31" t="str">
        <f>IF(ISBLANK(Inventory!A30),"",Inventory!C30)</f>
        <v>70cl</v>
      </c>
      <c r="C30" s="187"/>
      <c r="D30" s="192"/>
      <c r="E30" s="187"/>
      <c r="F30" s="187"/>
      <c r="G30" s="187"/>
      <c r="H30" s="37">
        <f>IF(ISBLANK(Inventory!A30),0,C30+SUM('Stock Opening'!C30:E30)-SUM(E30:G30))</f>
        <v>0</v>
      </c>
      <c r="I30" s="35" t="str">
        <f>IF(OR(ISBLANK(J30),J30=0),"",Settings!$B$14)</f>
        <v/>
      </c>
      <c r="J30" s="30">
        <f>IF(ISBLANK(C30),0,C30*Inventory!F30)</f>
        <v>0</v>
      </c>
      <c r="K30" s="35" t="str">
        <f>IF(OR(ISBLANK(L30),L30=0),"",Settings!$B$14)</f>
        <v/>
      </c>
      <c r="L30" s="30">
        <f>IF(ISBLANK(Inventory!A30),0,SUM(E30:G30)*Inventory!F30)</f>
        <v>0</v>
      </c>
      <c r="M30" s="35" t="str">
        <f>IF(OR(ISBLANK(N30),N30=0),"",Settings!$B$14)</f>
        <v/>
      </c>
      <c r="N30" s="30">
        <f>IF(ISBLANK(Inventory!A30),0,SUM(E30:G30)*Inventory!L30)</f>
        <v>0</v>
      </c>
      <c r="O30" s="35" t="str">
        <f>IF(OR(ISBLANK(P30),P30=0),"",Settings!$B$14)</f>
        <v/>
      </c>
      <c r="P30" s="30">
        <f>IF(ISBLANK(Inventory!A30),0,H30*Inventory!L30)</f>
        <v>0</v>
      </c>
    </row>
    <row r="31" spans="1:16" s="29" customFormat="1" ht="15" customHeight="1">
      <c r="A31" s="31" t="str">
        <f>IF(ISBLANK(Inventory!A31),"",Inventory!A31)</f>
        <v>Bacardi</v>
      </c>
      <c r="B31" s="31" t="str">
        <f>IF(ISBLANK(Inventory!A31),"",Inventory!C31)</f>
        <v>70cl</v>
      </c>
      <c r="C31" s="187"/>
      <c r="D31" s="192"/>
      <c r="E31" s="187"/>
      <c r="F31" s="187"/>
      <c r="G31" s="187"/>
      <c r="H31" s="37">
        <f>IF(ISBLANK(Inventory!A31),0,C31+SUM('Stock Opening'!C31:E31)-SUM(E31:G31))</f>
        <v>0</v>
      </c>
      <c r="I31" s="35" t="str">
        <f>IF(OR(ISBLANK(J31),J31=0),"",Settings!$B$14)</f>
        <v/>
      </c>
      <c r="J31" s="30">
        <f>IF(ISBLANK(C31),0,C31*Inventory!F31)</f>
        <v>0</v>
      </c>
      <c r="K31" s="35" t="str">
        <f>IF(OR(ISBLANK(L31),L31=0),"",Settings!$B$14)</f>
        <v/>
      </c>
      <c r="L31" s="30">
        <f>IF(ISBLANK(Inventory!A31),0,SUM(E31:G31)*Inventory!F31)</f>
        <v>0</v>
      </c>
      <c r="M31" s="35" t="str">
        <f>IF(OR(ISBLANK(N31),N31=0),"",Settings!$B$14)</f>
        <v/>
      </c>
      <c r="N31" s="30">
        <f>IF(ISBLANK(Inventory!A31),0,SUM(E31:G31)*Inventory!L31)</f>
        <v>0</v>
      </c>
      <c r="O31" s="35" t="str">
        <f>IF(OR(ISBLANK(P31),P31=0),"",Settings!$B$14)</f>
        <v/>
      </c>
      <c r="P31" s="30">
        <f>IF(ISBLANK(Inventory!A31),0,H31*Inventory!L31)</f>
        <v>0</v>
      </c>
    </row>
    <row r="32" spans="1:16" s="29" customFormat="1" ht="15" customHeight="1">
      <c r="A32" s="31" t="str">
        <f>IF(ISBLANK(Inventory!A32),"",Inventory!A32)</f>
        <v>Bacardi</v>
      </c>
      <c r="B32" s="31" t="str">
        <f>IF(ISBLANK(Inventory!A32),"",Inventory!C32)</f>
        <v>1.5Ltr</v>
      </c>
      <c r="C32" s="187"/>
      <c r="D32" s="192"/>
      <c r="E32" s="187"/>
      <c r="F32" s="187"/>
      <c r="G32" s="187"/>
      <c r="H32" s="37">
        <f>IF(ISBLANK(Inventory!A32),0,C32+SUM('Stock Opening'!C32:E32)-SUM(E32:G32))</f>
        <v>0</v>
      </c>
      <c r="I32" s="35" t="str">
        <f>IF(OR(ISBLANK(J32),J32=0),"",Settings!$B$14)</f>
        <v/>
      </c>
      <c r="J32" s="30">
        <f>IF(ISBLANK(C32),0,C32*Inventory!F32)</f>
        <v>0</v>
      </c>
      <c r="K32" s="35" t="str">
        <f>IF(OR(ISBLANK(L32),L32=0),"",Settings!$B$14)</f>
        <v/>
      </c>
      <c r="L32" s="30">
        <f>IF(ISBLANK(Inventory!A32),0,SUM(E32:G32)*Inventory!F32)</f>
        <v>0</v>
      </c>
      <c r="M32" s="35" t="str">
        <f>IF(OR(ISBLANK(N32),N32=0),"",Settings!$B$14)</f>
        <v/>
      </c>
      <c r="N32" s="30">
        <f>IF(ISBLANK(Inventory!A32),0,SUM(E32:G32)*Inventory!L32)</f>
        <v>0</v>
      </c>
      <c r="O32" s="35" t="str">
        <f>IF(OR(ISBLANK(P32),P32=0),"",Settings!$B$14)</f>
        <v/>
      </c>
      <c r="P32" s="30">
        <f>IF(ISBLANK(Inventory!A32),0,H32*Inventory!L32)</f>
        <v>0</v>
      </c>
    </row>
    <row r="33" spans="1:16" s="29" customFormat="1" ht="15" customHeight="1">
      <c r="A33" s="31" t="str">
        <f>IF(ISBLANK(Inventory!A33),"",Inventory!A33)</f>
        <v>Martell ***</v>
      </c>
      <c r="B33" s="31" t="str">
        <f>IF(ISBLANK(Inventory!A33),"",Inventory!C33)</f>
        <v>70cl</v>
      </c>
      <c r="C33" s="187"/>
      <c r="D33" s="192"/>
      <c r="E33" s="187"/>
      <c r="F33" s="187"/>
      <c r="G33" s="187"/>
      <c r="H33" s="37">
        <f>IF(ISBLANK(Inventory!A33),0,C33+SUM('Stock Opening'!C33:E33)-SUM(E33:G33))</f>
        <v>0</v>
      </c>
      <c r="I33" s="35" t="str">
        <f>IF(OR(ISBLANK(J33),J33=0),"",Settings!$B$14)</f>
        <v/>
      </c>
      <c r="J33" s="30">
        <f>IF(ISBLANK(C33),0,C33*Inventory!F33)</f>
        <v>0</v>
      </c>
      <c r="K33" s="35" t="str">
        <f>IF(OR(ISBLANK(L33),L33=0),"",Settings!$B$14)</f>
        <v/>
      </c>
      <c r="L33" s="30">
        <f>IF(ISBLANK(Inventory!A33),0,SUM(E33:G33)*Inventory!F33)</f>
        <v>0</v>
      </c>
      <c r="M33" s="35" t="str">
        <f>IF(OR(ISBLANK(N33),N33=0),"",Settings!$B$14)</f>
        <v/>
      </c>
      <c r="N33" s="30">
        <f>IF(ISBLANK(Inventory!A33),0,SUM(E33:G33)*Inventory!L33)</f>
        <v>0</v>
      </c>
      <c r="O33" s="35" t="str">
        <f>IF(OR(ISBLANK(P33),P33=0),"",Settings!$B$14)</f>
        <v/>
      </c>
      <c r="P33" s="30">
        <f>IF(ISBLANK(Inventory!A33),0,H33*Inventory!L33)</f>
        <v>0</v>
      </c>
    </row>
    <row r="34" spans="1:16" s="29" customFormat="1" ht="15" customHeight="1">
      <c r="A34" s="31" t="str">
        <f>IF(ISBLANK(Inventory!A34),"",Inventory!A34)</f>
        <v>Martell ***</v>
      </c>
      <c r="B34" s="31" t="str">
        <f>IF(ISBLANK(Inventory!A34),"",Inventory!C34)</f>
        <v>1.5Ltr</v>
      </c>
      <c r="C34" s="187"/>
      <c r="D34" s="192"/>
      <c r="E34" s="187"/>
      <c r="F34" s="187"/>
      <c r="G34" s="187"/>
      <c r="H34" s="37">
        <f>IF(ISBLANK(Inventory!A34),0,C34+SUM('Stock Opening'!C34:E34)-SUM(E34:G34))</f>
        <v>0</v>
      </c>
      <c r="I34" s="35" t="str">
        <f>IF(OR(ISBLANK(J34),J34=0),"",Settings!$B$14)</f>
        <v/>
      </c>
      <c r="J34" s="30">
        <f>IF(ISBLANK(C34),0,C34*Inventory!F34)</f>
        <v>0</v>
      </c>
      <c r="K34" s="35" t="str">
        <f>IF(OR(ISBLANK(L34),L34=0),"",Settings!$B$14)</f>
        <v/>
      </c>
      <c r="L34" s="30">
        <f>IF(ISBLANK(Inventory!A34),0,SUM(E34:G34)*Inventory!F34)</f>
        <v>0</v>
      </c>
      <c r="M34" s="35" t="str">
        <f>IF(OR(ISBLANK(N34),N34=0),"",Settings!$B$14)</f>
        <v/>
      </c>
      <c r="N34" s="30">
        <f>IF(ISBLANK(Inventory!A34),0,SUM(E34:G34)*Inventory!L34)</f>
        <v>0</v>
      </c>
      <c r="O34" s="35" t="str">
        <f>IF(OR(ISBLANK(P34),P34=0),"",Settings!$B$14)</f>
        <v/>
      </c>
      <c r="P34" s="30">
        <f>IF(ISBLANK(Inventory!A34),0,H34*Inventory!L34)</f>
        <v>0</v>
      </c>
    </row>
    <row r="35" spans="1:16" s="29" customFormat="1" ht="15" customHeight="1">
      <c r="A35" s="31" t="str">
        <f>IF(ISBLANK(Inventory!A35),"",Inventory!A35)</f>
        <v>Remy Martin</v>
      </c>
      <c r="B35" s="31" t="str">
        <f>IF(ISBLANK(Inventory!A35),"",Inventory!C35)</f>
        <v>70cl</v>
      </c>
      <c r="C35" s="187"/>
      <c r="D35" s="192"/>
      <c r="E35" s="187"/>
      <c r="F35" s="187"/>
      <c r="G35" s="187"/>
      <c r="H35" s="37">
        <f>IF(ISBLANK(Inventory!A35),0,C35+SUM('Stock Opening'!C35:E35)-SUM(E35:G35))</f>
        <v>0</v>
      </c>
      <c r="I35" s="35" t="str">
        <f>IF(OR(ISBLANK(J35),J35=0),"",Settings!$B$14)</f>
        <v/>
      </c>
      <c r="J35" s="30">
        <f>IF(ISBLANK(C35),0,C35*Inventory!F35)</f>
        <v>0</v>
      </c>
      <c r="K35" s="35" t="str">
        <f>IF(OR(ISBLANK(L35),L35=0),"",Settings!$B$14)</f>
        <v/>
      </c>
      <c r="L35" s="30">
        <f>IF(ISBLANK(Inventory!A35),0,SUM(E35:G35)*Inventory!F35)</f>
        <v>0</v>
      </c>
      <c r="M35" s="35" t="str">
        <f>IF(OR(ISBLANK(N35),N35=0),"",Settings!$B$14)</f>
        <v/>
      </c>
      <c r="N35" s="30">
        <f>IF(ISBLANK(Inventory!A35),0,SUM(E35:G35)*Inventory!L35)</f>
        <v>0</v>
      </c>
      <c r="O35" s="35" t="str">
        <f>IF(OR(ISBLANK(P35),P35=0),"",Settings!$B$14)</f>
        <v/>
      </c>
      <c r="P35" s="30">
        <f>IF(ISBLANK(Inventory!A35),0,H35*Inventory!L35)</f>
        <v>0</v>
      </c>
    </row>
    <row r="36" spans="1:16" s="29" customFormat="1" ht="15" customHeight="1">
      <c r="A36" s="31" t="str">
        <f>IF(ISBLANK(Inventory!A36),"",Inventory!A36)</f>
        <v>Baileys</v>
      </c>
      <c r="B36" s="31" t="str">
        <f>IF(ISBLANK(Inventory!A36),"",Inventory!C36)</f>
        <v>70cl</v>
      </c>
      <c r="C36" s="187"/>
      <c r="D36" s="192"/>
      <c r="E36" s="187"/>
      <c r="F36" s="187"/>
      <c r="G36" s="187"/>
      <c r="H36" s="37">
        <f>IF(ISBLANK(Inventory!A36),0,C36+SUM('Stock Opening'!C36:E36)-SUM(E36:G36))</f>
        <v>0</v>
      </c>
      <c r="I36" s="35" t="str">
        <f>IF(OR(ISBLANK(J36),J36=0),"",Settings!$B$14)</f>
        <v/>
      </c>
      <c r="J36" s="30">
        <f>IF(ISBLANK(C36),0,C36*Inventory!F36)</f>
        <v>0</v>
      </c>
      <c r="K36" s="35" t="str">
        <f>IF(OR(ISBLANK(L36),L36=0),"",Settings!$B$14)</f>
        <v/>
      </c>
      <c r="L36" s="30">
        <f>IF(ISBLANK(Inventory!A36),0,SUM(E36:G36)*Inventory!F36)</f>
        <v>0</v>
      </c>
      <c r="M36" s="35" t="str">
        <f>IF(OR(ISBLANK(N36),N36=0),"",Settings!$B$14)</f>
        <v/>
      </c>
      <c r="N36" s="30">
        <f>IF(ISBLANK(Inventory!A36),0,SUM(E36:G36)*Inventory!L36)</f>
        <v>0</v>
      </c>
      <c r="O36" s="35" t="str">
        <f>IF(OR(ISBLANK(P36),P36=0),"",Settings!$B$14)</f>
        <v/>
      </c>
      <c r="P36" s="30">
        <f>IF(ISBLANK(Inventory!A36),0,H36*Inventory!L36)</f>
        <v>0</v>
      </c>
    </row>
    <row r="37" spans="1:16" s="29" customFormat="1" ht="15" customHeight="1">
      <c r="A37" s="31" t="str">
        <f>IF(ISBLANK(Inventory!A37),"",Inventory!A37)</f>
        <v>Baileys</v>
      </c>
      <c r="B37" s="31" t="str">
        <f>IF(ISBLANK(Inventory!A37),"",Inventory!C37)</f>
        <v>1.5Ltr</v>
      </c>
      <c r="C37" s="187"/>
      <c r="D37" s="192"/>
      <c r="E37" s="187"/>
      <c r="F37" s="187"/>
      <c r="G37" s="187"/>
      <c r="H37" s="37">
        <f>IF(ISBLANK(Inventory!A37),0,C37+SUM('Stock Opening'!C37:E37)-SUM(E37:G37))</f>
        <v>0</v>
      </c>
      <c r="I37" s="35" t="str">
        <f>IF(OR(ISBLANK(J37),J37=0),"",Settings!$B$14)</f>
        <v/>
      </c>
      <c r="J37" s="30">
        <f>IF(ISBLANK(C37),0,C37*Inventory!F37)</f>
        <v>0</v>
      </c>
      <c r="K37" s="35" t="str">
        <f>IF(OR(ISBLANK(L37),L37=0),"",Settings!$B$14)</f>
        <v/>
      </c>
      <c r="L37" s="30">
        <f>IF(ISBLANK(Inventory!A37),0,SUM(E37:G37)*Inventory!F37)</f>
        <v>0</v>
      </c>
      <c r="M37" s="35" t="str">
        <f>IF(OR(ISBLANK(N37),N37=0),"",Settings!$B$14)</f>
        <v/>
      </c>
      <c r="N37" s="30">
        <f>IF(ISBLANK(Inventory!A37),0,SUM(E37:G37)*Inventory!L37)</f>
        <v>0</v>
      </c>
      <c r="O37" s="35" t="str">
        <f>IF(OR(ISBLANK(P37),P37=0),"",Settings!$B$14)</f>
        <v/>
      </c>
      <c r="P37" s="30">
        <f>IF(ISBLANK(Inventory!A37),0,H37*Inventory!L37)</f>
        <v>0</v>
      </c>
    </row>
    <row r="38" spans="1:16" s="29" customFormat="1" ht="15" customHeight="1">
      <c r="A38" s="31" t="str">
        <f>IF(ISBLANK(Inventory!A38),"",Inventory!A38)</f>
        <v>Cointreau</v>
      </c>
      <c r="B38" s="31" t="str">
        <f>IF(ISBLANK(Inventory!A38),"",Inventory!C38)</f>
        <v>70cl</v>
      </c>
      <c r="C38" s="187"/>
      <c r="D38" s="192"/>
      <c r="E38" s="187"/>
      <c r="F38" s="187"/>
      <c r="G38" s="187"/>
      <c r="H38" s="37">
        <f>IF(ISBLANK(Inventory!A38),0,C38+SUM('Stock Opening'!C38:E38)-SUM(E38:G38))</f>
        <v>0</v>
      </c>
      <c r="I38" s="35" t="str">
        <f>IF(OR(ISBLANK(J38),J38=0),"",Settings!$B$14)</f>
        <v/>
      </c>
      <c r="J38" s="30">
        <f>IF(ISBLANK(C38),0,C38*Inventory!F38)</f>
        <v>0</v>
      </c>
      <c r="K38" s="35" t="str">
        <f>IF(OR(ISBLANK(L38),L38=0),"",Settings!$B$14)</f>
        <v/>
      </c>
      <c r="L38" s="30">
        <f>IF(ISBLANK(Inventory!A38),0,SUM(E38:G38)*Inventory!F38)</f>
        <v>0</v>
      </c>
      <c r="M38" s="35" t="str">
        <f>IF(OR(ISBLANK(N38),N38=0),"",Settings!$B$14)</f>
        <v/>
      </c>
      <c r="N38" s="30">
        <f>IF(ISBLANK(Inventory!A38),0,SUM(E38:G38)*Inventory!L38)</f>
        <v>0</v>
      </c>
      <c r="O38" s="35" t="str">
        <f>IF(OR(ISBLANK(P38),P38=0),"",Settings!$B$14)</f>
        <v/>
      </c>
      <c r="P38" s="30">
        <f>IF(ISBLANK(Inventory!A38),0,H38*Inventory!L38)</f>
        <v>0</v>
      </c>
    </row>
    <row r="39" spans="1:16" s="29" customFormat="1" ht="15" customHeight="1">
      <c r="A39" s="31" t="str">
        <f>IF(ISBLANK(Inventory!A39),"",Inventory!A39)</f>
        <v>Drambuie</v>
      </c>
      <c r="B39" s="31" t="str">
        <f>IF(ISBLANK(Inventory!A39),"",Inventory!C39)</f>
        <v>70cl</v>
      </c>
      <c r="C39" s="187"/>
      <c r="D39" s="192"/>
      <c r="E39" s="187"/>
      <c r="F39" s="187"/>
      <c r="G39" s="187"/>
      <c r="H39" s="37">
        <f>IF(ISBLANK(Inventory!A39),0,C39+SUM('Stock Opening'!C39:E39)-SUM(E39:G39))</f>
        <v>0</v>
      </c>
      <c r="I39" s="35" t="str">
        <f>IF(OR(ISBLANK(J39),J39=0),"",Settings!$B$14)</f>
        <v/>
      </c>
      <c r="J39" s="30">
        <f>IF(ISBLANK(C39),0,C39*Inventory!F39)</f>
        <v>0</v>
      </c>
      <c r="K39" s="35" t="str">
        <f>IF(OR(ISBLANK(L39),L39=0),"",Settings!$B$14)</f>
        <v/>
      </c>
      <c r="L39" s="30">
        <f>IF(ISBLANK(Inventory!A39),0,SUM(E39:G39)*Inventory!F39)</f>
        <v>0</v>
      </c>
      <c r="M39" s="35" t="str">
        <f>IF(OR(ISBLANK(N39),N39=0),"",Settings!$B$14)</f>
        <v/>
      </c>
      <c r="N39" s="30">
        <f>IF(ISBLANK(Inventory!A39),0,SUM(E39:G39)*Inventory!L39)</f>
        <v>0</v>
      </c>
      <c r="O39" s="35" t="str">
        <f>IF(OR(ISBLANK(P39),P39=0),"",Settings!$B$14)</f>
        <v/>
      </c>
      <c r="P39" s="30">
        <f>IF(ISBLANK(Inventory!A39),0,H39*Inventory!L39)</f>
        <v>0</v>
      </c>
    </row>
    <row r="40" spans="1:16" s="29" customFormat="1" ht="15" customHeight="1">
      <c r="A40" s="31" t="str">
        <f>IF(ISBLANK(Inventory!A40),"",Inventory!A40)</f>
        <v>Malibu</v>
      </c>
      <c r="B40" s="31" t="str">
        <f>IF(ISBLANK(Inventory!A40),"",Inventory!C40)</f>
        <v>70cl</v>
      </c>
      <c r="C40" s="187"/>
      <c r="D40" s="192"/>
      <c r="E40" s="187"/>
      <c r="F40" s="187"/>
      <c r="G40" s="187"/>
      <c r="H40" s="37">
        <f>IF(ISBLANK(Inventory!A40),0,C40+SUM('Stock Opening'!C40:E40)-SUM(E40:G40))</f>
        <v>0</v>
      </c>
      <c r="I40" s="35" t="str">
        <f>IF(OR(ISBLANK(J40),J40=0),"",Settings!$B$14)</f>
        <v/>
      </c>
      <c r="J40" s="30">
        <f>IF(ISBLANK(C40),0,C40*Inventory!F40)</f>
        <v>0</v>
      </c>
      <c r="K40" s="35" t="str">
        <f>IF(OR(ISBLANK(L40),L40=0),"",Settings!$B$14)</f>
        <v/>
      </c>
      <c r="L40" s="30">
        <f>IF(ISBLANK(Inventory!A40),0,SUM(E40:G40)*Inventory!F40)</f>
        <v>0</v>
      </c>
      <c r="M40" s="35" t="str">
        <f>IF(OR(ISBLANK(N40),N40=0),"",Settings!$B$14)</f>
        <v/>
      </c>
      <c r="N40" s="30">
        <f>IF(ISBLANK(Inventory!A40),0,SUM(E40:G40)*Inventory!L40)</f>
        <v>0</v>
      </c>
      <c r="O40" s="35" t="str">
        <f>IF(OR(ISBLANK(P40),P40=0),"",Settings!$B$14)</f>
        <v/>
      </c>
      <c r="P40" s="30">
        <f>IF(ISBLANK(Inventory!A40),0,H40*Inventory!L40)</f>
        <v>0</v>
      </c>
    </row>
    <row r="41" spans="1:16" s="29" customFormat="1" ht="15" customHeight="1">
      <c r="A41" s="31" t="str">
        <f>IF(ISBLANK(Inventory!A41),"",Inventory!A41)</f>
        <v>Malibu</v>
      </c>
      <c r="B41" s="31" t="str">
        <f>IF(ISBLANK(Inventory!A41),"",Inventory!C41)</f>
        <v>1.5Ltr</v>
      </c>
      <c r="C41" s="187"/>
      <c r="D41" s="192"/>
      <c r="E41" s="187"/>
      <c r="F41" s="187"/>
      <c r="G41" s="187"/>
      <c r="H41" s="37">
        <f>IF(ISBLANK(Inventory!A41),0,C41+SUM('Stock Opening'!C41:E41)-SUM(E41:G41))</f>
        <v>0</v>
      </c>
      <c r="I41" s="35" t="str">
        <f>IF(OR(ISBLANK(J41),J41=0),"",Settings!$B$14)</f>
        <v/>
      </c>
      <c r="J41" s="30">
        <f>IF(ISBLANK(C41),0,C41*Inventory!F41)</f>
        <v>0</v>
      </c>
      <c r="K41" s="35" t="str">
        <f>IF(OR(ISBLANK(L41),L41=0),"",Settings!$B$14)</f>
        <v/>
      </c>
      <c r="L41" s="30">
        <f>IF(ISBLANK(Inventory!A41),0,SUM(E41:G41)*Inventory!F41)</f>
        <v>0</v>
      </c>
      <c r="M41" s="35" t="str">
        <f>IF(OR(ISBLANK(N41),N41=0),"",Settings!$B$14)</f>
        <v/>
      </c>
      <c r="N41" s="30">
        <f>IF(ISBLANK(Inventory!A41),0,SUM(E41:G41)*Inventory!L41)</f>
        <v>0</v>
      </c>
      <c r="O41" s="35" t="str">
        <f>IF(OR(ISBLANK(P41),P41=0),"",Settings!$B$14)</f>
        <v/>
      </c>
      <c r="P41" s="30">
        <f>IF(ISBLANK(Inventory!A41),0,H41*Inventory!L41)</f>
        <v>0</v>
      </c>
    </row>
    <row r="42" spans="1:16" s="29" customFormat="1" ht="15" customHeight="1">
      <c r="A42" s="31" t="str">
        <f>IF(ISBLANK(Inventory!A42),"",Inventory!A42)</f>
        <v>Archers</v>
      </c>
      <c r="B42" s="31" t="str">
        <f>IF(ISBLANK(Inventory!A42),"",Inventory!C42)</f>
        <v>70cl</v>
      </c>
      <c r="C42" s="187"/>
      <c r="D42" s="192"/>
      <c r="E42" s="187"/>
      <c r="F42" s="187"/>
      <c r="G42" s="187"/>
      <c r="H42" s="37">
        <f>IF(ISBLANK(Inventory!A42),0,C42+SUM('Stock Opening'!C42:E42)-SUM(E42:G42))</f>
        <v>0</v>
      </c>
      <c r="I42" s="35" t="str">
        <f>IF(OR(ISBLANK(J42),J42=0),"",Settings!$B$14)</f>
        <v/>
      </c>
      <c r="J42" s="30">
        <f>IF(ISBLANK(C42),0,C42*Inventory!F42)</f>
        <v>0</v>
      </c>
      <c r="K42" s="35" t="str">
        <f>IF(OR(ISBLANK(L42),L42=0),"",Settings!$B$14)</f>
        <v/>
      </c>
      <c r="L42" s="30">
        <f>IF(ISBLANK(Inventory!A42),0,SUM(E42:G42)*Inventory!F42)</f>
        <v>0</v>
      </c>
      <c r="M42" s="35" t="str">
        <f>IF(OR(ISBLANK(N42),N42=0),"",Settings!$B$14)</f>
        <v/>
      </c>
      <c r="N42" s="30">
        <f>IF(ISBLANK(Inventory!A42),0,SUM(E42:G42)*Inventory!L42)</f>
        <v>0</v>
      </c>
      <c r="O42" s="35" t="str">
        <f>IF(OR(ISBLANK(P42),P42=0),"",Settings!$B$14)</f>
        <v/>
      </c>
      <c r="P42" s="30">
        <f>IF(ISBLANK(Inventory!A42),0,H42*Inventory!L42)</f>
        <v>0</v>
      </c>
    </row>
    <row r="43" spans="1:16" s="29" customFormat="1" ht="15" customHeight="1">
      <c r="A43" s="31" t="str">
        <f>IF(ISBLANK(Inventory!A43),"",Inventory!A43)</f>
        <v>Archers</v>
      </c>
      <c r="B43" s="31" t="str">
        <f>IF(ISBLANK(Inventory!A43),"",Inventory!C43)</f>
        <v>70cl</v>
      </c>
      <c r="C43" s="187"/>
      <c r="D43" s="192"/>
      <c r="E43" s="187"/>
      <c r="F43" s="187"/>
      <c r="G43" s="187"/>
      <c r="H43" s="37">
        <f>IF(ISBLANK(Inventory!A43),0,C43+SUM('Stock Opening'!C43:E43)-SUM(E43:G43))</f>
        <v>0</v>
      </c>
      <c r="I43" s="35" t="str">
        <f>IF(OR(ISBLANK(J43),J43=0),"",Settings!$B$14)</f>
        <v/>
      </c>
      <c r="J43" s="30">
        <f>IF(ISBLANK(C43),0,C43*Inventory!F43)</f>
        <v>0</v>
      </c>
      <c r="K43" s="35" t="str">
        <f>IF(OR(ISBLANK(L43),L43=0),"",Settings!$B$14)</f>
        <v/>
      </c>
      <c r="L43" s="30">
        <f>IF(ISBLANK(Inventory!A43),0,SUM(E43:G43)*Inventory!F43)</f>
        <v>0</v>
      </c>
      <c r="M43" s="35" t="str">
        <f>IF(OR(ISBLANK(N43),N43=0),"",Settings!$B$14)</f>
        <v/>
      </c>
      <c r="N43" s="30">
        <f>IF(ISBLANK(Inventory!A43),0,SUM(E43:G43)*Inventory!L43)</f>
        <v>0</v>
      </c>
      <c r="O43" s="35" t="str">
        <f>IF(OR(ISBLANK(P43),P43=0),"",Settings!$B$14)</f>
        <v/>
      </c>
      <c r="P43" s="30">
        <f>IF(ISBLANK(Inventory!A43),0,H43*Inventory!L43)</f>
        <v>0</v>
      </c>
    </row>
    <row r="44" spans="1:16" s="29" customFormat="1" ht="15" customHeight="1">
      <c r="A44" s="31" t="str">
        <f>IF(ISBLANK(Inventory!A44),"",Inventory!A44)</f>
        <v>Tequila</v>
      </c>
      <c r="B44" s="31" t="str">
        <f>IF(ISBLANK(Inventory!A44),"",Inventory!C44)</f>
        <v>70cl</v>
      </c>
      <c r="C44" s="187"/>
      <c r="D44" s="192"/>
      <c r="E44" s="187"/>
      <c r="F44" s="187"/>
      <c r="G44" s="187"/>
      <c r="H44" s="37">
        <f>IF(ISBLANK(Inventory!A44),0,C44+SUM('Stock Opening'!C44:E44)-SUM(E44:G44))</f>
        <v>0</v>
      </c>
      <c r="I44" s="35" t="str">
        <f>IF(OR(ISBLANK(J44),J44=0),"",Settings!$B$14)</f>
        <v/>
      </c>
      <c r="J44" s="30">
        <f>IF(ISBLANK(C44),0,C44*Inventory!F44)</f>
        <v>0</v>
      </c>
      <c r="K44" s="35" t="str">
        <f>IF(OR(ISBLANK(L44),L44=0),"",Settings!$B$14)</f>
        <v/>
      </c>
      <c r="L44" s="30">
        <f>IF(ISBLANK(Inventory!A44),0,SUM(E44:G44)*Inventory!F44)</f>
        <v>0</v>
      </c>
      <c r="M44" s="35" t="str">
        <f>IF(OR(ISBLANK(N44),N44=0),"",Settings!$B$14)</f>
        <v/>
      </c>
      <c r="N44" s="30">
        <f>IF(ISBLANK(Inventory!A44),0,SUM(E44:G44)*Inventory!L44)</f>
        <v>0</v>
      </c>
      <c r="O44" s="35" t="str">
        <f>IF(OR(ISBLANK(P44),P44=0),"",Settings!$B$14)</f>
        <v/>
      </c>
      <c r="P44" s="30">
        <f>IF(ISBLANK(Inventory!A44),0,H44*Inventory!L44)</f>
        <v>0</v>
      </c>
    </row>
    <row r="45" spans="1:16" s="29" customFormat="1" ht="15" customHeight="1">
      <c r="A45" s="31" t="str">
        <f>IF(ISBLANK(Inventory!A45),"",Inventory!A45)</f>
        <v>Luxardo Sambuca</v>
      </c>
      <c r="B45" s="31" t="str">
        <f>IF(ISBLANK(Inventory!A45),"",Inventory!C45)</f>
        <v>70cl</v>
      </c>
      <c r="C45" s="187"/>
      <c r="D45" s="192"/>
      <c r="E45" s="187"/>
      <c r="F45" s="187"/>
      <c r="G45" s="187"/>
      <c r="H45" s="37">
        <f>IF(ISBLANK(Inventory!A45),0,C45+SUM('Stock Opening'!C45:E45)-SUM(E45:G45))</f>
        <v>0</v>
      </c>
      <c r="I45" s="35" t="str">
        <f>IF(OR(ISBLANK(J45),J45=0),"",Settings!$B$14)</f>
        <v/>
      </c>
      <c r="J45" s="30">
        <f>IF(ISBLANK(C45),0,C45*Inventory!F45)</f>
        <v>0</v>
      </c>
      <c r="K45" s="35" t="str">
        <f>IF(OR(ISBLANK(L45),L45=0),"",Settings!$B$14)</f>
        <v/>
      </c>
      <c r="L45" s="30">
        <f>IF(ISBLANK(Inventory!A45),0,SUM(E45:G45)*Inventory!F45)</f>
        <v>0</v>
      </c>
      <c r="M45" s="35" t="str">
        <f>IF(OR(ISBLANK(N45),N45=0),"",Settings!$B$14)</f>
        <v/>
      </c>
      <c r="N45" s="30">
        <f>IF(ISBLANK(Inventory!A45),0,SUM(E45:G45)*Inventory!L45)</f>
        <v>0</v>
      </c>
      <c r="O45" s="35" t="str">
        <f>IF(OR(ISBLANK(P45),P45=0),"",Settings!$B$14)</f>
        <v/>
      </c>
      <c r="P45" s="30">
        <f>IF(ISBLANK(Inventory!A45),0,H45*Inventory!L45)</f>
        <v>0</v>
      </c>
    </row>
    <row r="46" spans="1:16" s="29" customFormat="1" ht="15" customHeight="1">
      <c r="A46" s="31" t="str">
        <f>IF(ISBLANK(Inventory!A46),"",Inventory!A46)</f>
        <v>Tia Maria</v>
      </c>
      <c r="B46" s="31" t="str">
        <f>IF(ISBLANK(Inventory!A46),"",Inventory!C46)</f>
        <v>70cl</v>
      </c>
      <c r="C46" s="187"/>
      <c r="D46" s="192"/>
      <c r="E46" s="187"/>
      <c r="F46" s="187"/>
      <c r="G46" s="187"/>
      <c r="H46" s="37">
        <f>IF(ISBLANK(Inventory!A46),0,C46+SUM('Stock Opening'!C46:E46)-SUM(E46:G46))</f>
        <v>0</v>
      </c>
      <c r="I46" s="35" t="str">
        <f>IF(OR(ISBLANK(J46),J46=0),"",Settings!$B$14)</f>
        <v/>
      </c>
      <c r="J46" s="30">
        <f>IF(ISBLANK(C46),0,C46*Inventory!F46)</f>
        <v>0</v>
      </c>
      <c r="K46" s="35" t="str">
        <f>IF(OR(ISBLANK(L46),L46=0),"",Settings!$B$14)</f>
        <v/>
      </c>
      <c r="L46" s="30">
        <f>IF(ISBLANK(Inventory!A46),0,SUM(E46:G46)*Inventory!F46)</f>
        <v>0</v>
      </c>
      <c r="M46" s="35" t="str">
        <f>IF(OR(ISBLANK(N46),N46=0),"",Settings!$B$14)</f>
        <v/>
      </c>
      <c r="N46" s="30">
        <f>IF(ISBLANK(Inventory!A46),0,SUM(E46:G46)*Inventory!L46)</f>
        <v>0</v>
      </c>
      <c r="O46" s="35" t="str">
        <f>IF(OR(ISBLANK(P46),P46=0),"",Settings!$B$14)</f>
        <v/>
      </c>
      <c r="P46" s="30">
        <f>IF(ISBLANK(Inventory!A46),0,H46*Inventory!L46)</f>
        <v>0</v>
      </c>
    </row>
    <row r="47" spans="1:16" s="29" customFormat="1" ht="15" customHeight="1">
      <c r="A47" s="31" t="str">
        <f>IF(ISBLANK(Inventory!A47),"",Inventory!A47)</f>
        <v>Tia Maria</v>
      </c>
      <c r="B47" s="31" t="str">
        <f>IF(ISBLANK(Inventory!A47),"",Inventory!C47)</f>
        <v>1.5ltr</v>
      </c>
      <c r="C47" s="187"/>
      <c r="D47" s="192"/>
      <c r="E47" s="187"/>
      <c r="F47" s="187"/>
      <c r="G47" s="187"/>
      <c r="H47" s="37">
        <f>IF(ISBLANK(Inventory!A47),0,C47+SUM('Stock Opening'!C47:E47)-SUM(E47:G47))</f>
        <v>0</v>
      </c>
      <c r="I47" s="35" t="str">
        <f>IF(OR(ISBLANK(J47),J47=0),"",Settings!$B$14)</f>
        <v/>
      </c>
      <c r="J47" s="30">
        <f>IF(ISBLANK(C47),0,C47*Inventory!F47)</f>
        <v>0</v>
      </c>
      <c r="K47" s="35" t="str">
        <f>IF(OR(ISBLANK(L47),L47=0),"",Settings!$B$14)</f>
        <v/>
      </c>
      <c r="L47" s="30">
        <f>IF(ISBLANK(Inventory!A47),0,SUM(E47:G47)*Inventory!F47)</f>
        <v>0</v>
      </c>
      <c r="M47" s="35" t="str">
        <f>IF(OR(ISBLANK(N47),N47=0),"",Settings!$B$14)</f>
        <v/>
      </c>
      <c r="N47" s="30">
        <f>IF(ISBLANK(Inventory!A47),0,SUM(E47:G47)*Inventory!L47)</f>
        <v>0</v>
      </c>
      <c r="O47" s="35" t="str">
        <f>IF(OR(ISBLANK(P47),P47=0),"",Settings!$B$14)</f>
        <v/>
      </c>
      <c r="P47" s="30">
        <f>IF(ISBLANK(Inventory!A47),0,H47*Inventory!L47)</f>
        <v>0</v>
      </c>
    </row>
    <row r="48" spans="1:16" s="29" customFormat="1" ht="15" customHeight="1">
      <c r="A48" s="31" t="str">
        <f>IF(ISBLANK(Inventory!A48),"",Inventory!A48)</f>
        <v/>
      </c>
      <c r="B48" s="31" t="str">
        <f>IF(ISBLANK(Inventory!A48),"",Inventory!C48)</f>
        <v/>
      </c>
      <c r="C48" s="187"/>
      <c r="D48" s="192"/>
      <c r="E48" s="187"/>
      <c r="F48" s="187"/>
      <c r="G48" s="187"/>
      <c r="H48" s="37">
        <f>IF(ISBLANK(Inventory!A48),0,C48+SUM('Stock Opening'!C48:E48)-SUM(E48:G48))</f>
        <v>0</v>
      </c>
      <c r="I48" s="35" t="str">
        <f>IF(OR(ISBLANK(J48),J48=0),"",Settings!$B$14)</f>
        <v/>
      </c>
      <c r="J48" s="30">
        <f>IF(ISBLANK(C48),0,C48*Inventory!F48)</f>
        <v>0</v>
      </c>
      <c r="K48" s="35" t="str">
        <f>IF(OR(ISBLANK(L48),L48=0),"",Settings!$B$14)</f>
        <v/>
      </c>
      <c r="L48" s="30">
        <f>IF(ISBLANK(Inventory!A48),0,SUM(E48:G48)*Inventory!F48)</f>
        <v>0</v>
      </c>
      <c r="M48" s="35" t="str">
        <f>IF(OR(ISBLANK(N48),N48=0),"",Settings!$B$14)</f>
        <v/>
      </c>
      <c r="N48" s="30">
        <f>IF(ISBLANK(Inventory!A48),0,SUM(E48:G48)*Inventory!L48)</f>
        <v>0</v>
      </c>
      <c r="O48" s="35" t="str">
        <f>IF(OR(ISBLANK(P48),P48=0),"",Settings!$B$14)</f>
        <v/>
      </c>
      <c r="P48" s="30">
        <f>IF(ISBLANK(Inventory!A48),0,H48*Inventory!L48)</f>
        <v>0</v>
      </c>
    </row>
    <row r="49" spans="1:16" s="29" customFormat="1" ht="15" customHeight="1">
      <c r="A49" s="31" t="str">
        <f>IF(ISBLANK(Inventory!A49),"",Inventory!A49)</f>
        <v/>
      </c>
      <c r="B49" s="31" t="str">
        <f>IF(ISBLANK(Inventory!A49),"",Inventory!C49)</f>
        <v/>
      </c>
      <c r="C49" s="187"/>
      <c r="D49" s="192"/>
      <c r="E49" s="187"/>
      <c r="F49" s="187"/>
      <c r="G49" s="187"/>
      <c r="H49" s="37">
        <f>IF(ISBLANK(Inventory!A49),0,C49+SUM('Stock Opening'!C49:E49)-SUM(E49:G49))</f>
        <v>0</v>
      </c>
      <c r="I49" s="35" t="str">
        <f>IF(OR(ISBLANK(J49),J49=0),"",Settings!$B$14)</f>
        <v/>
      </c>
      <c r="J49" s="30">
        <f>IF(ISBLANK(C49),0,C49*Inventory!F49)</f>
        <v>0</v>
      </c>
      <c r="K49" s="35" t="str">
        <f>IF(OR(ISBLANK(L49),L49=0),"",Settings!$B$14)</f>
        <v/>
      </c>
      <c r="L49" s="30">
        <f>IF(ISBLANK(Inventory!A49),0,SUM(E49:G49)*Inventory!F49)</f>
        <v>0</v>
      </c>
      <c r="M49" s="35" t="str">
        <f>IF(OR(ISBLANK(N49),N49=0),"",Settings!$B$14)</f>
        <v/>
      </c>
      <c r="N49" s="30">
        <f>IF(ISBLANK(Inventory!A49),0,SUM(E49:G49)*Inventory!L49)</f>
        <v>0</v>
      </c>
      <c r="O49" s="35" t="str">
        <f>IF(OR(ISBLANK(P49),P49=0),"",Settings!$B$14)</f>
        <v/>
      </c>
      <c r="P49" s="30">
        <f>IF(ISBLANK(Inventory!A49),0,H49*Inventory!L49)</f>
        <v>0</v>
      </c>
    </row>
    <row r="50" spans="1:16" s="29" customFormat="1" ht="15" customHeight="1">
      <c r="A50" s="31" t="str">
        <f>IF(ISBLANK(Inventory!A50),"",Inventory!A50)</f>
        <v/>
      </c>
      <c r="B50" s="31" t="str">
        <f>IF(ISBLANK(Inventory!A50),"",Inventory!C50)</f>
        <v/>
      </c>
      <c r="C50" s="187"/>
      <c r="D50" s="192"/>
      <c r="E50" s="187"/>
      <c r="F50" s="187"/>
      <c r="G50" s="187"/>
      <c r="H50" s="37">
        <f>IF(ISBLANK(Inventory!A50),0,C50+SUM('Stock Opening'!C50:E50)-SUM(E50:G50))</f>
        <v>0</v>
      </c>
      <c r="I50" s="35" t="str">
        <f>IF(OR(ISBLANK(J50),J50=0),"",Settings!$B$14)</f>
        <v/>
      </c>
      <c r="J50" s="30">
        <f>IF(ISBLANK(C50),0,C50*Inventory!F50)</f>
        <v>0</v>
      </c>
      <c r="K50" s="35" t="str">
        <f>IF(OR(ISBLANK(L50),L50=0),"",Settings!$B$14)</f>
        <v/>
      </c>
      <c r="L50" s="30">
        <f>IF(ISBLANK(Inventory!A50),0,SUM(E50:G50)*Inventory!F50)</f>
        <v>0</v>
      </c>
      <c r="M50" s="35" t="str">
        <f>IF(OR(ISBLANK(N50),N50=0),"",Settings!$B$14)</f>
        <v/>
      </c>
      <c r="N50" s="30">
        <f>IF(ISBLANK(Inventory!A50),0,SUM(E50:G50)*Inventory!L50)</f>
        <v>0</v>
      </c>
      <c r="O50" s="35" t="str">
        <f>IF(OR(ISBLANK(P50),P50=0),"",Settings!$B$14)</f>
        <v/>
      </c>
      <c r="P50" s="30">
        <f>IF(ISBLANK(Inventory!A50),0,H50*Inventory!L50)</f>
        <v>0</v>
      </c>
    </row>
    <row r="51" spans="1:16" s="29" customFormat="1" ht="15" customHeight="1">
      <c r="A51" s="31" t="str">
        <f>IF(ISBLANK(Inventory!A51),"",Inventory!A51)</f>
        <v/>
      </c>
      <c r="B51" s="31" t="str">
        <f>IF(ISBLANK(Inventory!A51),"",Inventory!C51)</f>
        <v/>
      </c>
      <c r="C51" s="187"/>
      <c r="D51" s="192"/>
      <c r="E51" s="187"/>
      <c r="F51" s="187"/>
      <c r="G51" s="187"/>
      <c r="H51" s="37">
        <f>IF(ISBLANK(Inventory!A51),0,C51+SUM('Stock Opening'!C51:E51)-SUM(E51:G51))</f>
        <v>0</v>
      </c>
      <c r="I51" s="35" t="str">
        <f>IF(OR(ISBLANK(J51),J51=0),"",Settings!$B$14)</f>
        <v/>
      </c>
      <c r="J51" s="30">
        <f>IF(ISBLANK(C51),0,C51*Inventory!F51)</f>
        <v>0</v>
      </c>
      <c r="K51" s="35" t="str">
        <f>IF(OR(ISBLANK(L51),L51=0),"",Settings!$B$14)</f>
        <v/>
      </c>
      <c r="L51" s="30">
        <f>IF(ISBLANK(Inventory!A51),0,SUM(E51:G51)*Inventory!F51)</f>
        <v>0</v>
      </c>
      <c r="M51" s="35" t="str">
        <f>IF(OR(ISBLANK(N51),N51=0),"",Settings!$B$14)</f>
        <v/>
      </c>
      <c r="N51" s="30">
        <f>IF(ISBLANK(Inventory!A51),0,SUM(E51:G51)*Inventory!L51)</f>
        <v>0</v>
      </c>
      <c r="O51" s="35" t="str">
        <f>IF(OR(ISBLANK(P51),P51=0),"",Settings!$B$14)</f>
        <v/>
      </c>
      <c r="P51" s="30">
        <f>IF(ISBLANK(Inventory!A51),0,H51*Inventory!L51)</f>
        <v>0</v>
      </c>
    </row>
    <row r="52" spans="1:16" s="29" customFormat="1" ht="15" customHeight="1">
      <c r="A52" s="31" t="str">
        <f>IF(ISBLANK(Inventory!A52),"",Inventory!A52)</f>
        <v/>
      </c>
      <c r="B52" s="31" t="str">
        <f>IF(ISBLANK(Inventory!A52),"",Inventory!C52)</f>
        <v/>
      </c>
      <c r="C52" s="187"/>
      <c r="D52" s="192"/>
      <c r="E52" s="187"/>
      <c r="F52" s="187"/>
      <c r="G52" s="187"/>
      <c r="H52" s="37">
        <f>IF(ISBLANK(Inventory!A52),0,C52+SUM('Stock Opening'!C52:E52)-SUM(E52:G52))</f>
        <v>0</v>
      </c>
      <c r="I52" s="35" t="str">
        <f>IF(OR(ISBLANK(J52),J52=0),"",Settings!$B$14)</f>
        <v/>
      </c>
      <c r="J52" s="30">
        <f>IF(ISBLANK(C52),0,C52*Inventory!F52)</f>
        <v>0</v>
      </c>
      <c r="K52" s="35" t="str">
        <f>IF(OR(ISBLANK(L52),L52=0),"",Settings!$B$14)</f>
        <v/>
      </c>
      <c r="L52" s="30">
        <f>IF(ISBLANK(Inventory!A52),0,SUM(E52:G52)*Inventory!F52)</f>
        <v>0</v>
      </c>
      <c r="M52" s="35" t="str">
        <f>IF(OR(ISBLANK(N52),N52=0),"",Settings!$B$14)</f>
        <v/>
      </c>
      <c r="N52" s="30">
        <f>IF(ISBLANK(Inventory!A52),0,SUM(E52:G52)*Inventory!L52)</f>
        <v>0</v>
      </c>
      <c r="O52" s="35" t="str">
        <f>IF(OR(ISBLANK(P52),P52=0),"",Settings!$B$14)</f>
        <v/>
      </c>
      <c r="P52" s="30">
        <f>IF(ISBLANK(Inventory!A52),0,H52*Inventory!L52)</f>
        <v>0</v>
      </c>
    </row>
    <row r="53" spans="1:16" s="29" customFormat="1" ht="15" customHeight="1">
      <c r="A53" s="31" t="str">
        <f>IF(ISBLANK(Inventory!A53),"",Inventory!A53)</f>
        <v/>
      </c>
      <c r="B53" s="31" t="str">
        <f>IF(ISBLANK(Inventory!A53),"",Inventory!C53)</f>
        <v/>
      </c>
      <c r="C53" s="187"/>
      <c r="D53" s="192"/>
      <c r="E53" s="187"/>
      <c r="F53" s="187"/>
      <c r="G53" s="187"/>
      <c r="H53" s="37">
        <f>IF(ISBLANK(Inventory!A53),0,C53+SUM('Stock Opening'!C53:E53)-SUM(E53:G53))</f>
        <v>0</v>
      </c>
      <c r="I53" s="35" t="str">
        <f>IF(OR(ISBLANK(J53),J53=0),"",Settings!$B$14)</f>
        <v/>
      </c>
      <c r="J53" s="30">
        <f>IF(ISBLANK(C53),0,C53*Inventory!F53)</f>
        <v>0</v>
      </c>
      <c r="K53" s="35" t="str">
        <f>IF(OR(ISBLANK(L53),L53=0),"",Settings!$B$14)</f>
        <v/>
      </c>
      <c r="L53" s="30">
        <f>IF(ISBLANK(Inventory!A53),0,SUM(E53:G53)*Inventory!F53)</f>
        <v>0</v>
      </c>
      <c r="M53" s="35" t="str">
        <f>IF(OR(ISBLANK(N53),N53=0),"",Settings!$B$14)</f>
        <v/>
      </c>
      <c r="N53" s="30">
        <f>IF(ISBLANK(Inventory!A53),0,SUM(E53:G53)*Inventory!L53)</f>
        <v>0</v>
      </c>
      <c r="O53" s="35" t="str">
        <f>IF(OR(ISBLANK(P53),P53=0),"",Settings!$B$14)</f>
        <v/>
      </c>
      <c r="P53" s="30">
        <f>IF(ISBLANK(Inventory!A53),0,H53*Inventory!L53)</f>
        <v>0</v>
      </c>
    </row>
    <row r="54" spans="1:16" s="29" customFormat="1" ht="15" customHeight="1">
      <c r="A54" s="31" t="str">
        <f>IF(ISBLANK(Inventory!A54),"",Inventory!A54)</f>
        <v/>
      </c>
      <c r="B54" s="31" t="str">
        <f>IF(ISBLANK(Inventory!A54),"",Inventory!C54)</f>
        <v/>
      </c>
      <c r="C54" s="187"/>
      <c r="D54" s="192"/>
      <c r="E54" s="187"/>
      <c r="F54" s="187"/>
      <c r="G54" s="187"/>
      <c r="H54" s="37">
        <f>IF(ISBLANK(Inventory!A54),0,C54+SUM('Stock Opening'!C54:E54)-SUM(E54:G54))</f>
        <v>0</v>
      </c>
      <c r="I54" s="35" t="str">
        <f>IF(OR(ISBLANK(J54),J54=0),"",Settings!$B$14)</f>
        <v/>
      </c>
      <c r="J54" s="30">
        <f>IF(ISBLANK(C54),0,C54*Inventory!F54)</f>
        <v>0</v>
      </c>
      <c r="K54" s="35" t="str">
        <f>IF(OR(ISBLANK(L54),L54=0),"",Settings!$B$14)</f>
        <v/>
      </c>
      <c r="L54" s="30">
        <f>IF(ISBLANK(Inventory!A54),0,SUM(E54:G54)*Inventory!F54)</f>
        <v>0</v>
      </c>
      <c r="M54" s="35" t="str">
        <f>IF(OR(ISBLANK(N54),N54=0),"",Settings!$B$14)</f>
        <v/>
      </c>
      <c r="N54" s="30">
        <f>IF(ISBLANK(Inventory!A54),0,SUM(E54:G54)*Inventory!L54)</f>
        <v>0</v>
      </c>
      <c r="O54" s="35" t="str">
        <f>IF(OR(ISBLANK(P54),P54=0),"",Settings!$B$14)</f>
        <v/>
      </c>
      <c r="P54" s="30">
        <f>IF(ISBLANK(Inventory!A54),0,H54*Inventory!L54)</f>
        <v>0</v>
      </c>
    </row>
    <row r="55" spans="1:16" s="29" customFormat="1" ht="15" customHeight="1">
      <c r="A55" s="31" t="str">
        <f>IF(ISBLANK(Inventory!A55),"",Inventory!A55)</f>
        <v/>
      </c>
      <c r="B55" s="31" t="str">
        <f>IF(ISBLANK(Inventory!A55),"",Inventory!C55)</f>
        <v/>
      </c>
      <c r="C55" s="187"/>
      <c r="D55" s="192"/>
      <c r="E55" s="187"/>
      <c r="F55" s="187"/>
      <c r="G55" s="187"/>
      <c r="H55" s="37">
        <f>IF(ISBLANK(Inventory!A55),0,C55+SUM('Stock Opening'!C55:E55)-SUM(E55:G55))</f>
        <v>0</v>
      </c>
      <c r="I55" s="35" t="str">
        <f>IF(OR(ISBLANK(J55),J55=0),"",Settings!$B$14)</f>
        <v/>
      </c>
      <c r="J55" s="30">
        <f>IF(ISBLANK(C55),0,C55*Inventory!F55)</f>
        <v>0</v>
      </c>
      <c r="K55" s="35" t="str">
        <f>IF(OR(ISBLANK(L55),L55=0),"",Settings!$B$14)</f>
        <v/>
      </c>
      <c r="L55" s="30">
        <f>IF(ISBLANK(Inventory!A55),0,SUM(E55:G55)*Inventory!F55)</f>
        <v>0</v>
      </c>
      <c r="M55" s="35" t="str">
        <f>IF(OR(ISBLANK(N55),N55=0),"",Settings!$B$14)</f>
        <v/>
      </c>
      <c r="N55" s="30">
        <f>IF(ISBLANK(Inventory!A55),0,SUM(E55:G55)*Inventory!L55)</f>
        <v>0</v>
      </c>
      <c r="O55" s="35" t="str">
        <f>IF(OR(ISBLANK(P55),P55=0),"",Settings!$B$14)</f>
        <v/>
      </c>
      <c r="P55" s="30">
        <f>IF(ISBLANK(Inventory!A55),0,H55*Inventory!L55)</f>
        <v>0</v>
      </c>
    </row>
    <row r="56" spans="1:16" ht="6.95" customHeight="1">
      <c r="A56" s="24"/>
      <c r="B56" s="24"/>
      <c r="C56" s="69"/>
      <c r="D56" s="69"/>
      <c r="E56" s="69"/>
      <c r="F56" s="69"/>
      <c r="G56" s="69"/>
      <c r="H56" s="69"/>
      <c r="I56" s="69"/>
      <c r="J56" s="69"/>
      <c r="K56" s="69"/>
      <c r="L56" s="25"/>
      <c r="M56" s="62"/>
      <c r="N56" s="160"/>
      <c r="O56" s="25"/>
      <c r="P56" s="160"/>
    </row>
    <row r="57" spans="1:16" s="50" customFormat="1" ht="18" customHeight="1" thickBot="1">
      <c r="A57" s="78" t="str">
        <f>Inventory!A57</f>
        <v>FORTIFIED WINES</v>
      </c>
      <c r="B57" s="78" t="str">
        <f>Inventory!C57</f>
        <v>VOLUME</v>
      </c>
      <c r="C57" s="22" t="s">
        <v>187</v>
      </c>
      <c r="D57" s="22"/>
      <c r="E57" s="22" t="s">
        <v>101</v>
      </c>
      <c r="F57" s="22" t="s">
        <v>102</v>
      </c>
      <c r="G57" s="23" t="s">
        <v>108</v>
      </c>
      <c r="H57" s="79" t="s">
        <v>119</v>
      </c>
      <c r="I57" s="253" t="s">
        <v>190</v>
      </c>
      <c r="J57" s="253"/>
      <c r="K57" s="235" t="s">
        <v>30</v>
      </c>
      <c r="L57" s="235"/>
      <c r="M57" s="235" t="s">
        <v>31</v>
      </c>
      <c r="N57" s="235"/>
      <c r="O57" s="235" t="s">
        <v>189</v>
      </c>
      <c r="P57" s="235"/>
    </row>
    <row r="58" spans="1:16" ht="6.95" customHeight="1" thickTop="1">
      <c r="A58" s="193"/>
      <c r="B58" s="194"/>
      <c r="C58" s="71"/>
      <c r="D58" s="71"/>
      <c r="E58" s="67"/>
      <c r="F58" s="67"/>
      <c r="G58" s="71"/>
      <c r="H58" s="71"/>
      <c r="I58" s="71"/>
      <c r="J58" s="71"/>
      <c r="K58" s="71"/>
      <c r="L58" s="67"/>
      <c r="M58" s="62"/>
      <c r="N58" s="67"/>
      <c r="O58" s="67"/>
      <c r="P58" s="67"/>
    </row>
    <row r="59" spans="1:16" s="29" customFormat="1" ht="15" customHeight="1">
      <c r="A59" s="31" t="str">
        <f>IF(ISBLANK(Inventory!A59),"",Inventory!A59)</f>
        <v>Cinzano Bianco</v>
      </c>
      <c r="B59" s="31" t="str">
        <f>IF(ISBLANK(Inventory!A59),"",Inventory!C59)</f>
        <v>75cl</v>
      </c>
      <c r="C59" s="187">
        <v>1</v>
      </c>
      <c r="D59" s="192"/>
      <c r="E59" s="187">
        <v>2</v>
      </c>
      <c r="F59" s="187">
        <v>0.5</v>
      </c>
      <c r="G59" s="187"/>
      <c r="H59" s="37">
        <f>IF(ISBLANK(Inventory!A59),0,C59+SUM('Stock Opening'!C59:E59)-SUM(E59:G59))</f>
        <v>0.20000000000000018</v>
      </c>
      <c r="I59" s="35" t="str">
        <f>IF(OR(ISBLANK(J59),J59=0),"",Settings!$B$14)</f>
        <v>$</v>
      </c>
      <c r="J59" s="30">
        <f>IF(ISBLANK(C59),0,C59*Inventory!F59)</f>
        <v>13.44</v>
      </c>
      <c r="K59" s="35" t="str">
        <f>IF(OR(ISBLANK(L59),L59=0),"",Settings!$B$14)</f>
        <v>$</v>
      </c>
      <c r="L59" s="30">
        <f>IF(ISBLANK(Inventory!A59),0,SUM(E59:G59)*Inventory!F59)</f>
        <v>33.6</v>
      </c>
      <c r="M59" s="35" t="str">
        <f>IF(OR(ISBLANK(N59),N59=0),"",Settings!$B$14)</f>
        <v>$</v>
      </c>
      <c r="N59" s="30">
        <f>IF(ISBLANK(Inventory!A59),0,SUM(E59:G59)*Inventory!L59)</f>
        <v>70.875</v>
      </c>
      <c r="O59" s="35" t="str">
        <f>IF(OR(ISBLANK(P59),P59=0),"",Settings!$B$14)</f>
        <v>$</v>
      </c>
      <c r="P59" s="30">
        <f>IF(ISBLANK(Inventory!A59),0,H59*Inventory!L59)</f>
        <v>5.6700000000000044</v>
      </c>
    </row>
    <row r="60" spans="1:16" s="29" customFormat="1" ht="15" customHeight="1">
      <c r="A60" s="31" t="str">
        <f>IF(ISBLANK(Inventory!A60),"",Inventory!A60)</f>
        <v>Martini Dry</v>
      </c>
      <c r="B60" s="31" t="str">
        <f>IF(ISBLANK(Inventory!A60),"",Inventory!C60)</f>
        <v>75cl</v>
      </c>
      <c r="C60" s="187"/>
      <c r="D60" s="192"/>
      <c r="E60" s="187"/>
      <c r="F60" s="187"/>
      <c r="G60" s="187"/>
      <c r="H60" s="37">
        <f>IF(ISBLANK(Inventory!A60),0,C60+SUM('Stock Opening'!C60:E60)-SUM(E60:G60))</f>
        <v>0</v>
      </c>
      <c r="I60" s="35" t="str">
        <f>IF(OR(ISBLANK(J60),J60=0),"",Settings!$B$14)</f>
        <v/>
      </c>
      <c r="J60" s="30">
        <f>IF(ISBLANK(C60),0,C60*Inventory!F60)</f>
        <v>0</v>
      </c>
      <c r="K60" s="35" t="str">
        <f>IF(OR(ISBLANK(L60),L60=0),"",Settings!$B$14)</f>
        <v/>
      </c>
      <c r="L60" s="30">
        <f>IF(ISBLANK(Inventory!A60),0,SUM(E60:G60)*Inventory!F60)</f>
        <v>0</v>
      </c>
      <c r="M60" s="35" t="str">
        <f>IF(OR(ISBLANK(N60),N60=0),"",Settings!$B$14)</f>
        <v/>
      </c>
      <c r="N60" s="30">
        <f>IF(ISBLANK(Inventory!A60),0,SUM(E60:G60)*Inventory!L60)</f>
        <v>0</v>
      </c>
      <c r="O60" s="35" t="str">
        <f>IF(OR(ISBLANK(P60),P60=0),"",Settings!$B$14)</f>
        <v/>
      </c>
      <c r="P60" s="30">
        <f>IF(ISBLANK(Inventory!A60),0,H60*Inventory!L60)</f>
        <v>0</v>
      </c>
    </row>
    <row r="61" spans="1:16" s="29" customFormat="1" ht="15" customHeight="1">
      <c r="A61" s="31" t="str">
        <f>IF(ISBLANK(Inventory!A61),"",Inventory!A61)</f>
        <v>Martini Rosso</v>
      </c>
      <c r="B61" s="31" t="str">
        <f>IF(ISBLANK(Inventory!A61),"",Inventory!C61)</f>
        <v>75cl</v>
      </c>
      <c r="C61" s="187"/>
      <c r="D61" s="192"/>
      <c r="E61" s="187"/>
      <c r="F61" s="187"/>
      <c r="G61" s="187"/>
      <c r="H61" s="37">
        <f>IF(ISBLANK(Inventory!A61),0,C61+SUM('Stock Opening'!C61:E61)-SUM(E61:G61))</f>
        <v>0</v>
      </c>
      <c r="I61" s="35" t="str">
        <f>IF(OR(ISBLANK(J61),J61=0),"",Settings!$B$14)</f>
        <v/>
      </c>
      <c r="J61" s="30">
        <f>IF(ISBLANK(C61),0,C61*Inventory!F61)</f>
        <v>0</v>
      </c>
      <c r="K61" s="35" t="str">
        <f>IF(OR(ISBLANK(L61),L61=0),"",Settings!$B$14)</f>
        <v/>
      </c>
      <c r="L61" s="30">
        <f>IF(ISBLANK(Inventory!A61),0,SUM(E61:G61)*Inventory!F61)</f>
        <v>0</v>
      </c>
      <c r="M61" s="35" t="str">
        <f>IF(OR(ISBLANK(N61),N61=0),"",Settings!$B$14)</f>
        <v/>
      </c>
      <c r="N61" s="30">
        <f>IF(ISBLANK(Inventory!A61),0,SUM(E61:G61)*Inventory!L61)</f>
        <v>0</v>
      </c>
      <c r="O61" s="35" t="str">
        <f>IF(OR(ISBLANK(P61),P61=0),"",Settings!$B$14)</f>
        <v/>
      </c>
      <c r="P61" s="30">
        <f>IF(ISBLANK(Inventory!A61),0,H61*Inventory!L61)</f>
        <v>0</v>
      </c>
    </row>
    <row r="62" spans="1:16" s="29" customFormat="1" ht="15" customHeight="1">
      <c r="A62" s="31" t="str">
        <f>IF(ISBLANK(Inventory!A62),"",Inventory!A62)</f>
        <v>Campari</v>
      </c>
      <c r="B62" s="31" t="str">
        <f>IF(ISBLANK(Inventory!A62),"",Inventory!C62)</f>
        <v>75cl</v>
      </c>
      <c r="C62" s="187"/>
      <c r="D62" s="192"/>
      <c r="E62" s="187"/>
      <c r="F62" s="187"/>
      <c r="G62" s="187"/>
      <c r="H62" s="37">
        <f>IF(ISBLANK(Inventory!A62),0,C62+SUM('Stock Opening'!C62:E62)-SUM(E62:G62))</f>
        <v>0</v>
      </c>
      <c r="I62" s="35" t="str">
        <f>IF(OR(ISBLANK(J62),J62=0),"",Settings!$B$14)</f>
        <v/>
      </c>
      <c r="J62" s="30">
        <f>IF(ISBLANK(C62),0,C62*Inventory!F62)</f>
        <v>0</v>
      </c>
      <c r="K62" s="35" t="str">
        <f>IF(OR(ISBLANK(L62),L62=0),"",Settings!$B$14)</f>
        <v/>
      </c>
      <c r="L62" s="30">
        <f>IF(ISBLANK(Inventory!A62),0,SUM(E62:G62)*Inventory!F62)</f>
        <v>0</v>
      </c>
      <c r="M62" s="35" t="str">
        <f>IF(OR(ISBLANK(N62),N62=0),"",Settings!$B$14)</f>
        <v/>
      </c>
      <c r="N62" s="30">
        <f>IF(ISBLANK(Inventory!A62),0,SUM(E62:G62)*Inventory!L62)</f>
        <v>0</v>
      </c>
      <c r="O62" s="35" t="str">
        <f>IF(OR(ISBLANK(P62),P62=0),"",Settings!$B$14)</f>
        <v/>
      </c>
      <c r="P62" s="30">
        <f>IF(ISBLANK(Inventory!A62),0,H62*Inventory!L62)</f>
        <v>0</v>
      </c>
    </row>
    <row r="63" spans="1:16" s="29" customFormat="1" ht="15" customHeight="1">
      <c r="A63" s="31" t="str">
        <f>IF(ISBLANK(Inventory!A63),"",Inventory!A63)</f>
        <v>Cockburns Ruby</v>
      </c>
      <c r="B63" s="31" t="str">
        <f>IF(ISBLANK(Inventory!A63),"",Inventory!C63)</f>
        <v>75cl</v>
      </c>
      <c r="C63" s="187"/>
      <c r="D63" s="192"/>
      <c r="E63" s="187"/>
      <c r="F63" s="187"/>
      <c r="G63" s="187"/>
      <c r="H63" s="37">
        <f>IF(ISBLANK(Inventory!A63),0,C63+SUM('Stock Opening'!C63:E63)-SUM(E63:G63))</f>
        <v>0</v>
      </c>
      <c r="I63" s="35" t="str">
        <f>IF(OR(ISBLANK(J63),J63=0),"",Settings!$B$14)</f>
        <v/>
      </c>
      <c r="J63" s="30">
        <f>IF(ISBLANK(C63),0,C63*Inventory!F63)</f>
        <v>0</v>
      </c>
      <c r="K63" s="35" t="str">
        <f>IF(OR(ISBLANK(L63),L63=0),"",Settings!$B$14)</f>
        <v/>
      </c>
      <c r="L63" s="30">
        <f>IF(ISBLANK(Inventory!A63),0,SUM(E63:G63)*Inventory!F63)</f>
        <v>0</v>
      </c>
      <c r="M63" s="35" t="str">
        <f>IF(OR(ISBLANK(N63),N63=0),"",Settings!$B$14)</f>
        <v/>
      </c>
      <c r="N63" s="30">
        <f>IF(ISBLANK(Inventory!A63),0,SUM(E63:G63)*Inventory!L63)</f>
        <v>0</v>
      </c>
      <c r="O63" s="35" t="str">
        <f>IF(OR(ISBLANK(P63),P63=0),"",Settings!$B$14)</f>
        <v/>
      </c>
      <c r="P63" s="30">
        <f>IF(ISBLANK(Inventory!A63),0,H63*Inventory!L63)</f>
        <v>0</v>
      </c>
    </row>
    <row r="64" spans="1:16" s="29" customFormat="1" ht="15" customHeight="1">
      <c r="A64" s="31" t="str">
        <f>IF(ISBLANK(Inventory!A64),"",Inventory!A64)</f>
        <v>Bristol Cream</v>
      </c>
      <c r="B64" s="31" t="str">
        <f>IF(ISBLANK(Inventory!A64),"",Inventory!C64)</f>
        <v>75cl</v>
      </c>
      <c r="C64" s="187"/>
      <c r="D64" s="192"/>
      <c r="E64" s="187"/>
      <c r="F64" s="187"/>
      <c r="G64" s="187"/>
      <c r="H64" s="37">
        <f>IF(ISBLANK(Inventory!A64),0,C64+SUM('Stock Opening'!C64:E64)-SUM(E64:G64))</f>
        <v>0</v>
      </c>
      <c r="I64" s="35" t="str">
        <f>IF(OR(ISBLANK(J64),J64=0),"",Settings!$B$14)</f>
        <v/>
      </c>
      <c r="J64" s="30">
        <f>IF(ISBLANK(C64),0,C64*Inventory!F64)</f>
        <v>0</v>
      </c>
      <c r="K64" s="35" t="str">
        <f>IF(OR(ISBLANK(L64),L64=0),"",Settings!$B$14)</f>
        <v/>
      </c>
      <c r="L64" s="30">
        <f>IF(ISBLANK(Inventory!A64),0,SUM(E64:G64)*Inventory!F64)</f>
        <v>0</v>
      </c>
      <c r="M64" s="35" t="str">
        <f>IF(OR(ISBLANK(N64),N64=0),"",Settings!$B$14)</f>
        <v/>
      </c>
      <c r="N64" s="30">
        <f>IF(ISBLANK(Inventory!A64),0,SUM(E64:G64)*Inventory!L64)</f>
        <v>0</v>
      </c>
      <c r="O64" s="35" t="str">
        <f>IF(OR(ISBLANK(P64),P64=0),"",Settings!$B$14)</f>
        <v/>
      </c>
      <c r="P64" s="30">
        <f>IF(ISBLANK(Inventory!A64),0,H64*Inventory!L64)</f>
        <v>0</v>
      </c>
    </row>
    <row r="65" spans="1:16" s="29" customFormat="1" ht="15" customHeight="1">
      <c r="A65" s="31" t="str">
        <f>IF(ISBLANK(Inventory!A65),"",Inventory!A65)</f>
        <v>Club Classic</v>
      </c>
      <c r="B65" s="31" t="str">
        <f>IF(ISBLANK(Inventory!A65),"",Inventory!C65)</f>
        <v>75cl</v>
      </c>
      <c r="C65" s="187"/>
      <c r="D65" s="192"/>
      <c r="E65" s="187"/>
      <c r="F65" s="187"/>
      <c r="G65" s="187"/>
      <c r="H65" s="37">
        <f>IF(ISBLANK(Inventory!A65),0,C65+SUM('Stock Opening'!C65:E65)-SUM(E65:G65))</f>
        <v>0</v>
      </c>
      <c r="I65" s="35" t="str">
        <f>IF(OR(ISBLANK(J65),J65=0),"",Settings!$B$14)</f>
        <v/>
      </c>
      <c r="J65" s="30">
        <f>IF(ISBLANK(C65),0,C65*Inventory!F65)</f>
        <v>0</v>
      </c>
      <c r="K65" s="35" t="str">
        <f>IF(OR(ISBLANK(L65),L65=0),"",Settings!$B$14)</f>
        <v/>
      </c>
      <c r="L65" s="30">
        <f>IF(ISBLANK(Inventory!A65),0,SUM(E65:G65)*Inventory!F65)</f>
        <v>0</v>
      </c>
      <c r="M65" s="35" t="str">
        <f>IF(OR(ISBLANK(N65),N65=0),"",Settings!$B$14)</f>
        <v/>
      </c>
      <c r="N65" s="30">
        <f>IF(ISBLANK(Inventory!A65),0,SUM(E65:G65)*Inventory!L65)</f>
        <v>0</v>
      </c>
      <c r="O65" s="35" t="str">
        <f>IF(OR(ISBLANK(P65),P65=0),"",Settings!$B$14)</f>
        <v/>
      </c>
      <c r="P65" s="30">
        <f>IF(ISBLANK(Inventory!A65),0,H65*Inventory!L65)</f>
        <v>0</v>
      </c>
    </row>
    <row r="66" spans="1:16" s="29" customFormat="1" ht="15" customHeight="1">
      <c r="A66" s="31" t="str">
        <f>IF(ISBLANK(Inventory!A66),"",Inventory!A66)</f>
        <v>Harveys Dune</v>
      </c>
      <c r="B66" s="31" t="str">
        <f>IF(ISBLANK(Inventory!A66),"",Inventory!C66)</f>
        <v>75cl</v>
      </c>
      <c r="C66" s="187"/>
      <c r="D66" s="192"/>
      <c r="E66" s="187"/>
      <c r="F66" s="187"/>
      <c r="G66" s="187"/>
      <c r="H66" s="37">
        <f>IF(ISBLANK(Inventory!A66),0,C66+SUM('Stock Opening'!C66:E66)-SUM(E66:G66))</f>
        <v>0</v>
      </c>
      <c r="I66" s="35" t="str">
        <f>IF(OR(ISBLANK(J66),J66=0),"",Settings!$B$14)</f>
        <v/>
      </c>
      <c r="J66" s="30">
        <f>IF(ISBLANK(C66),0,C66*Inventory!F66)</f>
        <v>0</v>
      </c>
      <c r="K66" s="35" t="str">
        <f>IF(OR(ISBLANK(L66),L66=0),"",Settings!$B$14)</f>
        <v/>
      </c>
      <c r="L66" s="30">
        <f>IF(ISBLANK(Inventory!A66),0,SUM(E66:G66)*Inventory!F66)</f>
        <v>0</v>
      </c>
      <c r="M66" s="35" t="str">
        <f>IF(OR(ISBLANK(N66),N66=0),"",Settings!$B$14)</f>
        <v/>
      </c>
      <c r="N66" s="30">
        <f>IF(ISBLANK(Inventory!A66),0,SUM(E66:G66)*Inventory!L66)</f>
        <v>0</v>
      </c>
      <c r="O66" s="35" t="str">
        <f>IF(OR(ISBLANK(P66),P66=0),"",Settings!$B$14)</f>
        <v/>
      </c>
      <c r="P66" s="30">
        <f>IF(ISBLANK(Inventory!A66),0,H66*Inventory!L66)</f>
        <v>0</v>
      </c>
    </row>
    <row r="67" spans="1:16" s="29" customFormat="1" ht="15" customHeight="1">
      <c r="A67" s="31" t="str">
        <f>IF(ISBLANK(Inventory!A67),"",Inventory!A67)</f>
        <v/>
      </c>
      <c r="B67" s="31" t="str">
        <f>IF(ISBLANK(Inventory!A67),"",Inventory!C67)</f>
        <v/>
      </c>
      <c r="C67" s="187"/>
      <c r="D67" s="192"/>
      <c r="E67" s="187"/>
      <c r="F67" s="187"/>
      <c r="G67" s="187"/>
      <c r="H67" s="37">
        <f>IF(ISBLANK(Inventory!A67),0,C67+SUM('Stock Opening'!C67:E67)-SUM(E67:G67))</f>
        <v>0</v>
      </c>
      <c r="I67" s="35" t="str">
        <f>IF(OR(ISBLANK(J67),J67=0),"",Settings!$B$14)</f>
        <v/>
      </c>
      <c r="J67" s="30">
        <f>IF(ISBLANK(C67),0,C67*Inventory!F67)</f>
        <v>0</v>
      </c>
      <c r="K67" s="35" t="str">
        <f>IF(OR(ISBLANK(L67),L67=0),"",Settings!$B$14)</f>
        <v/>
      </c>
      <c r="L67" s="30">
        <f>IF(ISBLANK(Inventory!A67),0,SUM(E67:G67)*Inventory!F67)</f>
        <v>0</v>
      </c>
      <c r="M67" s="35" t="str">
        <f>IF(OR(ISBLANK(N67),N67=0),"",Settings!$B$14)</f>
        <v/>
      </c>
      <c r="N67" s="30">
        <f>IF(ISBLANK(Inventory!A67),0,SUM(E67:G67)*Inventory!L67)</f>
        <v>0</v>
      </c>
      <c r="O67" s="35" t="str">
        <f>IF(OR(ISBLANK(P67),P67=0),"",Settings!$B$14)</f>
        <v/>
      </c>
      <c r="P67" s="30">
        <f>IF(ISBLANK(Inventory!A67),0,H67*Inventory!L67)</f>
        <v>0</v>
      </c>
    </row>
    <row r="68" spans="1:16" s="29" customFormat="1" ht="15" customHeight="1">
      <c r="A68" s="31" t="str">
        <f>IF(ISBLANK(Inventory!A68),"",Inventory!A68)</f>
        <v/>
      </c>
      <c r="B68" s="31" t="str">
        <f>IF(ISBLANK(Inventory!A68),"",Inventory!C68)</f>
        <v/>
      </c>
      <c r="C68" s="187"/>
      <c r="D68" s="192"/>
      <c r="E68" s="187"/>
      <c r="F68" s="187"/>
      <c r="G68" s="187"/>
      <c r="H68" s="37">
        <f>IF(ISBLANK(Inventory!A68),0,C68+SUM('Stock Opening'!C68:E68)-SUM(E68:G68))</f>
        <v>0</v>
      </c>
      <c r="I68" s="35" t="str">
        <f>IF(OR(ISBLANK(J68),J68=0),"",Settings!$B$14)</f>
        <v/>
      </c>
      <c r="J68" s="30">
        <f>IF(ISBLANK(C68),0,C68*Inventory!F68)</f>
        <v>0</v>
      </c>
      <c r="K68" s="35" t="str">
        <f>IF(OR(ISBLANK(L68),L68=0),"",Settings!$B$14)</f>
        <v/>
      </c>
      <c r="L68" s="30">
        <f>IF(ISBLANK(Inventory!A68),0,SUM(E68:G68)*Inventory!F68)</f>
        <v>0</v>
      </c>
      <c r="M68" s="35" t="str">
        <f>IF(OR(ISBLANK(N68),N68=0),"",Settings!$B$14)</f>
        <v/>
      </c>
      <c r="N68" s="30">
        <f>IF(ISBLANK(Inventory!A68),0,SUM(E68:G68)*Inventory!L68)</f>
        <v>0</v>
      </c>
      <c r="O68" s="35" t="str">
        <f>IF(OR(ISBLANK(P68),P68=0),"",Settings!$B$14)</f>
        <v/>
      </c>
      <c r="P68" s="30">
        <f>IF(ISBLANK(Inventory!A68),0,H68*Inventory!L68)</f>
        <v>0</v>
      </c>
    </row>
    <row r="69" spans="1:16" s="29" customFormat="1" ht="15" customHeight="1">
      <c r="A69" s="31" t="str">
        <f>IF(ISBLANK(Inventory!A69),"",Inventory!A69)</f>
        <v/>
      </c>
      <c r="B69" s="31" t="str">
        <f>IF(ISBLANK(Inventory!A69),"",Inventory!C69)</f>
        <v/>
      </c>
      <c r="C69" s="187"/>
      <c r="D69" s="192"/>
      <c r="E69" s="187"/>
      <c r="F69" s="187"/>
      <c r="G69" s="187"/>
      <c r="H69" s="37">
        <f>IF(ISBLANK(Inventory!A69),0,C69+SUM('Stock Opening'!C69:E69)-SUM(E69:G69))</f>
        <v>0</v>
      </c>
      <c r="I69" s="35" t="str">
        <f>IF(OR(ISBLANK(J69),J69=0),"",Settings!$B$14)</f>
        <v/>
      </c>
      <c r="J69" s="30">
        <f>IF(ISBLANK(C69),0,C69*Inventory!F69)</f>
        <v>0</v>
      </c>
      <c r="K69" s="35" t="str">
        <f>IF(OR(ISBLANK(L69),L69=0),"",Settings!$B$14)</f>
        <v/>
      </c>
      <c r="L69" s="30">
        <f>IF(ISBLANK(Inventory!A69),0,SUM(E69:G69)*Inventory!F69)</f>
        <v>0</v>
      </c>
      <c r="M69" s="35" t="str">
        <f>IF(OR(ISBLANK(N69),N69=0),"",Settings!$B$14)</f>
        <v/>
      </c>
      <c r="N69" s="30">
        <f>IF(ISBLANK(Inventory!A69),0,SUM(E69:G69)*Inventory!L69)</f>
        <v>0</v>
      </c>
      <c r="O69" s="35" t="str">
        <f>IF(OR(ISBLANK(P69),P69=0),"",Settings!$B$14)</f>
        <v/>
      </c>
      <c r="P69" s="30">
        <f>IF(ISBLANK(Inventory!A69),0,H69*Inventory!L69)</f>
        <v>0</v>
      </c>
    </row>
    <row r="70" spans="1:16" s="29" customFormat="1" ht="15" customHeight="1">
      <c r="A70" s="31" t="str">
        <f>IF(ISBLANK(Inventory!A70),"",Inventory!A70)</f>
        <v/>
      </c>
      <c r="B70" s="31" t="str">
        <f>IF(ISBLANK(Inventory!A70),"",Inventory!C70)</f>
        <v/>
      </c>
      <c r="C70" s="187"/>
      <c r="D70" s="192"/>
      <c r="E70" s="187"/>
      <c r="F70" s="187"/>
      <c r="G70" s="187"/>
      <c r="H70" s="37">
        <f>IF(ISBLANK(Inventory!A70),0,C70+SUM('Stock Opening'!C70:E70)-SUM(E70:G70))</f>
        <v>0</v>
      </c>
      <c r="I70" s="35" t="str">
        <f>IF(OR(ISBLANK(J70),J70=0),"",Settings!$B$14)</f>
        <v/>
      </c>
      <c r="J70" s="30">
        <f>IF(ISBLANK(C70),0,C70*Inventory!F70)</f>
        <v>0</v>
      </c>
      <c r="K70" s="35" t="str">
        <f>IF(OR(ISBLANK(L70),L70=0),"",Settings!$B$14)</f>
        <v/>
      </c>
      <c r="L70" s="30">
        <f>IF(ISBLANK(Inventory!A70),0,SUM(E70:G70)*Inventory!F70)</f>
        <v>0</v>
      </c>
      <c r="M70" s="35" t="str">
        <f>IF(OR(ISBLANK(N70),N70=0),"",Settings!$B$14)</f>
        <v/>
      </c>
      <c r="N70" s="30">
        <f>IF(ISBLANK(Inventory!A70),0,SUM(E70:G70)*Inventory!L70)</f>
        <v>0</v>
      </c>
      <c r="O70" s="35" t="str">
        <f>IF(OR(ISBLANK(P70),P70=0),"",Settings!$B$14)</f>
        <v/>
      </c>
      <c r="P70" s="30">
        <f>IF(ISBLANK(Inventory!A70),0,H70*Inventory!L70)</f>
        <v>0</v>
      </c>
    </row>
    <row r="71" spans="1:16" s="29" customFormat="1" ht="15" customHeight="1">
      <c r="A71" s="31" t="str">
        <f>IF(ISBLANK(Inventory!A71),"",Inventory!A71)</f>
        <v/>
      </c>
      <c r="B71" s="31" t="str">
        <f>IF(ISBLANK(Inventory!A71),"",Inventory!C71)</f>
        <v/>
      </c>
      <c r="C71" s="187"/>
      <c r="D71" s="192"/>
      <c r="E71" s="187"/>
      <c r="F71" s="187"/>
      <c r="G71" s="187"/>
      <c r="H71" s="37">
        <f>IF(ISBLANK(Inventory!A71),0,C71+SUM('Stock Opening'!C71:E71)-SUM(E71:G71))</f>
        <v>0</v>
      </c>
      <c r="I71" s="35" t="str">
        <f>IF(OR(ISBLANK(J71),J71=0),"",Settings!$B$14)</f>
        <v/>
      </c>
      <c r="J71" s="30">
        <f>IF(ISBLANK(C71),0,C71*Inventory!F71)</f>
        <v>0</v>
      </c>
      <c r="K71" s="35" t="str">
        <f>IF(OR(ISBLANK(L71),L71=0),"",Settings!$B$14)</f>
        <v/>
      </c>
      <c r="L71" s="30">
        <f>IF(ISBLANK(Inventory!A71),0,SUM(E71:G71)*Inventory!F71)</f>
        <v>0</v>
      </c>
      <c r="M71" s="35" t="str">
        <f>IF(OR(ISBLANK(N71),N71=0),"",Settings!$B$14)</f>
        <v/>
      </c>
      <c r="N71" s="30">
        <f>IF(ISBLANK(Inventory!A71),0,SUM(E71:G71)*Inventory!L71)</f>
        <v>0</v>
      </c>
      <c r="O71" s="35" t="str">
        <f>IF(OR(ISBLANK(P71),P71=0),"",Settings!$B$14)</f>
        <v/>
      </c>
      <c r="P71" s="30">
        <f>IF(ISBLANK(Inventory!A71),0,H71*Inventory!L71)</f>
        <v>0</v>
      </c>
    </row>
    <row r="72" spans="1:16" s="29" customFormat="1" ht="15" customHeight="1">
      <c r="A72" s="31" t="str">
        <f>IF(ISBLANK(Inventory!A72),"",Inventory!A72)</f>
        <v/>
      </c>
      <c r="B72" s="31" t="str">
        <f>IF(ISBLANK(Inventory!A72),"",Inventory!C72)</f>
        <v/>
      </c>
      <c r="C72" s="187"/>
      <c r="D72" s="192"/>
      <c r="E72" s="187"/>
      <c r="F72" s="187"/>
      <c r="G72" s="187"/>
      <c r="H72" s="37">
        <f>IF(ISBLANK(Inventory!A72),0,C72+SUM('Stock Opening'!C72:E72)-SUM(E72:G72))</f>
        <v>0</v>
      </c>
      <c r="I72" s="35" t="str">
        <f>IF(OR(ISBLANK(J72),J72=0),"",Settings!$B$14)</f>
        <v/>
      </c>
      <c r="J72" s="30">
        <f>IF(ISBLANK(C72),0,C72*Inventory!F72)</f>
        <v>0</v>
      </c>
      <c r="K72" s="35" t="str">
        <f>IF(OR(ISBLANK(L72),L72=0),"",Settings!$B$14)</f>
        <v/>
      </c>
      <c r="L72" s="30">
        <f>IF(ISBLANK(Inventory!A72),0,SUM(E72:G72)*Inventory!F72)</f>
        <v>0</v>
      </c>
      <c r="M72" s="35" t="str">
        <f>IF(OR(ISBLANK(N72),N72=0),"",Settings!$B$14)</f>
        <v/>
      </c>
      <c r="N72" s="30">
        <f>IF(ISBLANK(Inventory!A72),0,SUM(E72:G72)*Inventory!L72)</f>
        <v>0</v>
      </c>
      <c r="O72" s="35" t="str">
        <f>IF(OR(ISBLANK(P72),P72=0),"",Settings!$B$14)</f>
        <v/>
      </c>
      <c r="P72" s="30">
        <f>IF(ISBLANK(Inventory!A72),0,H72*Inventory!L72)</f>
        <v>0</v>
      </c>
    </row>
    <row r="73" spans="1:16" ht="6.95" customHeight="1">
      <c r="A73" s="24"/>
      <c r="B73" s="24"/>
      <c r="C73" s="69"/>
      <c r="D73" s="69"/>
      <c r="E73" s="69"/>
      <c r="F73" s="69"/>
      <c r="G73" s="69"/>
      <c r="H73" s="69"/>
      <c r="I73" s="69"/>
      <c r="J73" s="69"/>
      <c r="K73" s="69"/>
      <c r="L73" s="25"/>
      <c r="M73" s="62"/>
      <c r="N73" s="160"/>
      <c r="O73" s="25"/>
      <c r="P73" s="160"/>
    </row>
    <row r="74" spans="1:16" s="45" customFormat="1" ht="18" customHeight="1" thickBot="1">
      <c r="A74" s="78" t="str">
        <f>Inventory!A74</f>
        <v>TABLE WINES</v>
      </c>
      <c r="B74" s="78" t="str">
        <f>Inventory!C74</f>
        <v>VOLUME</v>
      </c>
      <c r="C74" s="22" t="s">
        <v>187</v>
      </c>
      <c r="D74" s="22"/>
      <c r="E74" s="22" t="s">
        <v>101</v>
      </c>
      <c r="F74" s="22" t="s">
        <v>102</v>
      </c>
      <c r="G74" s="23" t="s">
        <v>108</v>
      </c>
      <c r="H74" s="79" t="s">
        <v>119</v>
      </c>
      <c r="I74" s="253" t="s">
        <v>190</v>
      </c>
      <c r="J74" s="253"/>
      <c r="K74" s="235" t="s">
        <v>30</v>
      </c>
      <c r="L74" s="235"/>
      <c r="M74" s="235" t="s">
        <v>31</v>
      </c>
      <c r="N74" s="235"/>
      <c r="O74" s="235" t="s">
        <v>189</v>
      </c>
      <c r="P74" s="235"/>
    </row>
    <row r="75" spans="1:16" ht="6.95" customHeight="1" thickTop="1">
      <c r="A75" s="193"/>
      <c r="B75" s="194"/>
      <c r="C75" s="71"/>
      <c r="D75" s="71"/>
      <c r="E75" s="67"/>
      <c r="F75" s="67"/>
      <c r="G75" s="71"/>
      <c r="H75" s="71"/>
      <c r="I75" s="71"/>
      <c r="J75" s="71"/>
      <c r="K75" s="71"/>
      <c r="L75" s="67"/>
      <c r="M75" s="62"/>
      <c r="N75" s="67"/>
      <c r="O75" s="67"/>
      <c r="P75" s="67"/>
    </row>
    <row r="76" spans="1:16" s="29" customFormat="1" ht="15" customHeight="1">
      <c r="A76" s="31" t="str">
        <f>IF(ISBLANK(Inventory!A76),"",Inventory!A76)</f>
        <v>35º South Red</v>
      </c>
      <c r="B76" s="31" t="str">
        <f>IF(ISBLANK(Inventory!A76),"",Inventory!C76)</f>
        <v>750ml</v>
      </c>
      <c r="C76" s="187"/>
      <c r="D76" s="192"/>
      <c r="E76" s="187"/>
      <c r="F76" s="187"/>
      <c r="G76" s="187"/>
      <c r="H76" s="37">
        <f>IF(ISBLANK(Inventory!A76),0,C76+SUM('Stock Opening'!C76:E76)-SUM(E76:G76))</f>
        <v>0</v>
      </c>
      <c r="I76" s="35" t="str">
        <f>IF(OR(ISBLANK(J76),J76=0),"",Settings!$B$14)</f>
        <v/>
      </c>
      <c r="J76" s="30">
        <f>IF(ISBLANK(C76),0,C76*Inventory!H76)</f>
        <v>0</v>
      </c>
      <c r="K76" s="35" t="str">
        <f>IF(OR(ISBLANK(L76),L76=0),"",Settings!$B$14)</f>
        <v/>
      </c>
      <c r="L76" s="30">
        <f>IF(ISBLANK(Inventory!A76),0,SUM(E76:G76)*Inventory!H76)</f>
        <v>0</v>
      </c>
      <c r="M76" s="35" t="str">
        <f>IF(OR(ISBLANK(N76),N76=0),"",Settings!$B$14)</f>
        <v/>
      </c>
      <c r="N76" s="30">
        <f>IF(ISBLANK(Inventory!A76),0,SUM(E76:G76)*Inventory!J76)</f>
        <v>0</v>
      </c>
      <c r="O76" s="35" t="str">
        <f>IF(OR(ISBLANK(P76),P76=0),"",Settings!$B$14)</f>
        <v/>
      </c>
      <c r="P76" s="30">
        <f>IF(ISBLANK(Inventory!A76),0,H76*Inventory!J76)</f>
        <v>0</v>
      </c>
    </row>
    <row r="77" spans="1:16" s="29" customFormat="1" ht="15" customHeight="1">
      <c r="A77" s="31" t="str">
        <f>IF(ISBLANK(Inventory!A77),"",Inventory!A77)</f>
        <v>Lindemans' Chardonnay</v>
      </c>
      <c r="B77" s="31" t="str">
        <f>IF(ISBLANK(Inventory!A77),"",Inventory!C77)</f>
        <v>750ml</v>
      </c>
      <c r="C77" s="187"/>
      <c r="D77" s="192"/>
      <c r="E77" s="187"/>
      <c r="F77" s="187"/>
      <c r="G77" s="187"/>
      <c r="H77" s="37">
        <f>IF(ISBLANK(Inventory!A77),0,C77+SUM('Stock Opening'!C77:E77)-SUM(E77:G77))</f>
        <v>0</v>
      </c>
      <c r="I77" s="35" t="str">
        <f>IF(OR(ISBLANK(J77),J77=0),"",Settings!$B$14)</f>
        <v/>
      </c>
      <c r="J77" s="30">
        <f>IF(ISBLANK(C77),0,C77*Inventory!H77)</f>
        <v>0</v>
      </c>
      <c r="K77" s="35" t="str">
        <f>IF(OR(ISBLANK(L77),L77=0),"",Settings!$B$14)</f>
        <v/>
      </c>
      <c r="L77" s="30">
        <f>IF(ISBLANK(Inventory!A77),0,SUM(E77:G77)*Inventory!H77)</f>
        <v>0</v>
      </c>
      <c r="M77" s="35" t="str">
        <f>IF(OR(ISBLANK(N77),N77=0),"",Settings!$B$14)</f>
        <v/>
      </c>
      <c r="N77" s="30">
        <f>IF(ISBLANK(Inventory!A77),0,SUM(E77:G77)*Inventory!J77)</f>
        <v>0</v>
      </c>
      <c r="O77" s="35" t="str">
        <f>IF(OR(ISBLANK(P77),P77=0),"",Settings!$B$14)</f>
        <v/>
      </c>
      <c r="P77" s="30">
        <f>IF(ISBLANK(Inventory!A77),0,H77*Inventory!J77)</f>
        <v>0</v>
      </c>
    </row>
    <row r="78" spans="1:16" s="29" customFormat="1" ht="15" customHeight="1">
      <c r="A78" s="31" t="str">
        <f>IF(ISBLANK(Inventory!A78),"",Inventory!A78)</f>
        <v>Arniston Bay</v>
      </c>
      <c r="B78" s="31" t="str">
        <f>IF(ISBLANK(Inventory!A78),"",Inventory!C78)</f>
        <v>750ml</v>
      </c>
      <c r="C78" s="187"/>
      <c r="D78" s="192"/>
      <c r="E78" s="187"/>
      <c r="F78" s="187"/>
      <c r="G78" s="187"/>
      <c r="H78" s="37">
        <f>IF(ISBLANK(Inventory!A78),0,C78+SUM('Stock Opening'!C78:E78)-SUM(E78:G78))</f>
        <v>0</v>
      </c>
      <c r="I78" s="35" t="str">
        <f>IF(OR(ISBLANK(J78),J78=0),"",Settings!$B$14)</f>
        <v/>
      </c>
      <c r="J78" s="30">
        <f>IF(ISBLANK(C78),0,C78*Inventory!H78)</f>
        <v>0</v>
      </c>
      <c r="K78" s="35" t="str">
        <f>IF(OR(ISBLANK(L78),L78=0),"",Settings!$B$14)</f>
        <v/>
      </c>
      <c r="L78" s="30">
        <f>IF(ISBLANK(Inventory!A78),0,SUM(E78:G78)*Inventory!H78)</f>
        <v>0</v>
      </c>
      <c r="M78" s="35" t="str">
        <f>IF(OR(ISBLANK(N78),N78=0),"",Settings!$B$14)</f>
        <v/>
      </c>
      <c r="N78" s="30">
        <f>IF(ISBLANK(Inventory!A78),0,SUM(E78:G78)*Inventory!J78)</f>
        <v>0</v>
      </c>
      <c r="O78" s="35" t="str">
        <f>IF(OR(ISBLANK(P78),P78=0),"",Settings!$B$14)</f>
        <v/>
      </c>
      <c r="P78" s="30">
        <f>IF(ISBLANK(Inventory!A78),0,H78*Inventory!J78)</f>
        <v>0</v>
      </c>
    </row>
    <row r="79" spans="1:16" s="29" customFormat="1" ht="15" customHeight="1">
      <c r="A79" s="31" t="str">
        <f>IF(ISBLANK(Inventory!A79),"",Inventory!A79)</f>
        <v>Côtes du Rhône</v>
      </c>
      <c r="B79" s="31" t="str">
        <f>IF(ISBLANK(Inventory!A79),"",Inventory!C79)</f>
        <v>750ml</v>
      </c>
      <c r="C79" s="187"/>
      <c r="D79" s="192"/>
      <c r="E79" s="187"/>
      <c r="F79" s="187"/>
      <c r="G79" s="187"/>
      <c r="H79" s="37">
        <f>IF(ISBLANK(Inventory!A79),0,C79+SUM('Stock Opening'!C79:E79)-SUM(E79:G79))</f>
        <v>0</v>
      </c>
      <c r="I79" s="35" t="str">
        <f>IF(OR(ISBLANK(J79),J79=0),"",Settings!$B$14)</f>
        <v/>
      </c>
      <c r="J79" s="30">
        <f>IF(ISBLANK(C79),0,C79*Inventory!H79)</f>
        <v>0</v>
      </c>
      <c r="K79" s="35" t="str">
        <f>IF(OR(ISBLANK(L79),L79=0),"",Settings!$B$14)</f>
        <v/>
      </c>
      <c r="L79" s="30">
        <f>IF(ISBLANK(Inventory!A79),0,SUM(E79:G79)*Inventory!H79)</f>
        <v>0</v>
      </c>
      <c r="M79" s="35" t="str">
        <f>IF(OR(ISBLANK(N79),N79=0),"",Settings!$B$14)</f>
        <v/>
      </c>
      <c r="N79" s="30">
        <f>IF(ISBLANK(Inventory!A79),0,SUM(E79:G79)*Inventory!J79)</f>
        <v>0</v>
      </c>
      <c r="O79" s="35" t="str">
        <f>IF(OR(ISBLANK(P79),P79=0),"",Settings!$B$14)</f>
        <v/>
      </c>
      <c r="P79" s="30">
        <f>IF(ISBLANK(Inventory!A79),0,H79*Inventory!J79)</f>
        <v>0</v>
      </c>
    </row>
    <row r="80" spans="1:16" s="29" customFormat="1" ht="15" customHeight="1">
      <c r="A80" s="31" t="str">
        <f>IF(ISBLANK(Inventory!A80),"",Inventory!A80)</f>
        <v>Jacobs Creek</v>
      </c>
      <c r="B80" s="31" t="str">
        <f>IF(ISBLANK(Inventory!A80),"",Inventory!C80)</f>
        <v>750ml</v>
      </c>
      <c r="C80" s="187"/>
      <c r="D80" s="192"/>
      <c r="E80" s="187"/>
      <c r="F80" s="187"/>
      <c r="G80" s="187"/>
      <c r="H80" s="37">
        <f>IF(ISBLANK(Inventory!A80),0,C80+SUM('Stock Opening'!C80:E80)-SUM(E80:G80))</f>
        <v>0</v>
      </c>
      <c r="I80" s="35" t="str">
        <f>IF(OR(ISBLANK(J80),J80=0),"",Settings!$B$14)</f>
        <v/>
      </c>
      <c r="J80" s="30">
        <f>IF(ISBLANK(C80),0,C80*Inventory!H80)</f>
        <v>0</v>
      </c>
      <c r="K80" s="35" t="str">
        <f>IF(OR(ISBLANK(L80),L80=0),"",Settings!$B$14)</f>
        <v/>
      </c>
      <c r="L80" s="30">
        <f>IF(ISBLANK(Inventory!A80),0,SUM(E80:G80)*Inventory!H80)</f>
        <v>0</v>
      </c>
      <c r="M80" s="35" t="str">
        <f>IF(OR(ISBLANK(N80),N80=0),"",Settings!$B$14)</f>
        <v/>
      </c>
      <c r="N80" s="30">
        <f>IF(ISBLANK(Inventory!A80),0,SUM(E80:G80)*Inventory!J80)</f>
        <v>0</v>
      </c>
      <c r="O80" s="35" t="str">
        <f>IF(OR(ISBLANK(P80),P80=0),"",Settings!$B$14)</f>
        <v/>
      </c>
      <c r="P80" s="30">
        <f>IF(ISBLANK(Inventory!A80),0,H80*Inventory!J80)</f>
        <v>0</v>
      </c>
    </row>
    <row r="81" spans="1:16" s="29" customFormat="1" ht="15" customHeight="1">
      <c r="A81" s="31" t="str">
        <f>IF(ISBLANK(Inventory!A81),"",Inventory!A81)</f>
        <v>Louis Raymond</v>
      </c>
      <c r="B81" s="31" t="str">
        <f>IF(ISBLANK(Inventory!A81),"",Inventory!C81)</f>
        <v>375ml</v>
      </c>
      <c r="C81" s="187"/>
      <c r="D81" s="192"/>
      <c r="E81" s="187"/>
      <c r="F81" s="187"/>
      <c r="G81" s="187"/>
      <c r="H81" s="37">
        <f>IF(ISBLANK(Inventory!A81),0,C81+SUM('Stock Opening'!C81:E81)-SUM(E81:G81))</f>
        <v>0</v>
      </c>
      <c r="I81" s="35" t="str">
        <f>IF(OR(ISBLANK(J81),J81=0),"",Settings!$B$14)</f>
        <v/>
      </c>
      <c r="J81" s="30">
        <f>IF(ISBLANK(C81),0,C81*Inventory!H81)</f>
        <v>0</v>
      </c>
      <c r="K81" s="35" t="str">
        <f>IF(OR(ISBLANK(L81),L81=0),"",Settings!$B$14)</f>
        <v/>
      </c>
      <c r="L81" s="30">
        <f>IF(ISBLANK(Inventory!A81),0,SUM(E81:G81)*Inventory!H81)</f>
        <v>0</v>
      </c>
      <c r="M81" s="35" t="str">
        <f>IF(OR(ISBLANK(N81),N81=0),"",Settings!$B$14)</f>
        <v/>
      </c>
      <c r="N81" s="30">
        <f>IF(ISBLANK(Inventory!A81),0,SUM(E81:G81)*Inventory!J81)</f>
        <v>0</v>
      </c>
      <c r="O81" s="35" t="str">
        <f>IF(OR(ISBLANK(P81),P81=0),"",Settings!$B$14)</f>
        <v/>
      </c>
      <c r="P81" s="30">
        <f>IF(ISBLANK(Inventory!A81),0,H81*Inventory!J81)</f>
        <v>0</v>
      </c>
    </row>
    <row r="82" spans="1:16" s="29" customFormat="1" ht="15" customHeight="1">
      <c r="A82" s="31" t="str">
        <f>IF(ISBLANK(Inventory!A82),"",Inventory!A82)</f>
        <v>Castletorre</v>
      </c>
      <c r="B82" s="31" t="str">
        <f>IF(ISBLANK(Inventory!A82),"",Inventory!C82)</f>
        <v>375ml</v>
      </c>
      <c r="C82" s="187"/>
      <c r="D82" s="192"/>
      <c r="E82" s="187"/>
      <c r="F82" s="187"/>
      <c r="G82" s="187"/>
      <c r="H82" s="37">
        <f>IF(ISBLANK(Inventory!A82),0,C82+SUM('Stock Opening'!C82:E82)-SUM(E82:G82))</f>
        <v>0</v>
      </c>
      <c r="I82" s="35" t="str">
        <f>IF(OR(ISBLANK(J82),J82=0),"",Settings!$B$14)</f>
        <v/>
      </c>
      <c r="J82" s="30">
        <f>IF(ISBLANK(C82),0,C82*Inventory!H82)</f>
        <v>0</v>
      </c>
      <c r="K82" s="35" t="str">
        <f>IF(OR(ISBLANK(L82),L82=0),"",Settings!$B$14)</f>
        <v/>
      </c>
      <c r="L82" s="30">
        <f>IF(ISBLANK(Inventory!A82),0,SUM(E82:G82)*Inventory!H82)</f>
        <v>0</v>
      </c>
      <c r="M82" s="35" t="str">
        <f>IF(OR(ISBLANK(N82),N82=0),"",Settings!$B$14)</f>
        <v/>
      </c>
      <c r="N82" s="30">
        <f>IF(ISBLANK(Inventory!A82),0,SUM(E82:G82)*Inventory!J82)</f>
        <v>0</v>
      </c>
      <c r="O82" s="35" t="str">
        <f>IF(OR(ISBLANK(P82),P82=0),"",Settings!$B$14)</f>
        <v/>
      </c>
      <c r="P82" s="30">
        <f>IF(ISBLANK(Inventory!A82),0,H82*Inventory!J82)</f>
        <v>0</v>
      </c>
    </row>
    <row r="83" spans="1:16" s="29" customFormat="1" ht="15" customHeight="1">
      <c r="A83" s="31" t="str">
        <f>IF(ISBLANK(Inventory!A83),"",Inventory!A83)</f>
        <v>Muscadet</v>
      </c>
      <c r="B83" s="31" t="str">
        <f>IF(ISBLANK(Inventory!A83),"",Inventory!C83)</f>
        <v>750ml</v>
      </c>
      <c r="C83" s="187"/>
      <c r="D83" s="192"/>
      <c r="E83" s="187"/>
      <c r="F83" s="187"/>
      <c r="G83" s="187"/>
      <c r="H83" s="37">
        <f>IF(ISBLANK(Inventory!A83),0,C83+SUM('Stock Opening'!C83:E83)-SUM(E83:G83))</f>
        <v>0</v>
      </c>
      <c r="I83" s="35" t="str">
        <f>IF(OR(ISBLANK(J83),J83=0),"",Settings!$B$14)</f>
        <v/>
      </c>
      <c r="J83" s="30">
        <f>IF(ISBLANK(C83),0,C83*Inventory!H83)</f>
        <v>0</v>
      </c>
      <c r="K83" s="35" t="str">
        <f>IF(OR(ISBLANK(L83),L83=0),"",Settings!$B$14)</f>
        <v/>
      </c>
      <c r="L83" s="30">
        <f>IF(ISBLANK(Inventory!A83),0,SUM(E83:G83)*Inventory!H83)</f>
        <v>0</v>
      </c>
      <c r="M83" s="35" t="str">
        <f>IF(OR(ISBLANK(N83),N83=0),"",Settings!$B$14)</f>
        <v/>
      </c>
      <c r="N83" s="30">
        <f>IF(ISBLANK(Inventory!A83),0,SUM(E83:G83)*Inventory!J83)</f>
        <v>0</v>
      </c>
      <c r="O83" s="35" t="str">
        <f>IF(OR(ISBLANK(P83),P83=0),"",Settings!$B$14)</f>
        <v/>
      </c>
      <c r="P83" s="30">
        <f>IF(ISBLANK(Inventory!A83),0,H83*Inventory!J83)</f>
        <v>0</v>
      </c>
    </row>
    <row r="84" spans="1:16" s="29" customFormat="1" ht="15" customHeight="1">
      <c r="A84" s="31" t="str">
        <f>IF(ISBLANK(Inventory!A84),"",Inventory!A84)</f>
        <v>Piesporter</v>
      </c>
      <c r="B84" s="31" t="str">
        <f>IF(ISBLANK(Inventory!A84),"",Inventory!C84)</f>
        <v>750ml</v>
      </c>
      <c r="C84" s="187"/>
      <c r="D84" s="192"/>
      <c r="E84" s="187"/>
      <c r="F84" s="187"/>
      <c r="G84" s="187"/>
      <c r="H84" s="37">
        <f>IF(ISBLANK(Inventory!A84),0,C84+SUM('Stock Opening'!C84:E84)-SUM(E84:G84))</f>
        <v>0</v>
      </c>
      <c r="I84" s="35" t="str">
        <f>IF(OR(ISBLANK(J84),J84=0),"",Settings!$B$14)</f>
        <v/>
      </c>
      <c r="J84" s="30">
        <f>IF(ISBLANK(C84),0,C84*Inventory!H84)</f>
        <v>0</v>
      </c>
      <c r="K84" s="35" t="str">
        <f>IF(OR(ISBLANK(L84),L84=0),"",Settings!$B$14)</f>
        <v/>
      </c>
      <c r="L84" s="30">
        <f>IF(ISBLANK(Inventory!A84),0,SUM(E84:G84)*Inventory!H84)</f>
        <v>0</v>
      </c>
      <c r="M84" s="35" t="str">
        <f>IF(OR(ISBLANK(N84),N84=0),"",Settings!$B$14)</f>
        <v/>
      </c>
      <c r="N84" s="30">
        <f>IF(ISBLANK(Inventory!A84),0,SUM(E84:G84)*Inventory!J84)</f>
        <v>0</v>
      </c>
      <c r="O84" s="35" t="str">
        <f>IF(OR(ISBLANK(P84),P84=0),"",Settings!$B$14)</f>
        <v/>
      </c>
      <c r="P84" s="30">
        <f>IF(ISBLANK(Inventory!A84),0,H84*Inventory!J84)</f>
        <v>0</v>
      </c>
    </row>
    <row r="85" spans="1:16" s="29" customFormat="1" ht="15" customHeight="1">
      <c r="A85" s="31" t="str">
        <f>IF(ISBLANK(Inventory!A85),"",Inventory!A85)</f>
        <v>Piesporter (Small)</v>
      </c>
      <c r="B85" s="31" t="str">
        <f>IF(ISBLANK(Inventory!A85),"",Inventory!C85)</f>
        <v>375ml</v>
      </c>
      <c r="C85" s="187"/>
      <c r="D85" s="192"/>
      <c r="E85" s="187"/>
      <c r="F85" s="187"/>
      <c r="G85" s="187"/>
      <c r="H85" s="37">
        <f>IF(ISBLANK(Inventory!A85),0,C85+SUM('Stock Opening'!C85:E85)-SUM(E85:G85))</f>
        <v>0</v>
      </c>
      <c r="I85" s="35" t="str">
        <f>IF(OR(ISBLANK(J85),J85=0),"",Settings!$B$14)</f>
        <v/>
      </c>
      <c r="J85" s="30">
        <f>IF(ISBLANK(C85),0,C85*Inventory!H85)</f>
        <v>0</v>
      </c>
      <c r="K85" s="35" t="str">
        <f>IF(OR(ISBLANK(L85),L85=0),"",Settings!$B$14)</f>
        <v/>
      </c>
      <c r="L85" s="30">
        <f>IF(ISBLANK(Inventory!A85),0,SUM(E85:G85)*Inventory!H85)</f>
        <v>0</v>
      </c>
      <c r="M85" s="35" t="str">
        <f>IF(OR(ISBLANK(N85),N85=0),"",Settings!$B$14)</f>
        <v/>
      </c>
      <c r="N85" s="30">
        <f>IF(ISBLANK(Inventory!A85),0,SUM(E85:G85)*Inventory!J85)</f>
        <v>0</v>
      </c>
      <c r="O85" s="35" t="str">
        <f>IF(OR(ISBLANK(P85),P85=0),"",Settings!$B$14)</f>
        <v/>
      </c>
      <c r="P85" s="30">
        <f>IF(ISBLANK(Inventory!A85),0,H85*Inventory!J85)</f>
        <v>0</v>
      </c>
    </row>
    <row r="86" spans="1:16" s="29" customFormat="1" ht="15" customHeight="1">
      <c r="A86" s="31" t="str">
        <f>IF(ISBLANK(Inventory!A86),"",Inventory!A86)</f>
        <v>Pinot Grigio</v>
      </c>
      <c r="B86" s="31" t="str">
        <f>IF(ISBLANK(Inventory!A86),"",Inventory!C86)</f>
        <v>750ml</v>
      </c>
      <c r="C86" s="187"/>
      <c r="D86" s="192"/>
      <c r="E86" s="187"/>
      <c r="F86" s="187"/>
      <c r="G86" s="187"/>
      <c r="H86" s="37">
        <f>IF(ISBLANK(Inventory!A86),0,C86+SUM('Stock Opening'!C86:E86)-SUM(E86:G86))</f>
        <v>0</v>
      </c>
      <c r="I86" s="35" t="str">
        <f>IF(OR(ISBLANK(J86),J86=0),"",Settings!$B$14)</f>
        <v/>
      </c>
      <c r="J86" s="30">
        <f>IF(ISBLANK(C86),0,C86*Inventory!H86)</f>
        <v>0</v>
      </c>
      <c r="K86" s="35" t="str">
        <f>IF(OR(ISBLANK(L86),L86=0),"",Settings!$B$14)</f>
        <v/>
      </c>
      <c r="L86" s="30">
        <f>IF(ISBLANK(Inventory!A86),0,SUM(E86:G86)*Inventory!H86)</f>
        <v>0</v>
      </c>
      <c r="M86" s="35" t="str">
        <f>IF(OR(ISBLANK(N86),N86=0),"",Settings!$B$14)</f>
        <v/>
      </c>
      <c r="N86" s="30">
        <f>IF(ISBLANK(Inventory!A86),0,SUM(E86:G86)*Inventory!J86)</f>
        <v>0</v>
      </c>
      <c r="O86" s="35" t="str">
        <f>IF(OR(ISBLANK(P86),P86=0),"",Settings!$B$14)</f>
        <v/>
      </c>
      <c r="P86" s="30">
        <f>IF(ISBLANK(Inventory!A86),0,H86*Inventory!J86)</f>
        <v>0</v>
      </c>
    </row>
    <row r="87" spans="1:16" s="29" customFormat="1" ht="15" customHeight="1">
      <c r="A87" s="31" t="str">
        <f>IF(ISBLANK(Inventory!A87),"",Inventory!A87)</f>
        <v>Faustino Crianza</v>
      </c>
      <c r="B87" s="31" t="str">
        <f>IF(ISBLANK(Inventory!A87),"",Inventory!C87)</f>
        <v>750ml</v>
      </c>
      <c r="C87" s="187"/>
      <c r="D87" s="192"/>
      <c r="E87" s="187"/>
      <c r="F87" s="187"/>
      <c r="G87" s="187"/>
      <c r="H87" s="37">
        <f>IF(ISBLANK(Inventory!A87),0,C87+SUM('Stock Opening'!C87:E87)-SUM(E87:G87))</f>
        <v>0</v>
      </c>
      <c r="I87" s="35" t="str">
        <f>IF(OR(ISBLANK(J87),J87=0),"",Settings!$B$14)</f>
        <v/>
      </c>
      <c r="J87" s="30">
        <f>IF(ISBLANK(C87),0,C87*Inventory!H87)</f>
        <v>0</v>
      </c>
      <c r="K87" s="35" t="str">
        <f>IF(OR(ISBLANK(L87),L87=0),"",Settings!$B$14)</f>
        <v/>
      </c>
      <c r="L87" s="30">
        <f>IF(ISBLANK(Inventory!A87),0,SUM(E87:G87)*Inventory!H87)</f>
        <v>0</v>
      </c>
      <c r="M87" s="35" t="str">
        <f>IF(OR(ISBLANK(N87),N87=0),"",Settings!$B$14)</f>
        <v/>
      </c>
      <c r="N87" s="30">
        <f>IF(ISBLANK(Inventory!A87),0,SUM(E87:G87)*Inventory!J87)</f>
        <v>0</v>
      </c>
      <c r="O87" s="35" t="str">
        <f>IF(OR(ISBLANK(P87),P87=0),"",Settings!$B$14)</f>
        <v/>
      </c>
      <c r="P87" s="30">
        <f>IF(ISBLANK(Inventory!A87),0,H87*Inventory!J87)</f>
        <v>0</v>
      </c>
    </row>
    <row r="88" spans="1:16" s="29" customFormat="1" ht="15" customHeight="1">
      <c r="A88" s="31" t="str">
        <f>IF(ISBLANK(Inventory!A88),"",Inventory!A88)</f>
        <v>35º South White</v>
      </c>
      <c r="B88" s="31" t="str">
        <f>IF(ISBLANK(Inventory!A88),"",Inventory!C88)</f>
        <v>750ml</v>
      </c>
      <c r="C88" s="187"/>
      <c r="D88" s="192"/>
      <c r="E88" s="187"/>
      <c r="F88" s="187"/>
      <c r="G88" s="187"/>
      <c r="H88" s="37">
        <f>IF(ISBLANK(Inventory!A88),0,C88+SUM('Stock Opening'!C88:E88)-SUM(E88:G88))</f>
        <v>0</v>
      </c>
      <c r="I88" s="35" t="str">
        <f>IF(OR(ISBLANK(J88),J88=0),"",Settings!$B$14)</f>
        <v/>
      </c>
      <c r="J88" s="30">
        <f>IF(ISBLANK(C88),0,C88*Inventory!H88)</f>
        <v>0</v>
      </c>
      <c r="K88" s="35" t="str">
        <f>IF(OR(ISBLANK(L88),L88=0),"",Settings!$B$14)</f>
        <v/>
      </c>
      <c r="L88" s="30">
        <f>IF(ISBLANK(Inventory!A88),0,SUM(E88:G88)*Inventory!H88)</f>
        <v>0</v>
      </c>
      <c r="M88" s="35" t="str">
        <f>IF(OR(ISBLANK(N88),N88=0),"",Settings!$B$14)</f>
        <v/>
      </c>
      <c r="N88" s="30">
        <f>IF(ISBLANK(Inventory!A88),0,SUM(E88:G88)*Inventory!J88)</f>
        <v>0</v>
      </c>
      <c r="O88" s="35" t="str">
        <f>IF(OR(ISBLANK(P88),P88=0),"",Settings!$B$14)</f>
        <v/>
      </c>
      <c r="P88" s="30">
        <f>IF(ISBLANK(Inventory!A88),0,H88*Inventory!J88)</f>
        <v>0</v>
      </c>
    </row>
    <row r="89" spans="1:16" s="29" customFormat="1" ht="15" customHeight="1">
      <c r="A89" s="31" t="str">
        <f>IF(ISBLANK(Inventory!A89),"",Inventory!A89)</f>
        <v/>
      </c>
      <c r="B89" s="31" t="str">
        <f>IF(ISBLANK(Inventory!A89),"",Inventory!C89)</f>
        <v/>
      </c>
      <c r="C89" s="187"/>
      <c r="D89" s="192"/>
      <c r="E89" s="187"/>
      <c r="F89" s="187"/>
      <c r="G89" s="187"/>
      <c r="H89" s="37">
        <f>IF(ISBLANK(Inventory!A89),0,C89+SUM('Stock Opening'!C89:E89)-SUM(E89:G89))</f>
        <v>0</v>
      </c>
      <c r="I89" s="35" t="str">
        <f>IF(OR(ISBLANK(J89),J89=0),"",Settings!$B$14)</f>
        <v/>
      </c>
      <c r="J89" s="30">
        <f>IF(ISBLANK(C89),0,C89*Inventory!H89)</f>
        <v>0</v>
      </c>
      <c r="K89" s="35" t="str">
        <f>IF(OR(ISBLANK(L89),L89=0),"",Settings!$B$14)</f>
        <v/>
      </c>
      <c r="L89" s="30">
        <f>IF(ISBLANK(Inventory!A89),0,SUM(E89:G89)*Inventory!H89)</f>
        <v>0</v>
      </c>
      <c r="M89" s="35" t="str">
        <f>IF(OR(ISBLANK(N89),N89=0),"",Settings!$B$14)</f>
        <v/>
      </c>
      <c r="N89" s="30">
        <f>IF(ISBLANK(Inventory!A89),0,SUM(E89:G89)*Inventory!J89)</f>
        <v>0</v>
      </c>
      <c r="O89" s="35" t="str">
        <f>IF(OR(ISBLANK(P89),P89=0),"",Settings!$B$14)</f>
        <v/>
      </c>
      <c r="P89" s="30">
        <f>IF(ISBLANK(Inventory!A89),0,H89*Inventory!J89)</f>
        <v>0</v>
      </c>
    </row>
    <row r="90" spans="1:16" s="29" customFormat="1" ht="15" customHeight="1">
      <c r="A90" s="31" t="str">
        <f>IF(ISBLANK(Inventory!A90),"",Inventory!A90)</f>
        <v/>
      </c>
      <c r="B90" s="31" t="str">
        <f>IF(ISBLANK(Inventory!A90),"",Inventory!C90)</f>
        <v/>
      </c>
      <c r="C90" s="187"/>
      <c r="D90" s="192"/>
      <c r="E90" s="187"/>
      <c r="F90" s="187"/>
      <c r="G90" s="187"/>
      <c r="H90" s="37">
        <f>IF(ISBLANK(Inventory!A90),0,C90+SUM('Stock Opening'!C90:E90)-SUM(E90:G90))</f>
        <v>0</v>
      </c>
      <c r="I90" s="35" t="str">
        <f>IF(OR(ISBLANK(J90),J90=0),"",Settings!$B$14)</f>
        <v/>
      </c>
      <c r="J90" s="30">
        <f>IF(ISBLANK(C90),0,C90*Inventory!H90)</f>
        <v>0</v>
      </c>
      <c r="K90" s="35" t="str">
        <f>IF(OR(ISBLANK(L90),L90=0),"",Settings!$B$14)</f>
        <v/>
      </c>
      <c r="L90" s="30">
        <f>IF(ISBLANK(Inventory!A90),0,SUM(E90:G90)*Inventory!H90)</f>
        <v>0</v>
      </c>
      <c r="M90" s="35" t="str">
        <f>IF(OR(ISBLANK(N90),N90=0),"",Settings!$B$14)</f>
        <v/>
      </c>
      <c r="N90" s="30">
        <f>IF(ISBLANK(Inventory!A90),0,SUM(E90:G90)*Inventory!J90)</f>
        <v>0</v>
      </c>
      <c r="O90" s="35" t="str">
        <f>IF(OR(ISBLANK(P90),P90=0),"",Settings!$B$14)</f>
        <v/>
      </c>
      <c r="P90" s="30">
        <f>IF(ISBLANK(Inventory!A90),0,H90*Inventory!J90)</f>
        <v>0</v>
      </c>
    </row>
    <row r="91" spans="1:16" s="29" customFormat="1" ht="15" customHeight="1">
      <c r="A91" s="31" t="str">
        <f>IF(ISBLANK(Inventory!A91),"",Inventory!A91)</f>
        <v/>
      </c>
      <c r="B91" s="31" t="str">
        <f>IF(ISBLANK(Inventory!A91),"",Inventory!C91)</f>
        <v/>
      </c>
      <c r="C91" s="187"/>
      <c r="D91" s="192"/>
      <c r="E91" s="187"/>
      <c r="F91" s="187"/>
      <c r="G91" s="187"/>
      <c r="H91" s="37">
        <f>IF(ISBLANK(Inventory!A91),0,C91+SUM('Stock Opening'!C91:E91)-SUM(E91:G91))</f>
        <v>0</v>
      </c>
      <c r="I91" s="35" t="str">
        <f>IF(OR(ISBLANK(J91),J91=0),"",Settings!$B$14)</f>
        <v/>
      </c>
      <c r="J91" s="30">
        <f>IF(ISBLANK(C91),0,C91*Inventory!H91)</f>
        <v>0</v>
      </c>
      <c r="K91" s="35" t="str">
        <f>IF(OR(ISBLANK(L91),L91=0),"",Settings!$B$14)</f>
        <v/>
      </c>
      <c r="L91" s="30">
        <f>IF(ISBLANK(Inventory!A91),0,SUM(E91:G91)*Inventory!H91)</f>
        <v>0</v>
      </c>
      <c r="M91" s="35" t="str">
        <f>IF(OR(ISBLANK(N91),N91=0),"",Settings!$B$14)</f>
        <v/>
      </c>
      <c r="N91" s="30">
        <f>IF(ISBLANK(Inventory!A91),0,SUM(E91:G91)*Inventory!J91)</f>
        <v>0</v>
      </c>
      <c r="O91" s="35" t="str">
        <f>IF(OR(ISBLANK(P91),P91=0),"",Settings!$B$14)</f>
        <v/>
      </c>
      <c r="P91" s="30">
        <f>IF(ISBLANK(Inventory!A91),0,H91*Inventory!J91)</f>
        <v>0</v>
      </c>
    </row>
    <row r="92" spans="1:16" s="29" customFormat="1" ht="15" customHeight="1">
      <c r="A92" s="31" t="str">
        <f>IF(ISBLANK(Inventory!A92),"",Inventory!A92)</f>
        <v/>
      </c>
      <c r="B92" s="31" t="str">
        <f>IF(ISBLANK(Inventory!A92),"",Inventory!C92)</f>
        <v/>
      </c>
      <c r="C92" s="187"/>
      <c r="D92" s="192"/>
      <c r="E92" s="187"/>
      <c r="F92" s="187"/>
      <c r="G92" s="187"/>
      <c r="H92" s="37">
        <f>IF(ISBLANK(Inventory!A92),0,C92+SUM('Stock Opening'!C92:E92)-SUM(E92:G92))</f>
        <v>0</v>
      </c>
      <c r="I92" s="35" t="str">
        <f>IF(OR(ISBLANK(J92),J92=0),"",Settings!$B$14)</f>
        <v/>
      </c>
      <c r="J92" s="30">
        <f>IF(ISBLANK(C92),0,C92*Inventory!H92)</f>
        <v>0</v>
      </c>
      <c r="K92" s="35" t="str">
        <f>IF(OR(ISBLANK(L92),L92=0),"",Settings!$B$14)</f>
        <v/>
      </c>
      <c r="L92" s="30">
        <f>IF(ISBLANK(Inventory!A92),0,SUM(E92:G92)*Inventory!H92)</f>
        <v>0</v>
      </c>
      <c r="M92" s="35" t="str">
        <f>IF(OR(ISBLANK(N92),N92=0),"",Settings!$B$14)</f>
        <v/>
      </c>
      <c r="N92" s="30">
        <f>IF(ISBLANK(Inventory!A92),0,SUM(E92:G92)*Inventory!J92)</f>
        <v>0</v>
      </c>
      <c r="O92" s="35" t="str">
        <f>IF(OR(ISBLANK(P92),P92=0),"",Settings!$B$14)</f>
        <v/>
      </c>
      <c r="P92" s="30">
        <f>IF(ISBLANK(Inventory!A92),0,H92*Inventory!J92)</f>
        <v>0</v>
      </c>
    </row>
    <row r="93" spans="1:16" s="29" customFormat="1" ht="15" customHeight="1">
      <c r="A93" s="31" t="str">
        <f>IF(ISBLANK(Inventory!A93),"",Inventory!A93)</f>
        <v/>
      </c>
      <c r="B93" s="31" t="str">
        <f>IF(ISBLANK(Inventory!A93),"",Inventory!C93)</f>
        <v/>
      </c>
      <c r="C93" s="187"/>
      <c r="D93" s="192"/>
      <c r="E93" s="187"/>
      <c r="F93" s="187"/>
      <c r="G93" s="187"/>
      <c r="H93" s="37">
        <f>IF(ISBLANK(Inventory!A93),0,C93+SUM('Stock Opening'!C93:E93)-SUM(E93:G93))</f>
        <v>0</v>
      </c>
      <c r="I93" s="35" t="str">
        <f>IF(OR(ISBLANK(J93),J93=0),"",Settings!$B$14)</f>
        <v/>
      </c>
      <c r="J93" s="30">
        <f>IF(ISBLANK(C93),0,C93*Inventory!H93)</f>
        <v>0</v>
      </c>
      <c r="K93" s="35" t="str">
        <f>IF(OR(ISBLANK(L93),L93=0),"",Settings!$B$14)</f>
        <v/>
      </c>
      <c r="L93" s="30">
        <f>IF(ISBLANK(Inventory!A93),0,SUM(E93:G93)*Inventory!H93)</f>
        <v>0</v>
      </c>
      <c r="M93" s="35" t="str">
        <f>IF(OR(ISBLANK(N93),N93=0),"",Settings!$B$14)</f>
        <v/>
      </c>
      <c r="N93" s="30">
        <f>IF(ISBLANK(Inventory!A93),0,SUM(E93:G93)*Inventory!J93)</f>
        <v>0</v>
      </c>
      <c r="O93" s="35" t="str">
        <f>IF(OR(ISBLANK(P93),P93=0),"",Settings!$B$14)</f>
        <v/>
      </c>
      <c r="P93" s="30">
        <f>IF(ISBLANK(Inventory!A93),0,H93*Inventory!J93)</f>
        <v>0</v>
      </c>
    </row>
    <row r="94" spans="1:16" s="29" customFormat="1" ht="15" customHeight="1">
      <c r="A94" s="31" t="str">
        <f>IF(ISBLANK(Inventory!A94),"",Inventory!A94)</f>
        <v/>
      </c>
      <c r="B94" s="31" t="str">
        <f>IF(ISBLANK(Inventory!A94),"",Inventory!C94)</f>
        <v/>
      </c>
      <c r="C94" s="187"/>
      <c r="D94" s="192"/>
      <c r="E94" s="187"/>
      <c r="F94" s="187"/>
      <c r="G94" s="187"/>
      <c r="H94" s="37">
        <f>IF(ISBLANK(Inventory!A94),0,C94+SUM('Stock Opening'!C94:E94)-SUM(E94:G94))</f>
        <v>0</v>
      </c>
      <c r="I94" s="35" t="str">
        <f>IF(OR(ISBLANK(J94),J94=0),"",Settings!$B$14)</f>
        <v/>
      </c>
      <c r="J94" s="30">
        <f>IF(ISBLANK(C94),0,C94*Inventory!H94)</f>
        <v>0</v>
      </c>
      <c r="K94" s="35" t="str">
        <f>IF(OR(ISBLANK(L94),L94=0),"",Settings!$B$14)</f>
        <v/>
      </c>
      <c r="L94" s="30">
        <f>IF(ISBLANK(Inventory!A94),0,SUM(E94:G94)*Inventory!H94)</f>
        <v>0</v>
      </c>
      <c r="M94" s="35" t="str">
        <f>IF(OR(ISBLANK(N94),N94=0),"",Settings!$B$14)</f>
        <v/>
      </c>
      <c r="N94" s="30">
        <f>IF(ISBLANK(Inventory!A94),0,SUM(E94:G94)*Inventory!J94)</f>
        <v>0</v>
      </c>
      <c r="O94" s="35" t="str">
        <f>IF(OR(ISBLANK(P94),P94=0),"",Settings!$B$14)</f>
        <v/>
      </c>
      <c r="P94" s="30">
        <f>IF(ISBLANK(Inventory!A94),0,H94*Inventory!J94)</f>
        <v>0</v>
      </c>
    </row>
    <row r="95" spans="1:16" s="29" customFormat="1" ht="15" customHeight="1">
      <c r="A95" s="31" t="str">
        <f>IF(ISBLANK(Inventory!A95),"",Inventory!A95)</f>
        <v/>
      </c>
      <c r="B95" s="31" t="str">
        <f>IF(ISBLANK(Inventory!A95),"",Inventory!C95)</f>
        <v/>
      </c>
      <c r="C95" s="187"/>
      <c r="D95" s="192"/>
      <c r="E95" s="187"/>
      <c r="F95" s="187"/>
      <c r="G95" s="187"/>
      <c r="H95" s="37">
        <f>IF(ISBLANK(Inventory!A95),0,C95+SUM('Stock Opening'!C95:E95)-SUM(E95:G95))</f>
        <v>0</v>
      </c>
      <c r="I95" s="35" t="str">
        <f>IF(OR(ISBLANK(J95),J95=0),"",Settings!$B$14)</f>
        <v/>
      </c>
      <c r="J95" s="30">
        <f>IF(ISBLANK(C95),0,C95*Inventory!H95)</f>
        <v>0</v>
      </c>
      <c r="K95" s="35" t="str">
        <f>IF(OR(ISBLANK(L95),L95=0),"",Settings!$B$14)</f>
        <v/>
      </c>
      <c r="L95" s="30">
        <f>IF(ISBLANK(Inventory!A95),0,SUM(E95:G95)*Inventory!H95)</f>
        <v>0</v>
      </c>
      <c r="M95" s="35" t="str">
        <f>IF(OR(ISBLANK(N95),N95=0),"",Settings!$B$14)</f>
        <v/>
      </c>
      <c r="N95" s="30">
        <f>IF(ISBLANK(Inventory!A95),0,SUM(E95:G95)*Inventory!J95)</f>
        <v>0</v>
      </c>
      <c r="O95" s="35" t="str">
        <f>IF(OR(ISBLANK(P95),P95=0),"",Settings!$B$14)</f>
        <v/>
      </c>
      <c r="P95" s="30">
        <f>IF(ISBLANK(Inventory!A95),0,H95*Inventory!J95)</f>
        <v>0</v>
      </c>
    </row>
    <row r="96" spans="1:16" s="29" customFormat="1" ht="15" customHeight="1">
      <c r="A96" s="31" t="str">
        <f>IF(ISBLANK(Inventory!A96),"",Inventory!A96)</f>
        <v/>
      </c>
      <c r="B96" s="31" t="str">
        <f>IF(ISBLANK(Inventory!A96),"",Inventory!C96)</f>
        <v/>
      </c>
      <c r="C96" s="187"/>
      <c r="D96" s="192"/>
      <c r="E96" s="187"/>
      <c r="F96" s="187"/>
      <c r="G96" s="187"/>
      <c r="H96" s="37">
        <f>IF(ISBLANK(Inventory!A96),0,C96+SUM('Stock Opening'!C96:E96)-SUM(E96:G96))</f>
        <v>0</v>
      </c>
      <c r="I96" s="35" t="str">
        <f>IF(OR(ISBLANK(J96),J96=0),"",Settings!$B$14)</f>
        <v/>
      </c>
      <c r="J96" s="30">
        <f>IF(ISBLANK(C96),0,C96*Inventory!H96)</f>
        <v>0</v>
      </c>
      <c r="K96" s="35" t="str">
        <f>IF(OR(ISBLANK(L96),L96=0),"",Settings!$B$14)</f>
        <v/>
      </c>
      <c r="L96" s="30">
        <f>IF(ISBLANK(Inventory!A96),0,SUM(E96:G96)*Inventory!H96)</f>
        <v>0</v>
      </c>
      <c r="M96" s="35" t="str">
        <f>IF(OR(ISBLANK(N96),N96=0),"",Settings!$B$14)</f>
        <v/>
      </c>
      <c r="N96" s="30">
        <f>IF(ISBLANK(Inventory!A96),0,SUM(E96:G96)*Inventory!J96)</f>
        <v>0</v>
      </c>
      <c r="O96" s="35" t="str">
        <f>IF(OR(ISBLANK(P96),P96=0),"",Settings!$B$14)</f>
        <v/>
      </c>
      <c r="P96" s="30">
        <f>IF(ISBLANK(Inventory!A96),0,H96*Inventory!J96)</f>
        <v>0</v>
      </c>
    </row>
    <row r="97" spans="1:16" s="29" customFormat="1" ht="15" customHeight="1">
      <c r="A97" s="31" t="str">
        <f>IF(ISBLANK(Inventory!A97),"",Inventory!A97)</f>
        <v/>
      </c>
      <c r="B97" s="31" t="str">
        <f>IF(ISBLANK(Inventory!A97),"",Inventory!C97)</f>
        <v/>
      </c>
      <c r="C97" s="187"/>
      <c r="D97" s="192"/>
      <c r="E97" s="187"/>
      <c r="F97" s="187"/>
      <c r="G97" s="187"/>
      <c r="H97" s="37">
        <f>IF(ISBLANK(Inventory!A97),0,C97+SUM('Stock Opening'!C97:E97)-SUM(E97:G97))</f>
        <v>0</v>
      </c>
      <c r="I97" s="35" t="str">
        <f>IF(OR(ISBLANK(J97),J97=0),"",Settings!$B$14)</f>
        <v/>
      </c>
      <c r="J97" s="30">
        <f>IF(ISBLANK(C97),0,C97*Inventory!H97)</f>
        <v>0</v>
      </c>
      <c r="K97" s="35" t="str">
        <f>IF(OR(ISBLANK(L97),L97=0),"",Settings!$B$14)</f>
        <v/>
      </c>
      <c r="L97" s="30">
        <f>IF(ISBLANK(Inventory!A97),0,SUM(E97:G97)*Inventory!H97)</f>
        <v>0</v>
      </c>
      <c r="M97" s="35" t="str">
        <f>IF(OR(ISBLANK(N97),N97=0),"",Settings!$B$14)</f>
        <v/>
      </c>
      <c r="N97" s="30">
        <f>IF(ISBLANK(Inventory!A97),0,SUM(E97:G97)*Inventory!J97)</f>
        <v>0</v>
      </c>
      <c r="O97" s="35" t="str">
        <f>IF(OR(ISBLANK(P97),P97=0),"",Settings!$B$14)</f>
        <v/>
      </c>
      <c r="P97" s="30">
        <f>IF(ISBLANK(Inventory!A97),0,H97*Inventory!J97)</f>
        <v>0</v>
      </c>
    </row>
    <row r="98" spans="1:16" ht="6.95" customHeight="1">
      <c r="A98" s="24"/>
      <c r="B98" s="24"/>
      <c r="C98" s="69"/>
      <c r="D98" s="69"/>
      <c r="E98" s="69"/>
      <c r="F98" s="69"/>
      <c r="G98" s="69"/>
      <c r="H98" s="69"/>
      <c r="I98" s="69"/>
      <c r="J98" s="69"/>
      <c r="K98" s="69"/>
      <c r="L98" s="25"/>
      <c r="M98" s="62"/>
      <c r="N98" s="160"/>
      <c r="O98" s="25"/>
      <c r="P98" s="160"/>
    </row>
    <row r="99" spans="1:16" s="45" customFormat="1" ht="18" customHeight="1" thickBot="1">
      <c r="A99" s="78" t="str">
        <f>Inventory!A99</f>
        <v>DRAUGHT BEER</v>
      </c>
      <c r="B99" s="78" t="str">
        <f>Inventory!C99</f>
        <v>VOLUME</v>
      </c>
      <c r="C99" s="22" t="s">
        <v>187</v>
      </c>
      <c r="D99" s="22"/>
      <c r="E99" s="22" t="s">
        <v>101</v>
      </c>
      <c r="F99" s="22"/>
      <c r="G99" s="23" t="s">
        <v>108</v>
      </c>
      <c r="H99" s="79" t="s">
        <v>119</v>
      </c>
      <c r="I99" s="253" t="s">
        <v>190</v>
      </c>
      <c r="J99" s="253"/>
      <c r="K99" s="235" t="s">
        <v>30</v>
      </c>
      <c r="L99" s="235"/>
      <c r="M99" s="235" t="s">
        <v>31</v>
      </c>
      <c r="N99" s="235"/>
      <c r="O99" s="235" t="s">
        <v>189</v>
      </c>
      <c r="P99" s="235"/>
    </row>
    <row r="100" spans="1:16" ht="6.95" customHeight="1" thickTop="1">
      <c r="A100" s="193"/>
      <c r="B100" s="194"/>
      <c r="C100" s="71"/>
      <c r="D100" s="71"/>
      <c r="E100" s="67"/>
      <c r="F100" s="67"/>
      <c r="G100" s="71"/>
      <c r="H100" s="71"/>
      <c r="I100" s="71"/>
      <c r="J100" s="71"/>
      <c r="K100" s="71"/>
      <c r="L100" s="67"/>
      <c r="M100" s="62"/>
      <c r="N100" s="67"/>
      <c r="O100" s="67"/>
      <c r="P100" s="67"/>
    </row>
    <row r="101" spans="1:16" s="29" customFormat="1" ht="15" customHeight="1">
      <c r="A101" s="31" t="str">
        <f>IF(ISBLANK(Inventory!A101),"",Inventory!A101)</f>
        <v>Boddingtons</v>
      </c>
      <c r="B101" s="31" t="str">
        <f>IF(ISBLANK(Inventory!A101),"",Inventory!C101)</f>
        <v>22 Gallon</v>
      </c>
      <c r="C101" s="187">
        <v>1</v>
      </c>
      <c r="D101" s="192"/>
      <c r="E101" s="187">
        <v>1</v>
      </c>
      <c r="F101" s="173"/>
      <c r="G101" s="187">
        <v>0.5</v>
      </c>
      <c r="H101" s="37">
        <f>IF(ISBLANK(Inventory!A101),0,C101+SUM('Stock Opening'!C101:E101)-SUM(E101:G101))</f>
        <v>1</v>
      </c>
      <c r="I101" s="35" t="str">
        <f>IF(OR(ISBLANK(J101),J101=0),"",Settings!$B$14)</f>
        <v>$</v>
      </c>
      <c r="J101" s="30">
        <f>IF(ISBLANK(C101),0,C101*Inventory!F101)</f>
        <v>95.38</v>
      </c>
      <c r="K101" s="35" t="str">
        <f>IF(OR(ISBLANK(L101),L101=0),"",Settings!$B$14)</f>
        <v>$</v>
      </c>
      <c r="L101" s="30">
        <f>IF(ISBLANK(Inventory!A101),0,SUM(E101:G101)*Inventory!F101)</f>
        <v>143.07</v>
      </c>
      <c r="M101" s="35" t="str">
        <f>IF(OR(ISBLANK(N101),N101=0),"",Settings!$B$14)</f>
        <v>$</v>
      </c>
      <c r="N101" s="30">
        <f>IF(ISBLANK(Inventory!A101),0,SUM(E101:G101)*Inventory!L101)</f>
        <v>707.52</v>
      </c>
      <c r="O101" s="35" t="str">
        <f>IF(OR(ISBLANK(P101),P101=0),"",Settings!$B$14)</f>
        <v>$</v>
      </c>
      <c r="P101" s="30">
        <f>IF(ISBLANK(Inventory!A101),0,H101*Inventory!L101)</f>
        <v>471.68</v>
      </c>
    </row>
    <row r="102" spans="1:16" s="29" customFormat="1" ht="15" customHeight="1">
      <c r="A102" s="31" t="str">
        <f>IF(ISBLANK(Inventory!A102),"",Inventory!A102)</f>
        <v>Murphy's</v>
      </c>
      <c r="B102" s="31" t="str">
        <f>IF(ISBLANK(Inventory!A102),"",Inventory!C102)</f>
        <v>10 Gallon</v>
      </c>
      <c r="C102" s="187">
        <v>1</v>
      </c>
      <c r="D102" s="192"/>
      <c r="E102" s="187"/>
      <c r="F102" s="173"/>
      <c r="G102" s="187">
        <v>0.3</v>
      </c>
      <c r="H102" s="37">
        <f>IF(ISBLANK(Inventory!A102),0,C102+SUM('Stock Opening'!C102:E102)-SUM(E102:G102))</f>
        <v>0.7</v>
      </c>
      <c r="I102" s="35" t="str">
        <f>IF(OR(ISBLANK(J102),J102=0),"",Settings!$B$14)</f>
        <v>$</v>
      </c>
      <c r="J102" s="30">
        <f>IF(ISBLANK(C102),0,C102*Inventory!F102)</f>
        <v>53.25</v>
      </c>
      <c r="K102" s="35" t="str">
        <f>IF(OR(ISBLANK(L102),L102=0),"",Settings!$B$14)</f>
        <v>$</v>
      </c>
      <c r="L102" s="30">
        <f>IF(ISBLANK(Inventory!A102),0,SUM(E102:G102)*Inventory!F102)</f>
        <v>15.975</v>
      </c>
      <c r="M102" s="35" t="str">
        <f>IF(OR(ISBLANK(N102),N102=0),"",Settings!$B$14)</f>
        <v>$</v>
      </c>
      <c r="N102" s="30">
        <f>IF(ISBLANK(Inventory!A102),0,SUM(E102:G102)*Inventory!L102)</f>
        <v>70.08</v>
      </c>
      <c r="O102" s="35" t="str">
        <f>IF(OR(ISBLANK(P102),P102=0),"",Settings!$B$14)</f>
        <v>$</v>
      </c>
      <c r="P102" s="30">
        <f>IF(ISBLANK(Inventory!A102),0,H102*Inventory!L102)</f>
        <v>163.51999999999998</v>
      </c>
    </row>
    <row r="103" spans="1:16" s="29" customFormat="1" ht="15" customHeight="1">
      <c r="A103" s="31" t="str">
        <f>IF(ISBLANK(Inventory!A103),"",Inventory!A103)</f>
        <v/>
      </c>
      <c r="B103" s="31" t="str">
        <f>IF(ISBLANK(Inventory!A103),"",Inventory!C103)</f>
        <v/>
      </c>
      <c r="C103" s="187"/>
      <c r="D103" s="192"/>
      <c r="E103" s="187"/>
      <c r="F103" s="173"/>
      <c r="G103" s="187"/>
      <c r="H103" s="37">
        <f>IF(ISBLANK(Inventory!A103),0,C103+SUM('Stock Opening'!C103:E103)-SUM(E103:G103))</f>
        <v>0</v>
      </c>
      <c r="I103" s="35" t="str">
        <f>IF(OR(ISBLANK(J103),J103=0),"",Settings!$B$14)</f>
        <v/>
      </c>
      <c r="J103" s="30">
        <f>IF(ISBLANK(C103),0,C103*Inventory!F103)</f>
        <v>0</v>
      </c>
      <c r="K103" s="35" t="str">
        <f>IF(OR(ISBLANK(L103),L103=0),"",Settings!$B$14)</f>
        <v/>
      </c>
      <c r="L103" s="30">
        <f>IF(ISBLANK(Inventory!A103),0,SUM(E103:G103)*Inventory!F103)</f>
        <v>0</v>
      </c>
      <c r="M103" s="35" t="str">
        <f>IF(OR(ISBLANK(N103),N103=0),"",Settings!$B$14)</f>
        <v/>
      </c>
      <c r="N103" s="30">
        <f>IF(ISBLANK(Inventory!A103),0,SUM(E103:G103)*Inventory!L103)</f>
        <v>0</v>
      </c>
      <c r="O103" s="35" t="str">
        <f>IF(OR(ISBLANK(P103),P103=0),"",Settings!$B$14)</f>
        <v/>
      </c>
      <c r="P103" s="30">
        <f>IF(ISBLANK(Inventory!A103),0,H103*Inventory!L103)</f>
        <v>0</v>
      </c>
    </row>
    <row r="104" spans="1:16" s="29" customFormat="1" ht="15" customHeight="1">
      <c r="A104" s="31" t="str">
        <f>IF(ISBLANK(Inventory!A104),"",Inventory!A104)</f>
        <v/>
      </c>
      <c r="B104" s="31" t="str">
        <f>IF(ISBLANK(Inventory!A104),"",Inventory!C104)</f>
        <v/>
      </c>
      <c r="C104" s="187"/>
      <c r="D104" s="192"/>
      <c r="E104" s="187"/>
      <c r="F104" s="173"/>
      <c r="G104" s="187"/>
      <c r="H104" s="37">
        <f>IF(ISBLANK(Inventory!A104),0,C104+SUM('Stock Opening'!C104:E104)-SUM(E104:G104))</f>
        <v>0</v>
      </c>
      <c r="I104" s="35" t="str">
        <f>IF(OR(ISBLANK(J104),J104=0),"",Settings!$B$14)</f>
        <v/>
      </c>
      <c r="J104" s="30">
        <f>IF(ISBLANK(C104),0,C104*Inventory!F104)</f>
        <v>0</v>
      </c>
      <c r="K104" s="35" t="str">
        <f>IF(OR(ISBLANK(L104),L104=0),"",Settings!$B$14)</f>
        <v/>
      </c>
      <c r="L104" s="30">
        <f>IF(ISBLANK(Inventory!A104),0,SUM(E104:G104)*Inventory!F104)</f>
        <v>0</v>
      </c>
      <c r="M104" s="35" t="str">
        <f>IF(OR(ISBLANK(N104),N104=0),"",Settings!$B$14)</f>
        <v/>
      </c>
      <c r="N104" s="30">
        <f>IF(ISBLANK(Inventory!A104),0,SUM(E104:G104)*Inventory!L104)</f>
        <v>0</v>
      </c>
      <c r="O104" s="35" t="str">
        <f>IF(OR(ISBLANK(P104),P104=0),"",Settings!$B$14)</f>
        <v/>
      </c>
      <c r="P104" s="30">
        <f>IF(ISBLANK(Inventory!A104),0,H104*Inventory!L104)</f>
        <v>0</v>
      </c>
    </row>
    <row r="105" spans="1:16" s="29" customFormat="1" ht="15" customHeight="1">
      <c r="A105" s="31" t="str">
        <f>IF(ISBLANK(Inventory!A105),"",Inventory!A105)</f>
        <v/>
      </c>
      <c r="B105" s="31" t="str">
        <f>IF(ISBLANK(Inventory!A105),"",Inventory!C105)</f>
        <v/>
      </c>
      <c r="C105" s="187"/>
      <c r="D105" s="192"/>
      <c r="E105" s="187"/>
      <c r="F105" s="173"/>
      <c r="G105" s="187"/>
      <c r="H105" s="37">
        <f>IF(ISBLANK(Inventory!A105),0,C105+SUM('Stock Opening'!C105:E105)-SUM(E105:G105))</f>
        <v>0</v>
      </c>
      <c r="I105" s="35" t="str">
        <f>IF(OR(ISBLANK(J105),J105=0),"",Settings!$B$14)</f>
        <v/>
      </c>
      <c r="J105" s="30">
        <f>IF(ISBLANK(C105),0,C105*Inventory!F105)</f>
        <v>0</v>
      </c>
      <c r="K105" s="35" t="str">
        <f>IF(OR(ISBLANK(L105),L105=0),"",Settings!$B$14)</f>
        <v/>
      </c>
      <c r="L105" s="30">
        <f>IF(ISBLANK(Inventory!A105),0,SUM(E105:G105)*Inventory!F105)</f>
        <v>0</v>
      </c>
      <c r="M105" s="35" t="str">
        <f>IF(OR(ISBLANK(N105),N105=0),"",Settings!$B$14)</f>
        <v/>
      </c>
      <c r="N105" s="30">
        <f>IF(ISBLANK(Inventory!A105),0,SUM(E105:G105)*Inventory!L105)</f>
        <v>0</v>
      </c>
      <c r="O105" s="35" t="str">
        <f>IF(OR(ISBLANK(P105),P105=0),"",Settings!$B$14)</f>
        <v/>
      </c>
      <c r="P105" s="30">
        <f>IF(ISBLANK(Inventory!A105),0,H105*Inventory!L105)</f>
        <v>0</v>
      </c>
    </row>
    <row r="106" spans="1:16" s="29" customFormat="1" ht="15" customHeight="1">
      <c r="A106" s="31" t="str">
        <f>IF(ISBLANK(Inventory!A106),"",Inventory!A106)</f>
        <v/>
      </c>
      <c r="B106" s="31" t="str">
        <f>IF(ISBLANK(Inventory!A106),"",Inventory!C106)</f>
        <v/>
      </c>
      <c r="C106" s="187"/>
      <c r="D106" s="192"/>
      <c r="E106" s="187"/>
      <c r="F106" s="173"/>
      <c r="G106" s="187"/>
      <c r="H106" s="37">
        <f>IF(ISBLANK(Inventory!A106),0,C106+SUM('Stock Opening'!C106:E106)-SUM(E106:G106))</f>
        <v>0</v>
      </c>
      <c r="I106" s="35" t="str">
        <f>IF(OR(ISBLANK(J106),J106=0),"",Settings!$B$14)</f>
        <v/>
      </c>
      <c r="J106" s="30">
        <f>IF(ISBLANK(C106),0,C106*Inventory!F106)</f>
        <v>0</v>
      </c>
      <c r="K106" s="35" t="str">
        <f>IF(OR(ISBLANK(L106),L106=0),"",Settings!$B$14)</f>
        <v/>
      </c>
      <c r="L106" s="30">
        <f>IF(ISBLANK(Inventory!A106),0,SUM(E106:G106)*Inventory!F106)</f>
        <v>0</v>
      </c>
      <c r="M106" s="35" t="str">
        <f>IF(OR(ISBLANK(N106),N106=0),"",Settings!$B$14)</f>
        <v/>
      </c>
      <c r="N106" s="30">
        <f>IF(ISBLANK(Inventory!A106),0,SUM(E106:G106)*Inventory!L106)</f>
        <v>0</v>
      </c>
      <c r="O106" s="35" t="str">
        <f>IF(OR(ISBLANK(P106),P106=0),"",Settings!$B$14)</f>
        <v/>
      </c>
      <c r="P106" s="30">
        <f>IF(ISBLANK(Inventory!A106),0,H106*Inventory!L106)</f>
        <v>0</v>
      </c>
    </row>
    <row r="107" spans="1:16" ht="6.95" customHeight="1">
      <c r="A107" s="24"/>
      <c r="B107" s="24"/>
      <c r="C107" s="69"/>
      <c r="D107" s="69"/>
      <c r="E107" s="69"/>
      <c r="F107" s="69"/>
      <c r="G107" s="69"/>
      <c r="H107" s="69"/>
      <c r="I107" s="69"/>
      <c r="J107" s="69"/>
      <c r="K107" s="69"/>
      <c r="L107" s="25"/>
      <c r="M107" s="62"/>
      <c r="N107" s="160"/>
      <c r="O107" s="25"/>
      <c r="P107" s="160"/>
    </row>
    <row r="108" spans="1:16" s="45" customFormat="1" ht="18" customHeight="1" thickBot="1">
      <c r="A108" s="78" t="str">
        <f>Inventory!A108</f>
        <v>DRAUGHT LAGER</v>
      </c>
      <c r="B108" s="78" t="str">
        <f>Inventory!C108</f>
        <v>VOLUME</v>
      </c>
      <c r="C108" s="22" t="s">
        <v>187</v>
      </c>
      <c r="D108" s="22"/>
      <c r="E108" s="22" t="s">
        <v>101</v>
      </c>
      <c r="F108" s="22"/>
      <c r="G108" s="23" t="s">
        <v>108</v>
      </c>
      <c r="H108" s="79" t="s">
        <v>119</v>
      </c>
      <c r="I108" s="253" t="s">
        <v>190</v>
      </c>
      <c r="J108" s="253"/>
      <c r="K108" s="235" t="s">
        <v>30</v>
      </c>
      <c r="L108" s="235"/>
      <c r="M108" s="235" t="s">
        <v>31</v>
      </c>
      <c r="N108" s="235"/>
      <c r="O108" s="235" t="s">
        <v>189</v>
      </c>
      <c r="P108" s="235"/>
    </row>
    <row r="109" spans="1:16" ht="6.95" customHeight="1" thickTop="1">
      <c r="A109" s="193"/>
      <c r="B109" s="194"/>
      <c r="C109" s="71"/>
      <c r="D109" s="71"/>
      <c r="E109" s="67"/>
      <c r="F109" s="67"/>
      <c r="G109" s="71"/>
      <c r="H109" s="71"/>
      <c r="I109" s="71"/>
      <c r="J109" s="71"/>
      <c r="K109" s="71"/>
      <c r="L109" s="67"/>
      <c r="M109" s="62"/>
      <c r="N109" s="67"/>
      <c r="O109" s="67"/>
      <c r="P109" s="67"/>
    </row>
    <row r="110" spans="1:16" s="29" customFormat="1" ht="15" customHeight="1">
      <c r="A110" s="31" t="str">
        <f>IF(ISBLANK(Inventory!A110),"",Inventory!A110)</f>
        <v>Hoegaarden</v>
      </c>
      <c r="B110" s="31" t="str">
        <f>IF(ISBLANK(Inventory!A110),"",Inventory!C110)</f>
        <v>7.1 Gallon</v>
      </c>
      <c r="C110" s="187"/>
      <c r="D110" s="192"/>
      <c r="E110" s="187">
        <v>1</v>
      </c>
      <c r="F110" s="173"/>
      <c r="G110" s="187">
        <v>0.8</v>
      </c>
      <c r="H110" s="37">
        <f>IF(ISBLANK(Inventory!A110),0,C110+SUM('Stock Opening'!C110:E110)-SUM(E110:G110))</f>
        <v>0.40000000000000013</v>
      </c>
      <c r="I110" s="35" t="str">
        <f>IF(OR(ISBLANK(J110),J110=0),"",Settings!$B$14)</f>
        <v/>
      </c>
      <c r="J110" s="30">
        <f>IF(ISBLANK(C110),0,C110*Inventory!F110)</f>
        <v>0</v>
      </c>
      <c r="K110" s="35" t="str">
        <f>IF(OR(ISBLANK(L110),L110=0),"",Settings!$B$14)</f>
        <v>$</v>
      </c>
      <c r="L110" s="30">
        <f>IF(ISBLANK(Inventory!A110),0,SUM(E110:G110)*Inventory!F110)</f>
        <v>63</v>
      </c>
      <c r="M110" s="35" t="str">
        <f>IF(OR(ISBLANK(N110),N110=0),"",Settings!$B$14)</f>
        <v>$</v>
      </c>
      <c r="N110" s="30">
        <f>IF(ISBLANK(Inventory!A110),0,SUM(E110:G110)*Inventory!L110)</f>
        <v>260.71199999999999</v>
      </c>
      <c r="O110" s="35" t="str">
        <f>IF(OR(ISBLANK(P110),P110=0),"",Settings!$B$14)</f>
        <v>$</v>
      </c>
      <c r="P110" s="30">
        <f>IF(ISBLANK(Inventory!A110),0,H110*Inventory!L110)</f>
        <v>57.936000000000007</v>
      </c>
    </row>
    <row r="111" spans="1:16" s="29" customFormat="1" ht="15" customHeight="1">
      <c r="A111" s="31" t="str">
        <f>IF(ISBLANK(Inventory!A111),"",Inventory!A111)</f>
        <v>Stella Artois</v>
      </c>
      <c r="B111" s="31" t="str">
        <f>IF(ISBLANK(Inventory!A111),"",Inventory!C111)</f>
        <v>22 Gallon</v>
      </c>
      <c r="C111" s="187"/>
      <c r="D111" s="192"/>
      <c r="E111" s="187"/>
      <c r="F111" s="173"/>
      <c r="G111" s="187"/>
      <c r="H111" s="37">
        <f>IF(ISBLANK(Inventory!A111),0,C111+SUM('Stock Opening'!C111:E111)-SUM(E111:G111))</f>
        <v>0</v>
      </c>
      <c r="I111" s="35" t="str">
        <f>IF(OR(ISBLANK(J111),J111=0),"",Settings!$B$14)</f>
        <v/>
      </c>
      <c r="J111" s="30">
        <f>IF(ISBLANK(C111),0,C111*Inventory!F111)</f>
        <v>0</v>
      </c>
      <c r="K111" s="35" t="str">
        <f>IF(OR(ISBLANK(L111),L111=0),"",Settings!$B$14)</f>
        <v/>
      </c>
      <c r="L111" s="30">
        <f>IF(ISBLANK(Inventory!A111),0,SUM(E111:G111)*Inventory!F111)</f>
        <v>0</v>
      </c>
      <c r="M111" s="35" t="str">
        <f>IF(OR(ISBLANK(N111),N111=0),"",Settings!$B$14)</f>
        <v/>
      </c>
      <c r="N111" s="30">
        <f>IF(ISBLANK(Inventory!A111),0,SUM(E111:G111)*Inventory!L111)</f>
        <v>0</v>
      </c>
      <c r="O111" s="35" t="str">
        <f>IF(OR(ISBLANK(P111),P111=0),"",Settings!$B$14)</f>
        <v/>
      </c>
      <c r="P111" s="30">
        <f>IF(ISBLANK(Inventory!A111),0,H111*Inventory!L111)</f>
        <v>0</v>
      </c>
    </row>
    <row r="112" spans="1:16" s="29" customFormat="1" ht="15" customHeight="1">
      <c r="A112" s="31" t="str">
        <f>IF(ISBLANK(Inventory!A112),"",Inventory!A112)</f>
        <v>Stella Artois</v>
      </c>
      <c r="B112" s="31" t="str">
        <f>IF(ISBLANK(Inventory!A112),"",Inventory!C112)</f>
        <v>10 Gallon</v>
      </c>
      <c r="C112" s="187"/>
      <c r="D112" s="192"/>
      <c r="E112" s="187"/>
      <c r="F112" s="173"/>
      <c r="G112" s="187"/>
      <c r="H112" s="37">
        <f>IF(ISBLANK(Inventory!A112),0,C112+SUM('Stock Opening'!C112:E112)-SUM(E112:G112))</f>
        <v>0</v>
      </c>
      <c r="I112" s="35" t="str">
        <f>IF(OR(ISBLANK(J112),J112=0),"",Settings!$B$14)</f>
        <v/>
      </c>
      <c r="J112" s="30">
        <f>IF(ISBLANK(C112),0,C112*Inventory!F112)</f>
        <v>0</v>
      </c>
      <c r="K112" s="35" t="str">
        <f>IF(OR(ISBLANK(L112),L112=0),"",Settings!$B$14)</f>
        <v/>
      </c>
      <c r="L112" s="30">
        <f>IF(ISBLANK(Inventory!A112),0,SUM(E112:G112)*Inventory!F112)</f>
        <v>0</v>
      </c>
      <c r="M112" s="35" t="str">
        <f>IF(OR(ISBLANK(N112),N112=0),"",Settings!$B$14)</f>
        <v/>
      </c>
      <c r="N112" s="30">
        <f>IF(ISBLANK(Inventory!A112),0,SUM(E112:G112)*Inventory!L112)</f>
        <v>0</v>
      </c>
      <c r="O112" s="35" t="str">
        <f>IF(OR(ISBLANK(P112),P112=0),"",Settings!$B$14)</f>
        <v/>
      </c>
      <c r="P112" s="30">
        <f>IF(ISBLANK(Inventory!A112),0,H112*Inventory!L112)</f>
        <v>0</v>
      </c>
    </row>
    <row r="113" spans="1:16" s="29" customFormat="1" ht="15" customHeight="1">
      <c r="A113" s="31" t="str">
        <f>IF(ISBLANK(Inventory!A113),"",Inventory!A113)</f>
        <v/>
      </c>
      <c r="B113" s="31" t="str">
        <f>IF(ISBLANK(Inventory!A113),"",Inventory!C113)</f>
        <v/>
      </c>
      <c r="C113" s="187"/>
      <c r="D113" s="192"/>
      <c r="E113" s="187"/>
      <c r="F113" s="173"/>
      <c r="G113" s="187"/>
      <c r="H113" s="37">
        <f>IF(ISBLANK(Inventory!A113),0,C113+SUM('Stock Opening'!C113:E113)-SUM(E113:G113))</f>
        <v>0</v>
      </c>
      <c r="I113" s="35" t="str">
        <f>IF(OR(ISBLANK(J113),J113=0),"",Settings!$B$14)</f>
        <v/>
      </c>
      <c r="J113" s="30">
        <f>IF(ISBLANK(C113),0,C113*Inventory!F113)</f>
        <v>0</v>
      </c>
      <c r="K113" s="35" t="str">
        <f>IF(OR(ISBLANK(L113),L113=0),"",Settings!$B$14)</f>
        <v/>
      </c>
      <c r="L113" s="30">
        <f>IF(ISBLANK(Inventory!A113),0,SUM(E113:G113)*Inventory!F113)</f>
        <v>0</v>
      </c>
      <c r="M113" s="35" t="str">
        <f>IF(OR(ISBLANK(N113),N113=0),"",Settings!$B$14)</f>
        <v/>
      </c>
      <c r="N113" s="30">
        <f>IF(ISBLANK(Inventory!A113),0,SUM(E113:G113)*Inventory!L113)</f>
        <v>0</v>
      </c>
      <c r="O113" s="35" t="str">
        <f>IF(OR(ISBLANK(P113),P113=0),"",Settings!$B$14)</f>
        <v/>
      </c>
      <c r="P113" s="30">
        <f>IF(ISBLANK(Inventory!A113),0,H113*Inventory!L113)</f>
        <v>0</v>
      </c>
    </row>
    <row r="114" spans="1:16" s="29" customFormat="1" ht="15" customHeight="1">
      <c r="A114" s="31" t="str">
        <f>IF(ISBLANK(Inventory!A114),"",Inventory!A114)</f>
        <v/>
      </c>
      <c r="B114" s="31" t="str">
        <f>IF(ISBLANK(Inventory!A114),"",Inventory!C114)</f>
        <v/>
      </c>
      <c r="C114" s="187"/>
      <c r="D114" s="192"/>
      <c r="E114" s="187"/>
      <c r="F114" s="173"/>
      <c r="G114" s="187"/>
      <c r="H114" s="37">
        <f>IF(ISBLANK(Inventory!A114),0,C114+SUM('Stock Opening'!C114:E114)-SUM(E114:G114))</f>
        <v>0</v>
      </c>
      <c r="I114" s="35" t="str">
        <f>IF(OR(ISBLANK(J114),J114=0),"",Settings!$B$14)</f>
        <v/>
      </c>
      <c r="J114" s="30">
        <f>IF(ISBLANK(C114),0,C114*Inventory!F114)</f>
        <v>0</v>
      </c>
      <c r="K114" s="35" t="str">
        <f>IF(OR(ISBLANK(L114),L114=0),"",Settings!$B$14)</f>
        <v/>
      </c>
      <c r="L114" s="30">
        <f>IF(ISBLANK(Inventory!A114),0,SUM(E114:G114)*Inventory!F114)</f>
        <v>0</v>
      </c>
      <c r="M114" s="35" t="str">
        <f>IF(OR(ISBLANK(N114),N114=0),"",Settings!$B$14)</f>
        <v/>
      </c>
      <c r="N114" s="30">
        <f>IF(ISBLANK(Inventory!A114),0,SUM(E114:G114)*Inventory!L114)</f>
        <v>0</v>
      </c>
      <c r="O114" s="35" t="str">
        <f>IF(OR(ISBLANK(P114),P114=0),"",Settings!$B$14)</f>
        <v/>
      </c>
      <c r="P114" s="30">
        <f>IF(ISBLANK(Inventory!A114),0,H114*Inventory!L114)</f>
        <v>0</v>
      </c>
    </row>
    <row r="115" spans="1:16" s="29" customFormat="1" ht="15" customHeight="1">
      <c r="A115" s="31" t="str">
        <f>IF(ISBLANK(Inventory!A115),"",Inventory!A115)</f>
        <v/>
      </c>
      <c r="B115" s="31" t="str">
        <f>IF(ISBLANK(Inventory!A115),"",Inventory!C115)</f>
        <v/>
      </c>
      <c r="C115" s="187"/>
      <c r="D115" s="192"/>
      <c r="E115" s="187"/>
      <c r="F115" s="173"/>
      <c r="G115" s="187"/>
      <c r="H115" s="37">
        <f>IF(ISBLANK(Inventory!A115),0,C115+SUM('Stock Opening'!C115:E115)-SUM(E115:G115))</f>
        <v>0</v>
      </c>
      <c r="I115" s="35" t="str">
        <f>IF(OR(ISBLANK(J115),J115=0),"",Settings!$B$14)</f>
        <v/>
      </c>
      <c r="J115" s="30">
        <f>IF(ISBLANK(C115),0,C115*Inventory!F115)</f>
        <v>0</v>
      </c>
      <c r="K115" s="35" t="str">
        <f>IF(OR(ISBLANK(L115),L115=0),"",Settings!$B$14)</f>
        <v/>
      </c>
      <c r="L115" s="30">
        <f>IF(ISBLANK(Inventory!A115),0,SUM(E115:G115)*Inventory!F115)</f>
        <v>0</v>
      </c>
      <c r="M115" s="35" t="str">
        <f>IF(OR(ISBLANK(N115),N115=0),"",Settings!$B$14)</f>
        <v/>
      </c>
      <c r="N115" s="30">
        <f>IF(ISBLANK(Inventory!A115),0,SUM(E115:G115)*Inventory!L115)</f>
        <v>0</v>
      </c>
      <c r="O115" s="35" t="str">
        <f>IF(OR(ISBLANK(P115),P115=0),"",Settings!$B$14)</f>
        <v/>
      </c>
      <c r="P115" s="30">
        <f>IF(ISBLANK(Inventory!A115),0,H115*Inventory!L115)</f>
        <v>0</v>
      </c>
    </row>
    <row r="116" spans="1:16" ht="6.95" customHeight="1">
      <c r="A116" s="24"/>
      <c r="B116" s="24"/>
      <c r="C116" s="69"/>
      <c r="D116" s="69"/>
      <c r="E116" s="69"/>
      <c r="F116" s="69"/>
      <c r="G116" s="69"/>
      <c r="H116" s="69"/>
      <c r="I116" s="69"/>
      <c r="J116" s="69"/>
      <c r="K116" s="69"/>
      <c r="L116" s="25"/>
      <c r="M116" s="62"/>
      <c r="N116" s="160"/>
      <c r="O116" s="25"/>
      <c r="P116" s="160"/>
    </row>
    <row r="117" spans="1:16" s="45" customFormat="1" ht="18" customHeight="1" thickBot="1">
      <c r="A117" s="78" t="str">
        <f>Inventory!A117</f>
        <v>BOTTLED BEER</v>
      </c>
      <c r="B117" s="78" t="str">
        <f>Inventory!C117</f>
        <v>VOLUME</v>
      </c>
      <c r="C117" s="22" t="s">
        <v>187</v>
      </c>
      <c r="D117" s="22"/>
      <c r="E117" s="22" t="s">
        <v>101</v>
      </c>
      <c r="F117" s="22" t="s">
        <v>102</v>
      </c>
      <c r="G117" s="23"/>
      <c r="H117" s="79" t="s">
        <v>119</v>
      </c>
      <c r="I117" s="253" t="s">
        <v>190</v>
      </c>
      <c r="J117" s="253"/>
      <c r="K117" s="235" t="s">
        <v>30</v>
      </c>
      <c r="L117" s="235"/>
      <c r="M117" s="235" t="s">
        <v>31</v>
      </c>
      <c r="N117" s="235"/>
      <c r="O117" s="235" t="s">
        <v>189</v>
      </c>
      <c r="P117" s="235"/>
    </row>
    <row r="118" spans="1:16" ht="6.95" customHeight="1" thickTop="1">
      <c r="A118" s="193"/>
      <c r="B118" s="194"/>
      <c r="C118" s="71"/>
      <c r="D118" s="71"/>
      <c r="E118" s="67"/>
      <c r="F118" s="67"/>
      <c r="G118" s="71"/>
      <c r="H118" s="71"/>
      <c r="I118" s="71"/>
      <c r="J118" s="71"/>
      <c r="K118" s="71"/>
      <c r="L118" s="67"/>
      <c r="M118" s="62"/>
      <c r="N118" s="67"/>
      <c r="O118" s="67"/>
      <c r="P118" s="67"/>
    </row>
    <row r="119" spans="1:16" s="29" customFormat="1" ht="15" customHeight="1">
      <c r="A119" s="31" t="str">
        <f>IF(ISBLANK(Inventory!A119),"",Inventory!A119)</f>
        <v>Labatt Ice</v>
      </c>
      <c r="B119" s="31" t="str">
        <f>IF(ISBLANK(Inventory!A119),"",Inventory!C119)</f>
        <v>330ml</v>
      </c>
      <c r="C119" s="187"/>
      <c r="D119" s="192"/>
      <c r="E119" s="187">
        <v>20</v>
      </c>
      <c r="F119" s="187">
        <v>6</v>
      </c>
      <c r="G119" s="173"/>
      <c r="H119" s="37">
        <f>IF(ISBLANK(Inventory!A119),0,C119+SUM('Stock Opening'!C119:E119)-SUM(E119:G119))</f>
        <v>10</v>
      </c>
      <c r="I119" s="35" t="str">
        <f>IF(OR(ISBLANK(J119),J119=0),"",Settings!$B$14)</f>
        <v/>
      </c>
      <c r="J119" s="30">
        <f>IF(ISBLANK(C119),0,C119*Inventory!H119)</f>
        <v>0</v>
      </c>
      <c r="K119" s="35" t="str">
        <f>IF(OR(ISBLANK(L119),L119=0),"",Settings!$B$14)</f>
        <v>$</v>
      </c>
      <c r="L119" s="30">
        <f>IF(ISBLANK(Inventory!A119),0,SUM(E119:G119)*Inventory!H119)</f>
        <v>14.430000000000001</v>
      </c>
      <c r="M119" s="35" t="str">
        <f>IF(OR(ISBLANK(N119),N119=0),"",Settings!$B$14)</f>
        <v>$</v>
      </c>
      <c r="N119" s="30">
        <f>IF(ISBLANK(Inventory!A119),0,SUM(E119:G119)*Inventory!J119)</f>
        <v>70.72</v>
      </c>
      <c r="O119" s="35" t="str">
        <f>IF(OR(ISBLANK(P119),P119=0),"",Settings!$B$14)</f>
        <v>$</v>
      </c>
      <c r="P119" s="30">
        <f>IF(ISBLANK(Inventory!A119),0,H119*Inventory!J119)</f>
        <v>27.200000000000003</v>
      </c>
    </row>
    <row r="120" spans="1:16" s="29" customFormat="1" ht="15" customHeight="1">
      <c r="A120" s="31" t="str">
        <f>IF(ISBLANK(Inventory!A120),"",Inventory!A120)</f>
        <v>Stella Artois</v>
      </c>
      <c r="B120" s="31" t="str">
        <f>IF(ISBLANK(Inventory!A120),"",Inventory!C120)</f>
        <v>330ml</v>
      </c>
      <c r="C120" s="187"/>
      <c r="D120" s="192"/>
      <c r="E120" s="187"/>
      <c r="F120" s="187"/>
      <c r="G120" s="173"/>
      <c r="H120" s="37">
        <f>IF(ISBLANK(Inventory!A120),0,C120+SUM('Stock Opening'!C120:E120)-SUM(E120:G120))</f>
        <v>0</v>
      </c>
      <c r="I120" s="35" t="str">
        <f>IF(OR(ISBLANK(J120),J120=0),"",Settings!$B$14)</f>
        <v/>
      </c>
      <c r="J120" s="30">
        <f>IF(ISBLANK(C120),0,C120*Inventory!H120)</f>
        <v>0</v>
      </c>
      <c r="K120" s="35" t="str">
        <f>IF(OR(ISBLANK(L120),L120=0),"",Settings!$B$14)</f>
        <v/>
      </c>
      <c r="L120" s="30">
        <f>IF(ISBLANK(Inventory!A120),0,SUM(E120:G120)*Inventory!H120)</f>
        <v>0</v>
      </c>
      <c r="M120" s="35" t="str">
        <f>IF(OR(ISBLANK(N120),N120=0),"",Settings!$B$14)</f>
        <v/>
      </c>
      <c r="N120" s="30">
        <f>IF(ISBLANK(Inventory!A120),0,SUM(E120:G120)*Inventory!J120)</f>
        <v>0</v>
      </c>
      <c r="O120" s="35" t="str">
        <f>IF(OR(ISBLANK(P120),P120=0),"",Settings!$B$14)</f>
        <v/>
      </c>
      <c r="P120" s="30">
        <f>IF(ISBLANK(Inventory!A120),0,H120*Inventory!J120)</f>
        <v>0</v>
      </c>
    </row>
    <row r="121" spans="1:16" s="29" customFormat="1" ht="15" customHeight="1">
      <c r="A121" s="31" t="str">
        <f>IF(ISBLANK(Inventory!A121),"",Inventory!A121)</f>
        <v>Budweiser</v>
      </c>
      <c r="B121" s="31" t="str">
        <f>IF(ISBLANK(Inventory!A121),"",Inventory!C121)</f>
        <v>330ml</v>
      </c>
      <c r="C121" s="187"/>
      <c r="D121" s="192"/>
      <c r="E121" s="187"/>
      <c r="F121" s="187"/>
      <c r="G121" s="173"/>
      <c r="H121" s="37">
        <f>IF(ISBLANK(Inventory!A121),0,C121+SUM('Stock Opening'!C121:E121)-SUM(E121:G121))</f>
        <v>0</v>
      </c>
      <c r="I121" s="35" t="str">
        <f>IF(OR(ISBLANK(J121),J121=0),"",Settings!$B$14)</f>
        <v/>
      </c>
      <c r="J121" s="30">
        <f>IF(ISBLANK(C121),0,C121*Inventory!H121)</f>
        <v>0</v>
      </c>
      <c r="K121" s="35" t="str">
        <f>IF(OR(ISBLANK(L121),L121=0),"",Settings!$B$14)</f>
        <v/>
      </c>
      <c r="L121" s="30">
        <f>IF(ISBLANK(Inventory!A121),0,SUM(E121:G121)*Inventory!H121)</f>
        <v>0</v>
      </c>
      <c r="M121" s="35" t="str">
        <f>IF(OR(ISBLANK(N121),N121=0),"",Settings!$B$14)</f>
        <v/>
      </c>
      <c r="N121" s="30">
        <f>IF(ISBLANK(Inventory!A121),0,SUM(E121:G121)*Inventory!J121)</f>
        <v>0</v>
      </c>
      <c r="O121" s="35" t="str">
        <f>IF(OR(ISBLANK(P121),P121=0),"",Settings!$B$14)</f>
        <v/>
      </c>
      <c r="P121" s="30">
        <f>IF(ISBLANK(Inventory!A121),0,H121*Inventory!J121)</f>
        <v>0</v>
      </c>
    </row>
    <row r="122" spans="1:16" s="29" customFormat="1" ht="15" customHeight="1">
      <c r="A122" s="31" t="str">
        <f>IF(ISBLANK(Inventory!A122),"",Inventory!A122)</f>
        <v>Becks</v>
      </c>
      <c r="B122" s="31" t="str">
        <f>IF(ISBLANK(Inventory!A122),"",Inventory!C122)</f>
        <v>275ml</v>
      </c>
      <c r="C122" s="187"/>
      <c r="D122" s="192"/>
      <c r="E122" s="187"/>
      <c r="F122" s="187"/>
      <c r="G122" s="173"/>
      <c r="H122" s="37">
        <f>IF(ISBLANK(Inventory!A122),0,C122+SUM('Stock Opening'!C122:E122)-SUM(E122:G122))</f>
        <v>0</v>
      </c>
      <c r="I122" s="35" t="str">
        <f>IF(OR(ISBLANK(J122),J122=0),"",Settings!$B$14)</f>
        <v/>
      </c>
      <c r="J122" s="30">
        <f>IF(ISBLANK(C122),0,C122*Inventory!H122)</f>
        <v>0</v>
      </c>
      <c r="K122" s="35" t="str">
        <f>IF(OR(ISBLANK(L122),L122=0),"",Settings!$B$14)</f>
        <v/>
      </c>
      <c r="L122" s="30">
        <f>IF(ISBLANK(Inventory!A122),0,SUM(E122:G122)*Inventory!H122)</f>
        <v>0</v>
      </c>
      <c r="M122" s="35" t="str">
        <f>IF(OR(ISBLANK(N122),N122=0),"",Settings!$B$14)</f>
        <v/>
      </c>
      <c r="N122" s="30">
        <f>IF(ISBLANK(Inventory!A122),0,SUM(E122:G122)*Inventory!J122)</f>
        <v>0</v>
      </c>
      <c r="O122" s="35" t="str">
        <f>IF(OR(ISBLANK(P122),P122=0),"",Settings!$B$14)</f>
        <v/>
      </c>
      <c r="P122" s="30">
        <f>IF(ISBLANK(Inventory!A122),0,H122*Inventory!J122)</f>
        <v>0</v>
      </c>
    </row>
    <row r="123" spans="1:16" s="29" customFormat="1" ht="15" customHeight="1">
      <c r="A123" s="31" t="str">
        <f>IF(ISBLANK(Inventory!A123),"",Inventory!A123)</f>
        <v>Old Speckled Hen</v>
      </c>
      <c r="B123" s="31" t="str">
        <f>IF(ISBLANK(Inventory!A123),"",Inventory!C123)</f>
        <v>500ml</v>
      </c>
      <c r="C123" s="187"/>
      <c r="D123" s="192"/>
      <c r="E123" s="187"/>
      <c r="F123" s="187"/>
      <c r="G123" s="173"/>
      <c r="H123" s="37">
        <f>IF(ISBLANK(Inventory!A123),0,C123+SUM('Stock Opening'!C123:E123)-SUM(E123:G123))</f>
        <v>0</v>
      </c>
      <c r="I123" s="35" t="str">
        <f>IF(OR(ISBLANK(J123),J123=0),"",Settings!$B$14)</f>
        <v/>
      </c>
      <c r="J123" s="30">
        <f>IF(ISBLANK(C123),0,C123*Inventory!H123)</f>
        <v>0</v>
      </c>
      <c r="K123" s="35" t="str">
        <f>IF(OR(ISBLANK(L123),L123=0),"",Settings!$B$14)</f>
        <v/>
      </c>
      <c r="L123" s="30">
        <f>IF(ISBLANK(Inventory!A123),0,SUM(E123:G123)*Inventory!H123)</f>
        <v>0</v>
      </c>
      <c r="M123" s="35" t="str">
        <f>IF(OR(ISBLANK(N123),N123=0),"",Settings!$B$14)</f>
        <v/>
      </c>
      <c r="N123" s="30">
        <f>IF(ISBLANK(Inventory!A123),0,SUM(E123:G123)*Inventory!J123)</f>
        <v>0</v>
      </c>
      <c r="O123" s="35" t="str">
        <f>IF(OR(ISBLANK(P123),P123=0),"",Settings!$B$14)</f>
        <v/>
      </c>
      <c r="P123" s="30">
        <f>IF(ISBLANK(Inventory!A123),0,H123*Inventory!J123)</f>
        <v>0</v>
      </c>
    </row>
    <row r="124" spans="1:16" s="29" customFormat="1" ht="15" customHeight="1">
      <c r="A124" s="31" t="str">
        <f>IF(ISBLANK(Inventory!A124),"",Inventory!A124)</f>
        <v>Bacardi Breezer</v>
      </c>
      <c r="B124" s="31" t="str">
        <f>IF(ISBLANK(Inventory!A124),"",Inventory!C124)</f>
        <v>275ml</v>
      </c>
      <c r="C124" s="187"/>
      <c r="D124" s="192"/>
      <c r="E124" s="187"/>
      <c r="F124" s="187"/>
      <c r="G124" s="173"/>
      <c r="H124" s="37">
        <f>IF(ISBLANK(Inventory!A124),0,C124+SUM('Stock Opening'!C124:E124)-SUM(E124:G124))</f>
        <v>0</v>
      </c>
      <c r="I124" s="35" t="str">
        <f>IF(OR(ISBLANK(J124),J124=0),"",Settings!$B$14)</f>
        <v/>
      </c>
      <c r="J124" s="30">
        <f>IF(ISBLANK(C124),0,C124*Inventory!H124)</f>
        <v>0</v>
      </c>
      <c r="K124" s="35" t="str">
        <f>IF(OR(ISBLANK(L124),L124=0),"",Settings!$B$14)</f>
        <v/>
      </c>
      <c r="L124" s="30">
        <f>IF(ISBLANK(Inventory!A124),0,SUM(E124:G124)*Inventory!H124)</f>
        <v>0</v>
      </c>
      <c r="M124" s="35" t="str">
        <f>IF(OR(ISBLANK(N124),N124=0),"",Settings!$B$14)</f>
        <v/>
      </c>
      <c r="N124" s="30">
        <f>IF(ISBLANK(Inventory!A124),0,SUM(E124:G124)*Inventory!J124)</f>
        <v>0</v>
      </c>
      <c r="O124" s="35" t="str">
        <f>IF(OR(ISBLANK(P124),P124=0),"",Settings!$B$14)</f>
        <v/>
      </c>
      <c r="P124" s="30">
        <f>IF(ISBLANK(Inventory!A124),0,H124*Inventory!J124)</f>
        <v>0</v>
      </c>
    </row>
    <row r="125" spans="1:16" s="29" customFormat="1" ht="15" customHeight="1">
      <c r="A125" s="31" t="str">
        <f>IF(ISBLANK(Inventory!A125),"",Inventory!A125)</f>
        <v>WKD Blue/Iron Brew</v>
      </c>
      <c r="B125" s="31" t="str">
        <f>IF(ISBLANK(Inventory!A125),"",Inventory!C125)</f>
        <v>275ml</v>
      </c>
      <c r="C125" s="187"/>
      <c r="D125" s="192"/>
      <c r="E125" s="187"/>
      <c r="F125" s="187"/>
      <c r="G125" s="173"/>
      <c r="H125" s="37">
        <f>IF(ISBLANK(Inventory!A125),0,C125+SUM('Stock Opening'!C125:E125)-SUM(E125:G125))</f>
        <v>0</v>
      </c>
      <c r="I125" s="35" t="str">
        <f>IF(OR(ISBLANK(J125),J125=0),"",Settings!$B$14)</f>
        <v/>
      </c>
      <c r="J125" s="30">
        <f>IF(ISBLANK(C125),0,C125*Inventory!H125)</f>
        <v>0</v>
      </c>
      <c r="K125" s="35" t="str">
        <f>IF(OR(ISBLANK(L125),L125=0),"",Settings!$B$14)</f>
        <v/>
      </c>
      <c r="L125" s="30">
        <f>IF(ISBLANK(Inventory!A125),0,SUM(E125:G125)*Inventory!H125)</f>
        <v>0</v>
      </c>
      <c r="M125" s="35" t="str">
        <f>IF(OR(ISBLANK(N125),N125=0),"",Settings!$B$14)</f>
        <v/>
      </c>
      <c r="N125" s="30">
        <f>IF(ISBLANK(Inventory!A125),0,SUM(E125:G125)*Inventory!J125)</f>
        <v>0</v>
      </c>
      <c r="O125" s="35" t="str">
        <f>IF(OR(ISBLANK(P125),P125=0),"",Settings!$B$14)</f>
        <v/>
      </c>
      <c r="P125" s="30">
        <f>IF(ISBLANK(Inventory!A125),0,H125*Inventory!J125)</f>
        <v>0</v>
      </c>
    </row>
    <row r="126" spans="1:16" s="29" customFormat="1" ht="15" customHeight="1">
      <c r="A126" s="31" t="str">
        <f>IF(ISBLANK(Inventory!A126),"",Inventory!A126)</f>
        <v>Smirnoff Ice/Black Ice</v>
      </c>
      <c r="B126" s="31" t="str">
        <f>IF(ISBLANK(Inventory!A126),"",Inventory!C126)</f>
        <v>275ml</v>
      </c>
      <c r="C126" s="187"/>
      <c r="D126" s="192"/>
      <c r="E126" s="187"/>
      <c r="F126" s="187"/>
      <c r="G126" s="173"/>
      <c r="H126" s="37">
        <f>IF(ISBLANK(Inventory!A126),0,C126+SUM('Stock Opening'!C126:E126)-SUM(E126:G126))</f>
        <v>0</v>
      </c>
      <c r="I126" s="35" t="str">
        <f>IF(OR(ISBLANK(J126),J126=0),"",Settings!$B$14)</f>
        <v/>
      </c>
      <c r="J126" s="30">
        <f>IF(ISBLANK(C126),0,C126*Inventory!H126)</f>
        <v>0</v>
      </c>
      <c r="K126" s="35" t="str">
        <f>IF(OR(ISBLANK(L126),L126=0),"",Settings!$B$14)</f>
        <v/>
      </c>
      <c r="L126" s="30">
        <f>IF(ISBLANK(Inventory!A126),0,SUM(E126:G126)*Inventory!H126)</f>
        <v>0</v>
      </c>
      <c r="M126" s="35" t="str">
        <f>IF(OR(ISBLANK(N126),N126=0),"",Settings!$B$14)</f>
        <v/>
      </c>
      <c r="N126" s="30">
        <f>IF(ISBLANK(Inventory!A126),0,SUM(E126:G126)*Inventory!J126)</f>
        <v>0</v>
      </c>
      <c r="O126" s="35" t="str">
        <f>IF(OR(ISBLANK(P126),P126=0),"",Settings!$B$14)</f>
        <v/>
      </c>
      <c r="P126" s="30">
        <f>IF(ISBLANK(Inventory!A126),0,H126*Inventory!J126)</f>
        <v>0</v>
      </c>
    </row>
    <row r="127" spans="1:16" s="29" customFormat="1" ht="15" customHeight="1">
      <c r="A127" s="31" t="str">
        <f>IF(ISBLANK(Inventory!A127),"",Inventory!A127)</f>
        <v/>
      </c>
      <c r="B127" s="31" t="str">
        <f>IF(ISBLANK(Inventory!A127),"",Inventory!C127)</f>
        <v/>
      </c>
      <c r="C127" s="187"/>
      <c r="D127" s="192"/>
      <c r="E127" s="187"/>
      <c r="F127" s="187"/>
      <c r="G127" s="173"/>
      <c r="H127" s="37">
        <f>IF(ISBLANK(Inventory!A127),0,C127+SUM('Stock Opening'!C127:E127)-SUM(E127:G127))</f>
        <v>0</v>
      </c>
      <c r="I127" s="35" t="str">
        <f>IF(OR(ISBLANK(J127),J127=0),"",Settings!$B$14)</f>
        <v/>
      </c>
      <c r="J127" s="30">
        <f>IF(ISBLANK(C127),0,C127*Inventory!H127)</f>
        <v>0</v>
      </c>
      <c r="K127" s="35" t="str">
        <f>IF(OR(ISBLANK(L127),L127=0),"",Settings!$B$14)</f>
        <v/>
      </c>
      <c r="L127" s="30">
        <f>IF(ISBLANK(Inventory!A127),0,SUM(E127:G127)*Inventory!H127)</f>
        <v>0</v>
      </c>
      <c r="M127" s="35" t="str">
        <f>IF(OR(ISBLANK(N127),N127=0),"",Settings!$B$14)</f>
        <v/>
      </c>
      <c r="N127" s="30">
        <f>IF(ISBLANK(Inventory!A127),0,SUM(E127:G127)*Inventory!J127)</f>
        <v>0</v>
      </c>
      <c r="O127" s="35" t="str">
        <f>IF(OR(ISBLANK(P127),P127=0),"",Settings!$B$14)</f>
        <v/>
      </c>
      <c r="P127" s="30">
        <f>IF(ISBLANK(Inventory!A127),0,H127*Inventory!J127)</f>
        <v>0</v>
      </c>
    </row>
    <row r="128" spans="1:16" s="29" customFormat="1" ht="15" customHeight="1">
      <c r="A128" s="31" t="str">
        <f>IF(ISBLANK(Inventory!A128),"",Inventory!A128)</f>
        <v/>
      </c>
      <c r="B128" s="31" t="str">
        <f>IF(ISBLANK(Inventory!A128),"",Inventory!C128)</f>
        <v/>
      </c>
      <c r="C128" s="187"/>
      <c r="D128" s="192"/>
      <c r="E128" s="187"/>
      <c r="F128" s="187"/>
      <c r="G128" s="173"/>
      <c r="H128" s="37">
        <f>IF(ISBLANK(Inventory!A128),0,C128+SUM('Stock Opening'!C128:E128)-SUM(E128:G128))</f>
        <v>0</v>
      </c>
      <c r="I128" s="35" t="str">
        <f>IF(OR(ISBLANK(J128),J128=0),"",Settings!$B$14)</f>
        <v/>
      </c>
      <c r="J128" s="30">
        <f>IF(ISBLANK(C128),0,C128*Inventory!H128)</f>
        <v>0</v>
      </c>
      <c r="K128" s="35" t="str">
        <f>IF(OR(ISBLANK(L128),L128=0),"",Settings!$B$14)</f>
        <v/>
      </c>
      <c r="L128" s="30">
        <f>IF(ISBLANK(Inventory!A128),0,SUM(E128:G128)*Inventory!H128)</f>
        <v>0</v>
      </c>
      <c r="M128" s="35" t="str">
        <f>IF(OR(ISBLANK(N128),N128=0),"",Settings!$B$14)</f>
        <v/>
      </c>
      <c r="N128" s="30">
        <f>IF(ISBLANK(Inventory!A128),0,SUM(E128:G128)*Inventory!J128)</f>
        <v>0</v>
      </c>
      <c r="O128" s="35" t="str">
        <f>IF(OR(ISBLANK(P128),P128=0),"",Settings!$B$14)</f>
        <v/>
      </c>
      <c r="P128" s="30">
        <f>IF(ISBLANK(Inventory!A128),0,H128*Inventory!J128)</f>
        <v>0</v>
      </c>
    </row>
    <row r="129" spans="1:16" s="29" customFormat="1" ht="15" customHeight="1">
      <c r="A129" s="31" t="str">
        <f>IF(ISBLANK(Inventory!A129),"",Inventory!A129)</f>
        <v/>
      </c>
      <c r="B129" s="31" t="str">
        <f>IF(ISBLANK(Inventory!A129),"",Inventory!C129)</f>
        <v/>
      </c>
      <c r="C129" s="187"/>
      <c r="D129" s="192"/>
      <c r="E129" s="187"/>
      <c r="F129" s="187"/>
      <c r="G129" s="173"/>
      <c r="H129" s="37">
        <f>IF(ISBLANK(Inventory!A129),0,C129+SUM('Stock Opening'!C129:E129)-SUM(E129:G129))</f>
        <v>0</v>
      </c>
      <c r="I129" s="35" t="str">
        <f>IF(OR(ISBLANK(J129),J129=0),"",Settings!$B$14)</f>
        <v/>
      </c>
      <c r="J129" s="30">
        <f>IF(ISBLANK(C129),0,C129*Inventory!H129)</f>
        <v>0</v>
      </c>
      <c r="K129" s="35" t="str">
        <f>IF(OR(ISBLANK(L129),L129=0),"",Settings!$B$14)</f>
        <v/>
      </c>
      <c r="L129" s="30">
        <f>IF(ISBLANK(Inventory!A129),0,SUM(E129:G129)*Inventory!H129)</f>
        <v>0</v>
      </c>
      <c r="M129" s="35" t="str">
        <f>IF(OR(ISBLANK(N129),N129=0),"",Settings!$B$14)</f>
        <v/>
      </c>
      <c r="N129" s="30">
        <f>IF(ISBLANK(Inventory!A129),0,SUM(E129:G129)*Inventory!J129)</f>
        <v>0</v>
      </c>
      <c r="O129" s="35" t="str">
        <f>IF(OR(ISBLANK(P129),P129=0),"",Settings!$B$14)</f>
        <v/>
      </c>
      <c r="P129" s="30">
        <f>IF(ISBLANK(Inventory!A129),0,H129*Inventory!J129)</f>
        <v>0</v>
      </c>
    </row>
    <row r="130" spans="1:16" s="29" customFormat="1" ht="15" customHeight="1">
      <c r="A130" s="31" t="str">
        <f>IF(ISBLANK(Inventory!A130),"",Inventory!A130)</f>
        <v/>
      </c>
      <c r="B130" s="31" t="str">
        <f>IF(ISBLANK(Inventory!A130),"",Inventory!C130)</f>
        <v/>
      </c>
      <c r="C130" s="187"/>
      <c r="D130" s="192"/>
      <c r="E130" s="187"/>
      <c r="F130" s="187"/>
      <c r="G130" s="173"/>
      <c r="H130" s="37">
        <f>IF(ISBLANK(Inventory!A130),0,C130+SUM('Stock Opening'!C130:E130)-SUM(E130:G130))</f>
        <v>0</v>
      </c>
      <c r="I130" s="35" t="str">
        <f>IF(OR(ISBLANK(J130),J130=0),"",Settings!$B$14)</f>
        <v/>
      </c>
      <c r="J130" s="30">
        <f>IF(ISBLANK(C130),0,C130*Inventory!H130)</f>
        <v>0</v>
      </c>
      <c r="K130" s="35" t="str">
        <f>IF(OR(ISBLANK(L130),L130=0),"",Settings!$B$14)</f>
        <v/>
      </c>
      <c r="L130" s="30">
        <f>IF(ISBLANK(Inventory!A130),0,SUM(E130:G130)*Inventory!H130)</f>
        <v>0</v>
      </c>
      <c r="M130" s="35" t="str">
        <f>IF(OR(ISBLANK(N130),N130=0),"",Settings!$B$14)</f>
        <v/>
      </c>
      <c r="N130" s="30">
        <f>IF(ISBLANK(Inventory!A130),0,SUM(E130:G130)*Inventory!J130)</f>
        <v>0</v>
      </c>
      <c r="O130" s="35" t="str">
        <f>IF(OR(ISBLANK(P130),P130=0),"",Settings!$B$14)</f>
        <v/>
      </c>
      <c r="P130" s="30">
        <f>IF(ISBLANK(Inventory!A130),0,H130*Inventory!J130)</f>
        <v>0</v>
      </c>
    </row>
    <row r="131" spans="1:16" s="29" customFormat="1" ht="15" customHeight="1">
      <c r="A131" s="31" t="str">
        <f>IF(ISBLANK(Inventory!A131),"",Inventory!A131)</f>
        <v/>
      </c>
      <c r="B131" s="31" t="str">
        <f>IF(ISBLANK(Inventory!A131),"",Inventory!C131)</f>
        <v/>
      </c>
      <c r="C131" s="187"/>
      <c r="D131" s="192"/>
      <c r="E131" s="187"/>
      <c r="F131" s="187"/>
      <c r="G131" s="173"/>
      <c r="H131" s="37">
        <f>IF(ISBLANK(Inventory!A131),0,C131+SUM('Stock Opening'!C131:E131)-SUM(E131:G131))</f>
        <v>0</v>
      </c>
      <c r="I131" s="35" t="str">
        <f>IF(OR(ISBLANK(J131),J131=0),"",Settings!$B$14)</f>
        <v/>
      </c>
      <c r="J131" s="30">
        <f>IF(ISBLANK(C131),0,C131*Inventory!H131)</f>
        <v>0</v>
      </c>
      <c r="K131" s="35" t="str">
        <f>IF(OR(ISBLANK(L131),L131=0),"",Settings!$B$14)</f>
        <v/>
      </c>
      <c r="L131" s="30">
        <f>IF(ISBLANK(Inventory!A131),0,SUM(E131:G131)*Inventory!H131)</f>
        <v>0</v>
      </c>
      <c r="M131" s="35" t="str">
        <f>IF(OR(ISBLANK(N131),N131=0),"",Settings!$B$14)</f>
        <v/>
      </c>
      <c r="N131" s="30">
        <f>IF(ISBLANK(Inventory!A131),0,SUM(E131:G131)*Inventory!J131)</f>
        <v>0</v>
      </c>
      <c r="O131" s="35" t="str">
        <f>IF(OR(ISBLANK(P131),P131=0),"",Settings!$B$14)</f>
        <v/>
      </c>
      <c r="P131" s="30">
        <f>IF(ISBLANK(Inventory!A131),0,H131*Inventory!J131)</f>
        <v>0</v>
      </c>
    </row>
    <row r="132" spans="1:16" s="29" customFormat="1" ht="15" customHeight="1">
      <c r="A132" s="31" t="str">
        <f>IF(ISBLANK(Inventory!A132),"",Inventory!A132)</f>
        <v/>
      </c>
      <c r="B132" s="31" t="str">
        <f>IF(ISBLANK(Inventory!A132),"",Inventory!C132)</f>
        <v/>
      </c>
      <c r="C132" s="187"/>
      <c r="D132" s="192"/>
      <c r="E132" s="187"/>
      <c r="F132" s="187"/>
      <c r="G132" s="173"/>
      <c r="H132" s="37">
        <f>IF(ISBLANK(Inventory!A132),0,C132+SUM('Stock Opening'!C132:E132)-SUM(E132:G132))</f>
        <v>0</v>
      </c>
      <c r="I132" s="35" t="str">
        <f>IF(OR(ISBLANK(J132),J132=0),"",Settings!$B$14)</f>
        <v/>
      </c>
      <c r="J132" s="30">
        <f>IF(ISBLANK(C132),0,C132*Inventory!H132)</f>
        <v>0</v>
      </c>
      <c r="K132" s="35" t="str">
        <f>IF(OR(ISBLANK(L132),L132=0),"",Settings!$B$14)</f>
        <v/>
      </c>
      <c r="L132" s="30">
        <f>IF(ISBLANK(Inventory!A132),0,SUM(E132:G132)*Inventory!H132)</f>
        <v>0</v>
      </c>
      <c r="M132" s="35" t="str">
        <f>IF(OR(ISBLANK(N132),N132=0),"",Settings!$B$14)</f>
        <v/>
      </c>
      <c r="N132" s="30">
        <f>IF(ISBLANK(Inventory!A132),0,SUM(E132:G132)*Inventory!J132)</f>
        <v>0</v>
      </c>
      <c r="O132" s="35" t="str">
        <f>IF(OR(ISBLANK(P132),P132=0),"",Settings!$B$14)</f>
        <v/>
      </c>
      <c r="P132" s="30">
        <f>IF(ISBLANK(Inventory!A132),0,H132*Inventory!J132)</f>
        <v>0</v>
      </c>
    </row>
    <row r="133" spans="1:16" s="29" customFormat="1" ht="15" customHeight="1">
      <c r="A133" s="31" t="str">
        <f>IF(ISBLANK(Inventory!A133),"",Inventory!A133)</f>
        <v/>
      </c>
      <c r="B133" s="31" t="str">
        <f>IF(ISBLANK(Inventory!A133),"",Inventory!C133)</f>
        <v/>
      </c>
      <c r="C133" s="187"/>
      <c r="D133" s="192"/>
      <c r="E133" s="187"/>
      <c r="F133" s="187"/>
      <c r="G133" s="173"/>
      <c r="H133" s="37">
        <f>IF(ISBLANK(Inventory!A133),0,C133+SUM('Stock Opening'!C133:E133)-SUM(E133:G133))</f>
        <v>0</v>
      </c>
      <c r="I133" s="35" t="str">
        <f>IF(OR(ISBLANK(J133),J133=0),"",Settings!$B$14)</f>
        <v/>
      </c>
      <c r="J133" s="30">
        <f>IF(ISBLANK(C133),0,C133*Inventory!H133)</f>
        <v>0</v>
      </c>
      <c r="K133" s="35" t="str">
        <f>IF(OR(ISBLANK(L133),L133=0),"",Settings!$B$14)</f>
        <v/>
      </c>
      <c r="L133" s="30">
        <f>IF(ISBLANK(Inventory!A133),0,SUM(E133:G133)*Inventory!H133)</f>
        <v>0</v>
      </c>
      <c r="M133" s="35" t="str">
        <f>IF(OR(ISBLANK(N133),N133=0),"",Settings!$B$14)</f>
        <v/>
      </c>
      <c r="N133" s="30">
        <f>IF(ISBLANK(Inventory!A133),0,SUM(E133:G133)*Inventory!J133)</f>
        <v>0</v>
      </c>
      <c r="O133" s="35" t="str">
        <f>IF(OR(ISBLANK(P133),P133=0),"",Settings!$B$14)</f>
        <v/>
      </c>
      <c r="P133" s="30">
        <f>IF(ISBLANK(Inventory!A133),0,H133*Inventory!J133)</f>
        <v>0</v>
      </c>
    </row>
    <row r="134" spans="1:16" s="29" customFormat="1" ht="15" customHeight="1">
      <c r="A134" s="31" t="str">
        <f>IF(ISBLANK(Inventory!A134),"",Inventory!A134)</f>
        <v/>
      </c>
      <c r="B134" s="31" t="str">
        <f>IF(ISBLANK(Inventory!A134),"",Inventory!C134)</f>
        <v/>
      </c>
      <c r="C134" s="187"/>
      <c r="D134" s="192"/>
      <c r="E134" s="187"/>
      <c r="F134" s="187"/>
      <c r="G134" s="173"/>
      <c r="H134" s="37">
        <f>IF(ISBLANK(Inventory!A134),0,C134+SUM('Stock Opening'!C134:E134)-SUM(E134:G134))</f>
        <v>0</v>
      </c>
      <c r="I134" s="35" t="str">
        <f>IF(OR(ISBLANK(J134),J134=0),"",Settings!$B$14)</f>
        <v/>
      </c>
      <c r="J134" s="30">
        <f>IF(ISBLANK(C134),0,C134*Inventory!H134)</f>
        <v>0</v>
      </c>
      <c r="K134" s="35" t="str">
        <f>IF(OR(ISBLANK(L134),L134=0),"",Settings!$B$14)</f>
        <v/>
      </c>
      <c r="L134" s="30">
        <f>IF(ISBLANK(Inventory!A134),0,SUM(E134:G134)*Inventory!H134)</f>
        <v>0</v>
      </c>
      <c r="M134" s="35" t="str">
        <f>IF(OR(ISBLANK(N134),N134=0),"",Settings!$B$14)</f>
        <v/>
      </c>
      <c r="N134" s="30">
        <f>IF(ISBLANK(Inventory!A134),0,SUM(E134:G134)*Inventory!J134)</f>
        <v>0</v>
      </c>
      <c r="O134" s="35" t="str">
        <f>IF(OR(ISBLANK(P134),P134=0),"",Settings!$B$14)</f>
        <v/>
      </c>
      <c r="P134" s="30">
        <f>IF(ISBLANK(Inventory!A134),0,H134*Inventory!J134)</f>
        <v>0</v>
      </c>
    </row>
    <row r="135" spans="1:16" ht="6.95" customHeight="1">
      <c r="A135" s="24"/>
      <c r="B135" s="24"/>
      <c r="C135" s="69"/>
      <c r="D135" s="69"/>
      <c r="E135" s="69"/>
      <c r="F135" s="69"/>
      <c r="G135" s="69"/>
      <c r="H135" s="69"/>
      <c r="I135" s="69"/>
      <c r="J135" s="69"/>
      <c r="K135" s="69"/>
      <c r="L135" s="25"/>
      <c r="M135" s="62"/>
      <c r="N135" s="160"/>
      <c r="O135" s="25"/>
      <c r="P135" s="160"/>
    </row>
    <row r="136" spans="1:16" s="45" customFormat="1" ht="18" customHeight="1" thickBot="1">
      <c r="A136" s="78" t="str">
        <f>Inventory!A136</f>
        <v>CIDER</v>
      </c>
      <c r="B136" s="78" t="str">
        <f>Inventory!C136</f>
        <v>VOLUME</v>
      </c>
      <c r="C136" s="22" t="s">
        <v>187</v>
      </c>
      <c r="D136" s="22"/>
      <c r="E136" s="22" t="s">
        <v>101</v>
      </c>
      <c r="F136" s="22" t="s">
        <v>102</v>
      </c>
      <c r="G136" s="23"/>
      <c r="H136" s="79" t="s">
        <v>119</v>
      </c>
      <c r="I136" s="253" t="s">
        <v>190</v>
      </c>
      <c r="J136" s="253"/>
      <c r="K136" s="235" t="s">
        <v>30</v>
      </c>
      <c r="L136" s="235"/>
      <c r="M136" s="235" t="s">
        <v>31</v>
      </c>
      <c r="N136" s="235"/>
      <c r="O136" s="235" t="s">
        <v>189</v>
      </c>
      <c r="P136" s="235"/>
    </row>
    <row r="137" spans="1:16" ht="6.95" customHeight="1" thickTop="1">
      <c r="A137" s="193"/>
      <c r="B137" s="194"/>
      <c r="C137" s="71"/>
      <c r="D137" s="71"/>
      <c r="E137" s="67"/>
      <c r="F137" s="67"/>
      <c r="G137" s="71"/>
      <c r="H137" s="71"/>
      <c r="I137" s="71"/>
      <c r="J137" s="71"/>
      <c r="K137" s="71"/>
      <c r="L137" s="67"/>
      <c r="M137" s="62"/>
      <c r="N137" s="67"/>
      <c r="O137" s="67"/>
      <c r="P137" s="67"/>
    </row>
    <row r="138" spans="1:16" s="195" customFormat="1" ht="15" customHeight="1">
      <c r="A138" s="31" t="str">
        <f>IF(ISBLANK(Inventory!A138),"",Inventory!A138)</f>
        <v>Strongbow</v>
      </c>
      <c r="B138" s="31" t="str">
        <f>IF(ISBLANK(Inventory!A138),"",Inventory!C138)</f>
        <v>275ml</v>
      </c>
      <c r="C138" s="187"/>
      <c r="D138" s="192"/>
      <c r="E138" s="187"/>
      <c r="F138" s="187"/>
      <c r="G138" s="173"/>
      <c r="H138" s="37">
        <f>IF(ISBLANK(Inventory!A138),0,C138+SUM('Stock Opening'!C138:E138)-SUM(E138:G138))</f>
        <v>0</v>
      </c>
      <c r="I138" s="35" t="str">
        <f>IF(OR(ISBLANK(J138),J138=0),"",Settings!$B$14)</f>
        <v/>
      </c>
      <c r="J138" s="30">
        <f>IF(ISBLANK(C138),0,C138*Inventory!H138)</f>
        <v>0</v>
      </c>
      <c r="K138" s="35" t="str">
        <f>IF(OR(ISBLANK(L138),L138=0),"",Settings!$B$14)</f>
        <v/>
      </c>
      <c r="L138" s="30">
        <f>IF(ISBLANK(Inventory!A138),0,SUM(E138:G138)*Inventory!H138)</f>
        <v>0</v>
      </c>
      <c r="M138" s="35" t="str">
        <f>IF(OR(ISBLANK(N138),N138=0),"",Settings!$B$14)</f>
        <v/>
      </c>
      <c r="N138" s="30">
        <f>IF(ISBLANK(Inventory!A138),0,SUM(E138:G138)*Inventory!J138)</f>
        <v>0</v>
      </c>
      <c r="O138" s="35" t="str">
        <f>IF(OR(ISBLANK(P138),P138=0),"",Settings!$B$14)</f>
        <v/>
      </c>
      <c r="P138" s="30">
        <f>IF(ISBLANK(Inventory!A138),0,H138*Inventory!J138)</f>
        <v>0</v>
      </c>
    </row>
    <row r="139" spans="1:16" s="195" customFormat="1" ht="15" customHeight="1">
      <c r="A139" s="31" t="str">
        <f>IF(ISBLANK(Inventory!A139),"",Inventory!A139)</f>
        <v>Woodpecker</v>
      </c>
      <c r="B139" s="31" t="str">
        <f>IF(ISBLANK(Inventory!A139),"",Inventory!C139)</f>
        <v>275ml</v>
      </c>
      <c r="C139" s="187"/>
      <c r="D139" s="192"/>
      <c r="E139" s="187"/>
      <c r="F139" s="187"/>
      <c r="G139" s="173"/>
      <c r="H139" s="37">
        <f>IF(ISBLANK(Inventory!A139),0,C139+SUM('Stock Opening'!C139:E139)-SUM(E139:G139))</f>
        <v>0</v>
      </c>
      <c r="I139" s="35" t="str">
        <f>IF(OR(ISBLANK(J139),J139=0),"",Settings!$B$14)</f>
        <v/>
      </c>
      <c r="J139" s="30">
        <f>IF(ISBLANK(C139),0,C139*Inventory!H139)</f>
        <v>0</v>
      </c>
      <c r="K139" s="35" t="str">
        <f>IF(OR(ISBLANK(L139),L139=0),"",Settings!$B$14)</f>
        <v/>
      </c>
      <c r="L139" s="30">
        <f>IF(ISBLANK(Inventory!A139),0,SUM(E139:G139)*Inventory!H139)</f>
        <v>0</v>
      </c>
      <c r="M139" s="35" t="str">
        <f>IF(OR(ISBLANK(N139),N139=0),"",Settings!$B$14)</f>
        <v/>
      </c>
      <c r="N139" s="30">
        <f>IF(ISBLANK(Inventory!A139),0,SUM(E139:G139)*Inventory!J139)</f>
        <v>0</v>
      </c>
      <c r="O139" s="35" t="str">
        <f>IF(OR(ISBLANK(P139),P139=0),"",Settings!$B$14)</f>
        <v/>
      </c>
      <c r="P139" s="30">
        <f>IF(ISBLANK(Inventory!A139),0,H139*Inventory!J139)</f>
        <v>0</v>
      </c>
    </row>
    <row r="140" spans="1:16" s="195" customFormat="1" ht="15" customHeight="1">
      <c r="A140" s="31" t="str">
        <f>IF(ISBLANK(Inventory!A140),"",Inventory!A140)</f>
        <v/>
      </c>
      <c r="B140" s="31" t="str">
        <f>IF(ISBLANK(Inventory!A140),"",Inventory!C140)</f>
        <v/>
      </c>
      <c r="C140" s="187"/>
      <c r="D140" s="192"/>
      <c r="E140" s="187"/>
      <c r="F140" s="187"/>
      <c r="G140" s="173"/>
      <c r="H140" s="37">
        <f>IF(ISBLANK(Inventory!A140),0,C140+SUM('Stock Opening'!C140:E140)-SUM(E140:G140))</f>
        <v>0</v>
      </c>
      <c r="I140" s="35" t="str">
        <f>IF(OR(ISBLANK(J140),J140=0),"",Settings!$B$14)</f>
        <v/>
      </c>
      <c r="J140" s="30">
        <f>IF(ISBLANK(C140),0,C140*Inventory!H140)</f>
        <v>0</v>
      </c>
      <c r="K140" s="35" t="str">
        <f>IF(OR(ISBLANK(L140),L140=0),"",Settings!$B$14)</f>
        <v/>
      </c>
      <c r="L140" s="30">
        <f>IF(ISBLANK(Inventory!A140),0,SUM(E140:G140)*Inventory!H140)</f>
        <v>0</v>
      </c>
      <c r="M140" s="35" t="str">
        <f>IF(OR(ISBLANK(N140),N140=0),"",Settings!$B$14)</f>
        <v/>
      </c>
      <c r="N140" s="30">
        <f>IF(ISBLANK(Inventory!A140),0,SUM(E140:G140)*Inventory!J140)</f>
        <v>0</v>
      </c>
      <c r="O140" s="35" t="str">
        <f>IF(OR(ISBLANK(P140),P140=0),"",Settings!$B$14)</f>
        <v/>
      </c>
      <c r="P140" s="30">
        <f>IF(ISBLANK(Inventory!A140),0,H140*Inventory!J140)</f>
        <v>0</v>
      </c>
    </row>
    <row r="141" spans="1:16" s="195" customFormat="1" ht="15" customHeight="1">
      <c r="A141" s="31" t="str">
        <f>IF(ISBLANK(Inventory!A141),"",Inventory!A141)</f>
        <v/>
      </c>
      <c r="B141" s="31" t="str">
        <f>IF(ISBLANK(Inventory!A141),"",Inventory!C141)</f>
        <v/>
      </c>
      <c r="C141" s="187"/>
      <c r="D141" s="192"/>
      <c r="E141" s="187"/>
      <c r="F141" s="187"/>
      <c r="G141" s="173"/>
      <c r="H141" s="37">
        <f>IF(ISBLANK(Inventory!A141),0,C141+SUM('Stock Opening'!C141:E141)-SUM(E141:G141))</f>
        <v>0</v>
      </c>
      <c r="I141" s="35" t="str">
        <f>IF(OR(ISBLANK(J141),J141=0),"",Settings!$B$14)</f>
        <v/>
      </c>
      <c r="J141" s="30">
        <f>IF(ISBLANK(C141),0,C141*Inventory!H141)</f>
        <v>0</v>
      </c>
      <c r="K141" s="35" t="str">
        <f>IF(OR(ISBLANK(L141),L141=0),"",Settings!$B$14)</f>
        <v/>
      </c>
      <c r="L141" s="30">
        <f>IF(ISBLANK(Inventory!A141),0,SUM(E141:G141)*Inventory!H141)</f>
        <v>0</v>
      </c>
      <c r="M141" s="35" t="str">
        <f>IF(OR(ISBLANK(N141),N141=0),"",Settings!$B$14)</f>
        <v/>
      </c>
      <c r="N141" s="30">
        <f>IF(ISBLANK(Inventory!A141),0,SUM(E141:G141)*Inventory!J141)</f>
        <v>0</v>
      </c>
      <c r="O141" s="35" t="str">
        <f>IF(OR(ISBLANK(P141),P141=0),"",Settings!$B$14)</f>
        <v/>
      </c>
      <c r="P141" s="30">
        <f>IF(ISBLANK(Inventory!A141),0,H141*Inventory!J141)</f>
        <v>0</v>
      </c>
    </row>
    <row r="142" spans="1:16" s="195" customFormat="1" ht="15" customHeight="1">
      <c r="A142" s="31" t="str">
        <f>IF(ISBLANK(Inventory!A142),"",Inventory!A142)</f>
        <v/>
      </c>
      <c r="B142" s="31" t="str">
        <f>IF(ISBLANK(Inventory!A142),"",Inventory!C142)</f>
        <v/>
      </c>
      <c r="C142" s="187"/>
      <c r="D142" s="192"/>
      <c r="E142" s="187"/>
      <c r="F142" s="187"/>
      <c r="G142" s="173"/>
      <c r="H142" s="37">
        <f>IF(ISBLANK(Inventory!A142),0,C142+SUM('Stock Opening'!C142:E142)-SUM(E142:G142))</f>
        <v>0</v>
      </c>
      <c r="I142" s="35" t="str">
        <f>IF(OR(ISBLANK(J142),J142=0),"",Settings!$B$14)</f>
        <v/>
      </c>
      <c r="J142" s="30">
        <f>IF(ISBLANK(C142),0,C142*Inventory!H142)</f>
        <v>0</v>
      </c>
      <c r="K142" s="35" t="str">
        <f>IF(OR(ISBLANK(L142),L142=0),"",Settings!$B$14)</f>
        <v/>
      </c>
      <c r="L142" s="30">
        <f>IF(ISBLANK(Inventory!A142),0,SUM(E142:G142)*Inventory!H142)</f>
        <v>0</v>
      </c>
      <c r="M142" s="35" t="str">
        <f>IF(OR(ISBLANK(N142),N142=0),"",Settings!$B$14)</f>
        <v/>
      </c>
      <c r="N142" s="30">
        <f>IF(ISBLANK(Inventory!A142),0,SUM(E142:G142)*Inventory!J142)</f>
        <v>0</v>
      </c>
      <c r="O142" s="35" t="str">
        <f>IF(OR(ISBLANK(P142),P142=0),"",Settings!$B$14)</f>
        <v/>
      </c>
      <c r="P142" s="30">
        <f>IF(ISBLANK(Inventory!A142),0,H142*Inventory!J142)</f>
        <v>0</v>
      </c>
    </row>
    <row r="143" spans="1:16" s="195" customFormat="1" ht="15" customHeight="1">
      <c r="A143" s="31" t="str">
        <f>IF(ISBLANK(Inventory!A143),"",Inventory!A143)</f>
        <v/>
      </c>
      <c r="B143" s="31" t="str">
        <f>IF(ISBLANK(Inventory!A143),"",Inventory!C143)</f>
        <v/>
      </c>
      <c r="C143" s="187"/>
      <c r="D143" s="192"/>
      <c r="E143" s="187"/>
      <c r="F143" s="187"/>
      <c r="G143" s="173"/>
      <c r="H143" s="37">
        <f>IF(ISBLANK(Inventory!A143),0,C143+SUM('Stock Opening'!C143:E143)-SUM(E143:G143))</f>
        <v>0</v>
      </c>
      <c r="I143" s="35" t="str">
        <f>IF(OR(ISBLANK(J143),J143=0),"",Settings!$B$14)</f>
        <v/>
      </c>
      <c r="J143" s="30">
        <f>IF(ISBLANK(C143),0,C143*Inventory!H143)</f>
        <v>0</v>
      </c>
      <c r="K143" s="35" t="str">
        <f>IF(OR(ISBLANK(L143),L143=0),"",Settings!$B$14)</f>
        <v/>
      </c>
      <c r="L143" s="30">
        <f>IF(ISBLANK(Inventory!A143),0,SUM(E143:G143)*Inventory!H143)</f>
        <v>0</v>
      </c>
      <c r="M143" s="35" t="str">
        <f>IF(OR(ISBLANK(N143),N143=0),"",Settings!$B$14)</f>
        <v/>
      </c>
      <c r="N143" s="30">
        <f>IF(ISBLANK(Inventory!A143),0,SUM(E143:G143)*Inventory!J143)</f>
        <v>0</v>
      </c>
      <c r="O143" s="35" t="str">
        <f>IF(OR(ISBLANK(P143),P143=0),"",Settings!$B$14)</f>
        <v/>
      </c>
      <c r="P143" s="30">
        <f>IF(ISBLANK(Inventory!A143),0,H143*Inventory!J143)</f>
        <v>0</v>
      </c>
    </row>
    <row r="144" spans="1:16" s="195" customFormat="1" ht="15" customHeight="1">
      <c r="A144" s="31" t="str">
        <f>IF(ISBLANK(Inventory!A144),"",Inventory!A144)</f>
        <v/>
      </c>
      <c r="B144" s="31" t="str">
        <f>IF(ISBLANK(Inventory!A144),"",Inventory!C144)</f>
        <v/>
      </c>
      <c r="C144" s="187"/>
      <c r="D144" s="192"/>
      <c r="E144" s="187"/>
      <c r="F144" s="187"/>
      <c r="G144" s="173"/>
      <c r="H144" s="37">
        <f>IF(ISBLANK(Inventory!A144),0,C144+SUM('Stock Opening'!C144:E144)-SUM(E144:G144))</f>
        <v>0</v>
      </c>
      <c r="I144" s="35" t="str">
        <f>IF(OR(ISBLANK(J144),J144=0),"",Settings!$B$14)</f>
        <v/>
      </c>
      <c r="J144" s="30">
        <f>IF(ISBLANK(C144),0,C144*Inventory!H144)</f>
        <v>0</v>
      </c>
      <c r="K144" s="35" t="str">
        <f>IF(OR(ISBLANK(L144),L144=0),"",Settings!$B$14)</f>
        <v/>
      </c>
      <c r="L144" s="30">
        <f>IF(ISBLANK(Inventory!A144),0,SUM(E144:G144)*Inventory!H144)</f>
        <v>0</v>
      </c>
      <c r="M144" s="35" t="str">
        <f>IF(OR(ISBLANK(N144),N144=0),"",Settings!$B$14)</f>
        <v/>
      </c>
      <c r="N144" s="30">
        <f>IF(ISBLANK(Inventory!A144),0,SUM(E144:G144)*Inventory!J144)</f>
        <v>0</v>
      </c>
      <c r="O144" s="35" t="str">
        <f>IF(OR(ISBLANK(P144),P144=0),"",Settings!$B$14)</f>
        <v/>
      </c>
      <c r="P144" s="30">
        <f>IF(ISBLANK(Inventory!A144),0,H144*Inventory!J144)</f>
        <v>0</v>
      </c>
    </row>
    <row r="145" spans="1:16" s="195" customFormat="1" ht="15" customHeight="1">
      <c r="A145" s="31" t="str">
        <f>IF(ISBLANK(Inventory!A145),"",Inventory!A145)</f>
        <v/>
      </c>
      <c r="B145" s="31" t="str">
        <f>IF(ISBLANK(Inventory!A145),"",Inventory!C145)</f>
        <v/>
      </c>
      <c r="C145" s="187"/>
      <c r="D145" s="192"/>
      <c r="E145" s="187"/>
      <c r="F145" s="187"/>
      <c r="G145" s="173"/>
      <c r="H145" s="37">
        <f>IF(ISBLANK(Inventory!A145),0,C145+SUM('Stock Opening'!C145:E145)-SUM(E145:G145))</f>
        <v>0</v>
      </c>
      <c r="I145" s="35" t="str">
        <f>IF(OR(ISBLANK(J145),J145=0),"",Settings!$B$14)</f>
        <v/>
      </c>
      <c r="J145" s="30">
        <f>IF(ISBLANK(C145),0,C145*Inventory!H145)</f>
        <v>0</v>
      </c>
      <c r="K145" s="35" t="str">
        <f>IF(OR(ISBLANK(L145),L145=0),"",Settings!$B$14)</f>
        <v/>
      </c>
      <c r="L145" s="30">
        <f>IF(ISBLANK(Inventory!A145),0,SUM(E145:G145)*Inventory!H145)</f>
        <v>0</v>
      </c>
      <c r="M145" s="35" t="str">
        <f>IF(OR(ISBLANK(N145),N145=0),"",Settings!$B$14)</f>
        <v/>
      </c>
      <c r="N145" s="30">
        <f>IF(ISBLANK(Inventory!A145),0,SUM(E145:G145)*Inventory!J145)</f>
        <v>0</v>
      </c>
      <c r="O145" s="35" t="str">
        <f>IF(OR(ISBLANK(P145),P145=0),"",Settings!$B$14)</f>
        <v/>
      </c>
      <c r="P145" s="30">
        <f>IF(ISBLANK(Inventory!A145),0,H145*Inventory!J145)</f>
        <v>0</v>
      </c>
    </row>
    <row r="146" spans="1:16" s="195" customFormat="1" ht="15" customHeight="1">
      <c r="A146" s="31" t="str">
        <f>IF(ISBLANK(Inventory!A146),"",Inventory!A146)</f>
        <v/>
      </c>
      <c r="B146" s="31" t="str">
        <f>IF(ISBLANK(Inventory!A146),"",Inventory!C146)</f>
        <v/>
      </c>
      <c r="C146" s="187"/>
      <c r="D146" s="192"/>
      <c r="E146" s="187"/>
      <c r="F146" s="187"/>
      <c r="G146" s="173"/>
      <c r="H146" s="37">
        <f>IF(ISBLANK(Inventory!A146),0,C146+SUM('Stock Opening'!C146:E146)-SUM(E146:G146))</f>
        <v>0</v>
      </c>
      <c r="I146" s="35" t="str">
        <f>IF(OR(ISBLANK(J146),J146=0),"",Settings!$B$14)</f>
        <v/>
      </c>
      <c r="J146" s="30">
        <f>IF(ISBLANK(C146),0,C146*Inventory!H146)</f>
        <v>0</v>
      </c>
      <c r="K146" s="35" t="str">
        <f>IF(OR(ISBLANK(L146),L146=0),"",Settings!$B$14)</f>
        <v/>
      </c>
      <c r="L146" s="30">
        <f>IF(ISBLANK(Inventory!A146),0,SUM(E146:G146)*Inventory!H146)</f>
        <v>0</v>
      </c>
      <c r="M146" s="35" t="str">
        <f>IF(OR(ISBLANK(N146),N146=0),"",Settings!$B$14)</f>
        <v/>
      </c>
      <c r="N146" s="30">
        <f>IF(ISBLANK(Inventory!A146),0,SUM(E146:G146)*Inventory!J146)</f>
        <v>0</v>
      </c>
      <c r="O146" s="35" t="str">
        <f>IF(OR(ISBLANK(P146),P146=0),"",Settings!$B$14)</f>
        <v/>
      </c>
      <c r="P146" s="30">
        <f>IF(ISBLANK(Inventory!A146),0,H146*Inventory!J146)</f>
        <v>0</v>
      </c>
    </row>
    <row r="147" spans="1:16" ht="6.95" customHeight="1">
      <c r="A147" s="24"/>
      <c r="B147" s="24"/>
      <c r="C147" s="69"/>
      <c r="D147" s="69"/>
      <c r="E147" s="69"/>
      <c r="F147" s="69"/>
      <c r="G147" s="69"/>
      <c r="H147" s="69"/>
      <c r="I147" s="69"/>
      <c r="J147" s="69"/>
      <c r="K147" s="69"/>
      <c r="L147" s="25"/>
      <c r="M147" s="62"/>
      <c r="N147" s="160"/>
      <c r="O147" s="25"/>
      <c r="P147" s="160"/>
    </row>
    <row r="148" spans="1:16" s="45" customFormat="1" ht="18" customHeight="1" thickBot="1">
      <c r="A148" s="78" t="str">
        <f>Inventory!A148</f>
        <v>MINERALS/JUICES</v>
      </c>
      <c r="B148" s="78" t="str">
        <f>Inventory!C148</f>
        <v>VOLUME</v>
      </c>
      <c r="C148" s="22" t="s">
        <v>187</v>
      </c>
      <c r="D148" s="22"/>
      <c r="E148" s="22" t="s">
        <v>101</v>
      </c>
      <c r="F148" s="22" t="s">
        <v>102</v>
      </c>
      <c r="G148" s="23" t="s">
        <v>108</v>
      </c>
      <c r="H148" s="79" t="s">
        <v>119</v>
      </c>
      <c r="I148" s="253" t="s">
        <v>190</v>
      </c>
      <c r="J148" s="253"/>
      <c r="K148" s="235" t="s">
        <v>30</v>
      </c>
      <c r="L148" s="235"/>
      <c r="M148" s="235" t="s">
        <v>31</v>
      </c>
      <c r="N148" s="235"/>
      <c r="O148" s="235" t="s">
        <v>189</v>
      </c>
      <c r="P148" s="235"/>
    </row>
    <row r="149" spans="1:16" ht="6.95" customHeight="1" thickTop="1">
      <c r="A149" s="193"/>
      <c r="B149" s="194"/>
      <c r="C149" s="71"/>
      <c r="D149" s="71"/>
      <c r="E149" s="67"/>
      <c r="F149" s="67"/>
      <c r="G149" s="71"/>
      <c r="H149" s="71"/>
      <c r="I149" s="71"/>
      <c r="J149" s="71"/>
      <c r="K149" s="71"/>
      <c r="L149" s="67"/>
      <c r="M149" s="62"/>
      <c r="N149" s="67"/>
      <c r="O149" s="67"/>
      <c r="P149" s="67"/>
    </row>
    <row r="150" spans="1:16" s="29" customFormat="1" ht="15" customHeight="1">
      <c r="A150" s="31" t="str">
        <f>IF(ISBLANK(Inventory!A150),"",Inventory!A150)</f>
        <v>Britvic J20</v>
      </c>
      <c r="B150" s="31" t="str">
        <f>IF(ISBLANK(Inventory!A150),"",Inventory!C150)</f>
        <v>275ml</v>
      </c>
      <c r="C150" s="187">
        <v>1</v>
      </c>
      <c r="D150" s="192"/>
      <c r="E150" s="187"/>
      <c r="F150" s="187"/>
      <c r="G150" s="187"/>
      <c r="H150" s="37">
        <f>IF(ISBLANK(Inventory!A150),0,C150+SUM('Stock Opening'!C150:E150)-SUM(E150:G150))</f>
        <v>1</v>
      </c>
      <c r="I150" s="35" t="str">
        <f>IF(OR(ISBLANK(J150),J150=0),"",Settings!$B$14)</f>
        <v>$</v>
      </c>
      <c r="J150" s="30">
        <f>IF(ISBLANK(C150),0,C150*Inventory!H150)</f>
        <v>0.42</v>
      </c>
      <c r="K150" s="35" t="str">
        <f>IF(OR(ISBLANK(L150),L150=0),"",Settings!$B$14)</f>
        <v/>
      </c>
      <c r="L150" s="30">
        <f>IF(ISBLANK(Inventory!A150),0,SUM(E150:G150)*Inventory!H150)</f>
        <v>0</v>
      </c>
      <c r="M150" s="35" t="str">
        <f>IF(OR(ISBLANK(N150),N150=0),"",Settings!$B$14)</f>
        <v/>
      </c>
      <c r="N150" s="30">
        <f>IF(ISBLANK(Inventory!A150),0,SUM(E150:G150)*Inventory!J150)</f>
        <v>0</v>
      </c>
      <c r="O150" s="35" t="str">
        <f>IF(OR(ISBLANK(P150),P150=0),"",Settings!$B$14)</f>
        <v>$</v>
      </c>
      <c r="P150" s="30">
        <f>IF(ISBLANK(Inventory!A150),0,H150*Inventory!J150)</f>
        <v>1.74</v>
      </c>
    </row>
    <row r="151" spans="1:16" s="29" customFormat="1" ht="15" customHeight="1">
      <c r="A151" s="31" t="str">
        <f>IF(ISBLANK(Inventory!A151),"",Inventory!A151)</f>
        <v>Coke/Diet Coke</v>
      </c>
      <c r="B151" s="31" t="str">
        <f>IF(ISBLANK(Inventory!A151),"",Inventory!C151)</f>
        <v>330ml</v>
      </c>
      <c r="C151" s="187"/>
      <c r="D151" s="192"/>
      <c r="E151" s="187"/>
      <c r="F151" s="187"/>
      <c r="G151" s="187"/>
      <c r="H151" s="37">
        <f>IF(ISBLANK(Inventory!A151),0,C151+SUM('Stock Opening'!C151:E151)-SUM(E151:G151))</f>
        <v>0</v>
      </c>
      <c r="I151" s="35" t="str">
        <f>IF(OR(ISBLANK(J151),J151=0),"",Settings!$B$14)</f>
        <v/>
      </c>
      <c r="J151" s="30">
        <f>IF(ISBLANK(C151),0,C151*Inventory!H151)</f>
        <v>0</v>
      </c>
      <c r="K151" s="35" t="str">
        <f>IF(OR(ISBLANK(L151),L151=0),"",Settings!$B$14)</f>
        <v/>
      </c>
      <c r="L151" s="30">
        <f>IF(ISBLANK(Inventory!A151),0,SUM(E151:G151)*Inventory!H151)</f>
        <v>0</v>
      </c>
      <c r="M151" s="35" t="str">
        <f>IF(OR(ISBLANK(N151),N151=0),"",Settings!$B$14)</f>
        <v/>
      </c>
      <c r="N151" s="30">
        <f>IF(ISBLANK(Inventory!A151),0,SUM(E151:G151)*Inventory!J151)</f>
        <v>0</v>
      </c>
      <c r="O151" s="35" t="str">
        <f>IF(OR(ISBLANK(P151),P151=0),"",Settings!$B$14)</f>
        <v/>
      </c>
      <c r="P151" s="30">
        <f>IF(ISBLANK(Inventory!A151),0,H151*Inventory!J151)</f>
        <v>0</v>
      </c>
    </row>
    <row r="152" spans="1:16" s="29" customFormat="1" ht="15" customHeight="1">
      <c r="A152" s="31" t="str">
        <f>IF(ISBLANK(Inventory!A152),"",Inventory!A152)</f>
        <v>Fruit Juices</v>
      </c>
      <c r="B152" s="31" t="str">
        <f>IF(ISBLANK(Inventory!A152),"",Inventory!C152)</f>
        <v>180ml</v>
      </c>
      <c r="C152" s="187"/>
      <c r="D152" s="192"/>
      <c r="E152" s="187"/>
      <c r="F152" s="187"/>
      <c r="G152" s="187"/>
      <c r="H152" s="37">
        <f>IF(ISBLANK(Inventory!A152),0,C152+SUM('Stock Opening'!C152:E152)-SUM(E152:G152))</f>
        <v>0</v>
      </c>
      <c r="I152" s="35" t="str">
        <f>IF(OR(ISBLANK(J152),J152=0),"",Settings!$B$14)</f>
        <v/>
      </c>
      <c r="J152" s="30">
        <f>IF(ISBLANK(C152),0,C152*Inventory!H152)</f>
        <v>0</v>
      </c>
      <c r="K152" s="35" t="str">
        <f>IF(OR(ISBLANK(L152),L152=0),"",Settings!$B$14)</f>
        <v/>
      </c>
      <c r="L152" s="30">
        <f>IF(ISBLANK(Inventory!A152),0,SUM(E152:G152)*Inventory!H152)</f>
        <v>0</v>
      </c>
      <c r="M152" s="35" t="str">
        <f>IF(OR(ISBLANK(N152),N152=0),"",Settings!$B$14)</f>
        <v/>
      </c>
      <c r="N152" s="30">
        <f>IF(ISBLANK(Inventory!A152),0,SUM(E152:G152)*Inventory!J152)</f>
        <v>0</v>
      </c>
      <c r="O152" s="35" t="str">
        <f>IF(OR(ISBLANK(P152),P152=0),"",Settings!$B$14)</f>
        <v/>
      </c>
      <c r="P152" s="30">
        <f>IF(ISBLANK(Inventory!A152),0,H152*Inventory!J152)</f>
        <v>0</v>
      </c>
    </row>
    <row r="153" spans="1:16" s="29" customFormat="1" ht="15" customHeight="1">
      <c r="A153" s="31" t="str">
        <f>IF(ISBLANK(Inventory!A153),"",Inventory!A153)</f>
        <v>Fruit Juices</v>
      </c>
      <c r="B153" s="31" t="str">
        <f>IF(ISBLANK(Inventory!A153),"",Inventory!C153)</f>
        <v>113ml</v>
      </c>
      <c r="C153" s="187"/>
      <c r="D153" s="192"/>
      <c r="E153" s="187"/>
      <c r="F153" s="187"/>
      <c r="G153" s="187"/>
      <c r="H153" s="37">
        <f>IF(ISBLANK(Inventory!A153),0,C153+SUM('Stock Opening'!C153:E153)-SUM(E153:G153))</f>
        <v>0</v>
      </c>
      <c r="I153" s="35" t="str">
        <f>IF(OR(ISBLANK(J153),J153=0),"",Settings!$B$14)</f>
        <v/>
      </c>
      <c r="J153" s="30">
        <f>IF(ISBLANK(C153),0,C153*Inventory!H153)</f>
        <v>0</v>
      </c>
      <c r="K153" s="35" t="str">
        <f>IF(OR(ISBLANK(L153),L153=0),"",Settings!$B$14)</f>
        <v/>
      </c>
      <c r="L153" s="30">
        <f>IF(ISBLANK(Inventory!A153),0,SUM(E153:G153)*Inventory!H153)</f>
        <v>0</v>
      </c>
      <c r="M153" s="35" t="str">
        <f>IF(OR(ISBLANK(N153),N153=0),"",Settings!$B$14)</f>
        <v/>
      </c>
      <c r="N153" s="30">
        <f>IF(ISBLANK(Inventory!A153),0,SUM(E153:G153)*Inventory!J153)</f>
        <v>0</v>
      </c>
      <c r="O153" s="35" t="str">
        <f>IF(OR(ISBLANK(P153),P153=0),"",Settings!$B$14)</f>
        <v/>
      </c>
      <c r="P153" s="30">
        <f>IF(ISBLANK(Inventory!A153),0,H153*Inventory!J153)</f>
        <v>0</v>
      </c>
    </row>
    <row r="154" spans="1:16" s="29" customFormat="1" ht="15" customHeight="1">
      <c r="A154" s="31" t="str">
        <f>IF(ISBLANK(Inventory!A154),"",Inventory!A154)</f>
        <v>Minerals</v>
      </c>
      <c r="B154" s="31" t="str">
        <f>IF(ISBLANK(Inventory!A154),"",Inventory!C154)</f>
        <v>180ml</v>
      </c>
      <c r="C154" s="187"/>
      <c r="D154" s="192"/>
      <c r="E154" s="187"/>
      <c r="F154" s="187"/>
      <c r="G154" s="187"/>
      <c r="H154" s="37">
        <f>IF(ISBLANK(Inventory!A154),0,C154+SUM('Stock Opening'!C154:E154)-SUM(E154:G154))</f>
        <v>0</v>
      </c>
      <c r="I154" s="35" t="str">
        <f>IF(OR(ISBLANK(J154),J154=0),"",Settings!$B$14)</f>
        <v/>
      </c>
      <c r="J154" s="30">
        <f>IF(ISBLANK(C154),0,C154*Inventory!H154)</f>
        <v>0</v>
      </c>
      <c r="K154" s="35" t="str">
        <f>IF(OR(ISBLANK(L154),L154=0),"",Settings!$B$14)</f>
        <v/>
      </c>
      <c r="L154" s="30">
        <f>IF(ISBLANK(Inventory!A154),0,SUM(E154:G154)*Inventory!H154)</f>
        <v>0</v>
      </c>
      <c r="M154" s="35" t="str">
        <f>IF(OR(ISBLANK(N154),N154=0),"",Settings!$B$14)</f>
        <v/>
      </c>
      <c r="N154" s="30">
        <f>IF(ISBLANK(Inventory!A154),0,SUM(E154:G154)*Inventory!J154)</f>
        <v>0</v>
      </c>
      <c r="O154" s="35" t="str">
        <f>IF(OR(ISBLANK(P154),P154=0),"",Settings!$B$14)</f>
        <v/>
      </c>
      <c r="P154" s="30">
        <f>IF(ISBLANK(Inventory!A154),0,H154*Inventory!J154)</f>
        <v>0</v>
      </c>
    </row>
    <row r="155" spans="1:16" s="29" customFormat="1" ht="15" customHeight="1">
      <c r="A155" s="31" t="str">
        <f>IF(ISBLANK(Inventory!A155),"",Inventory!A155)</f>
        <v>Minerals</v>
      </c>
      <c r="B155" s="31" t="str">
        <f>IF(ISBLANK(Inventory!A155),"",Inventory!C155)</f>
        <v>113ml</v>
      </c>
      <c r="C155" s="187"/>
      <c r="D155" s="192"/>
      <c r="E155" s="187"/>
      <c r="F155" s="187"/>
      <c r="G155" s="187"/>
      <c r="H155" s="37">
        <f>IF(ISBLANK(Inventory!A155),0,C155+SUM('Stock Opening'!C155:E155)-SUM(E155:G155))</f>
        <v>0</v>
      </c>
      <c r="I155" s="35" t="str">
        <f>IF(OR(ISBLANK(J155),J155=0),"",Settings!$B$14)</f>
        <v/>
      </c>
      <c r="J155" s="30">
        <f>IF(ISBLANK(C155),0,C155*Inventory!H155)</f>
        <v>0</v>
      </c>
      <c r="K155" s="35" t="str">
        <f>IF(OR(ISBLANK(L155),L155=0),"",Settings!$B$14)</f>
        <v/>
      </c>
      <c r="L155" s="30">
        <f>IF(ISBLANK(Inventory!A155),0,SUM(E155:G155)*Inventory!H155)</f>
        <v>0</v>
      </c>
      <c r="M155" s="35" t="str">
        <f>IF(OR(ISBLANK(N155),N155=0),"",Settings!$B$14)</f>
        <v/>
      </c>
      <c r="N155" s="30">
        <f>IF(ISBLANK(Inventory!A155),0,SUM(E155:G155)*Inventory!J155)</f>
        <v>0</v>
      </c>
      <c r="O155" s="35" t="str">
        <f>IF(OR(ISBLANK(P155),P155=0),"",Settings!$B$14)</f>
        <v/>
      </c>
      <c r="P155" s="30">
        <f>IF(ISBLANK(Inventory!A155),0,H155*Inventory!J155)</f>
        <v>0</v>
      </c>
    </row>
    <row r="156" spans="1:16" s="29" customFormat="1" ht="15" customHeight="1">
      <c r="A156" s="31" t="str">
        <f>IF(ISBLANK(Inventory!A156),"",Inventory!A156)</f>
        <v>Tango Diet</v>
      </c>
      <c r="B156" s="31" t="str">
        <f>IF(ISBLANK(Inventory!A156),"",Inventory!C156)</f>
        <v>180ml</v>
      </c>
      <c r="C156" s="187"/>
      <c r="D156" s="192"/>
      <c r="E156" s="187"/>
      <c r="F156" s="187"/>
      <c r="G156" s="187"/>
      <c r="H156" s="37">
        <f>IF(ISBLANK(Inventory!A156),0,C156+SUM('Stock Opening'!C156:E156)-SUM(E156:G156))</f>
        <v>0</v>
      </c>
      <c r="I156" s="35" t="str">
        <f>IF(OR(ISBLANK(J156),J156=0),"",Settings!$B$14)</f>
        <v/>
      </c>
      <c r="J156" s="30">
        <f>IF(ISBLANK(C156),0,C156*Inventory!H156)</f>
        <v>0</v>
      </c>
      <c r="K156" s="35" t="str">
        <f>IF(OR(ISBLANK(L156),L156=0),"",Settings!$B$14)</f>
        <v/>
      </c>
      <c r="L156" s="30">
        <f>IF(ISBLANK(Inventory!A156),0,SUM(E156:G156)*Inventory!H156)</f>
        <v>0</v>
      </c>
      <c r="M156" s="35" t="str">
        <f>IF(OR(ISBLANK(N156),N156=0),"",Settings!$B$14)</f>
        <v/>
      </c>
      <c r="N156" s="30">
        <f>IF(ISBLANK(Inventory!A156),0,SUM(E156:G156)*Inventory!J156)</f>
        <v>0</v>
      </c>
      <c r="O156" s="35" t="str">
        <f>IF(OR(ISBLANK(P156),P156=0),"",Settings!$B$14)</f>
        <v/>
      </c>
      <c r="P156" s="30">
        <f>IF(ISBLANK(Inventory!A156),0,H156*Inventory!J156)</f>
        <v>0</v>
      </c>
    </row>
    <row r="157" spans="1:16" s="29" customFormat="1" ht="15" customHeight="1">
      <c r="A157" s="31" t="str">
        <f>IF(ISBLANK(Inventory!A157),"",Inventory!A157)</f>
        <v>Strathmore</v>
      </c>
      <c r="B157" s="31" t="str">
        <f>IF(ISBLANK(Inventory!A157),"",Inventory!C157)</f>
        <v>1Ltr</v>
      </c>
      <c r="C157" s="187"/>
      <c r="D157" s="192"/>
      <c r="E157" s="187"/>
      <c r="F157" s="187"/>
      <c r="G157" s="187"/>
      <c r="H157" s="37">
        <f>IF(ISBLANK(Inventory!A157),0,C157+SUM('Stock Opening'!C157:E157)-SUM(E157:G157))</f>
        <v>0</v>
      </c>
      <c r="I157" s="35" t="str">
        <f>IF(OR(ISBLANK(J157),J157=0),"",Settings!$B$14)</f>
        <v/>
      </c>
      <c r="J157" s="30">
        <f>IF(ISBLANK(C157),0,C157*Inventory!H157)</f>
        <v>0</v>
      </c>
      <c r="K157" s="35" t="str">
        <f>IF(OR(ISBLANK(L157),L157=0),"",Settings!$B$14)</f>
        <v/>
      </c>
      <c r="L157" s="30">
        <f>IF(ISBLANK(Inventory!A157),0,SUM(E157:G157)*Inventory!H157)</f>
        <v>0</v>
      </c>
      <c r="M157" s="35" t="str">
        <f>IF(OR(ISBLANK(N157),N157=0),"",Settings!$B$14)</f>
        <v/>
      </c>
      <c r="N157" s="30">
        <f>IF(ISBLANK(Inventory!A157),0,SUM(E157:G157)*Inventory!J157)</f>
        <v>0</v>
      </c>
      <c r="O157" s="35" t="str">
        <f>IF(OR(ISBLANK(P157),P157=0),"",Settings!$B$14)</f>
        <v/>
      </c>
      <c r="P157" s="30">
        <f>IF(ISBLANK(Inventory!A157),0,H157*Inventory!J157)</f>
        <v>0</v>
      </c>
    </row>
    <row r="158" spans="1:16" s="29" customFormat="1" ht="15" customHeight="1">
      <c r="A158" s="31" t="str">
        <f>IF(ISBLANK(Inventory!A158),"",Inventory!A158)</f>
        <v>Strathmore</v>
      </c>
      <c r="B158" s="31" t="str">
        <f>IF(ISBLANK(Inventory!A158),"",Inventory!C158)</f>
        <v>330ml</v>
      </c>
      <c r="C158" s="187"/>
      <c r="D158" s="192"/>
      <c r="E158" s="187"/>
      <c r="F158" s="187"/>
      <c r="G158" s="187"/>
      <c r="H158" s="37">
        <f>IF(ISBLANK(Inventory!A158),0,C158+SUM('Stock Opening'!C158:E158)-SUM(E158:G158))</f>
        <v>0</v>
      </c>
      <c r="I158" s="35" t="str">
        <f>IF(OR(ISBLANK(J158),J158=0),"",Settings!$B$14)</f>
        <v/>
      </c>
      <c r="J158" s="30">
        <f>IF(ISBLANK(C158),0,C158*Inventory!H158)</f>
        <v>0</v>
      </c>
      <c r="K158" s="35" t="str">
        <f>IF(OR(ISBLANK(L158),L158=0),"",Settings!$B$14)</f>
        <v/>
      </c>
      <c r="L158" s="30">
        <f>IF(ISBLANK(Inventory!A158),0,SUM(E158:G158)*Inventory!H158)</f>
        <v>0</v>
      </c>
      <c r="M158" s="35" t="str">
        <f>IF(OR(ISBLANK(N158),N158=0),"",Settings!$B$14)</f>
        <v/>
      </c>
      <c r="N158" s="30">
        <f>IF(ISBLANK(Inventory!A158),0,SUM(E158:G158)*Inventory!J158)</f>
        <v>0</v>
      </c>
      <c r="O158" s="35" t="str">
        <f>IF(OR(ISBLANK(P158),P158=0),"",Settings!$B$14)</f>
        <v/>
      </c>
      <c r="P158" s="30">
        <f>IF(ISBLANK(Inventory!A158),0,H158*Inventory!J158)</f>
        <v>0</v>
      </c>
    </row>
    <row r="159" spans="1:16" s="29" customFormat="1" ht="15" customHeight="1">
      <c r="A159" s="31" t="str">
        <f>IF(ISBLANK(Inventory!A159),"",Inventory!A159)</f>
        <v>Red Bull</v>
      </c>
      <c r="B159" s="31" t="str">
        <f>IF(ISBLANK(Inventory!A159),"",Inventory!C159)</f>
        <v>250ml</v>
      </c>
      <c r="C159" s="187"/>
      <c r="D159" s="192"/>
      <c r="E159" s="187"/>
      <c r="F159" s="187"/>
      <c r="G159" s="187"/>
      <c r="H159" s="37">
        <f>IF(ISBLANK(Inventory!A159),0,C159+SUM('Stock Opening'!C159:E159)-SUM(E159:G159))</f>
        <v>0</v>
      </c>
      <c r="I159" s="35" t="str">
        <f>IF(OR(ISBLANK(J159),J159=0),"",Settings!$B$14)</f>
        <v/>
      </c>
      <c r="J159" s="30">
        <f>IF(ISBLANK(C159),0,C159*Inventory!H159)</f>
        <v>0</v>
      </c>
      <c r="K159" s="35" t="str">
        <f>IF(OR(ISBLANK(L159),L159=0),"",Settings!$B$14)</f>
        <v/>
      </c>
      <c r="L159" s="30">
        <f>IF(ISBLANK(Inventory!A159),0,SUM(E159:G159)*Inventory!H159)</f>
        <v>0</v>
      </c>
      <c r="M159" s="35" t="str">
        <f>IF(OR(ISBLANK(N159),N159=0),"",Settings!$B$14)</f>
        <v/>
      </c>
      <c r="N159" s="30">
        <f>IF(ISBLANK(Inventory!A159),0,SUM(E159:G159)*Inventory!J159)</f>
        <v>0</v>
      </c>
      <c r="O159" s="35" t="str">
        <f>IF(OR(ISBLANK(P159),P159=0),"",Settings!$B$14)</f>
        <v/>
      </c>
      <c r="P159" s="30">
        <f>IF(ISBLANK(Inventory!A159),0,H159*Inventory!J159)</f>
        <v>0</v>
      </c>
    </row>
    <row r="160" spans="1:16" s="29" customFormat="1" ht="15" customHeight="1">
      <c r="A160" s="31" t="str">
        <f>IF(ISBLANK(Inventory!A160),"",Inventory!A160)</f>
        <v>Squash/Cordial</v>
      </c>
      <c r="B160" s="31" t="str">
        <f>IF(ISBLANK(Inventory!A160),"",Inventory!C160)</f>
        <v>1Ltr</v>
      </c>
      <c r="C160" s="187"/>
      <c r="D160" s="192"/>
      <c r="E160" s="187"/>
      <c r="F160" s="187"/>
      <c r="G160" s="187"/>
      <c r="H160" s="37">
        <f>IF(ISBLANK(Inventory!A160),0,C160+SUM('Stock Opening'!C160:E160)-SUM(E160:G160))</f>
        <v>0</v>
      </c>
      <c r="I160" s="35" t="str">
        <f>IF(OR(ISBLANK(J160),J160=0),"",Settings!$B$14)</f>
        <v/>
      </c>
      <c r="J160" s="30">
        <f>IF(ISBLANK(C160),0,C160*Inventory!H160)</f>
        <v>0</v>
      </c>
      <c r="K160" s="35" t="str">
        <f>IF(OR(ISBLANK(L160),L160=0),"",Settings!$B$14)</f>
        <v/>
      </c>
      <c r="L160" s="30">
        <f>IF(ISBLANK(Inventory!A160),0,SUM(E160:G160)*Inventory!H160)</f>
        <v>0</v>
      </c>
      <c r="M160" s="35" t="str">
        <f>IF(OR(ISBLANK(N160),N160=0),"",Settings!$B$14)</f>
        <v/>
      </c>
      <c r="N160" s="30">
        <f>IF(ISBLANK(Inventory!A160),0,SUM(E160:G160)*Inventory!J160)</f>
        <v>0</v>
      </c>
      <c r="O160" s="35" t="str">
        <f>IF(OR(ISBLANK(P160),P160=0),"",Settings!$B$14)</f>
        <v/>
      </c>
      <c r="P160" s="30">
        <f>IF(ISBLANK(Inventory!A160),0,H160*Inventory!J160)</f>
        <v>0</v>
      </c>
    </row>
    <row r="161" spans="1:16" s="29" customFormat="1" ht="15" customHeight="1">
      <c r="A161" s="31" t="str">
        <f>IF(ISBLANK(Inventory!A161),"",Inventory!A161)</f>
        <v>Lime Cordial</v>
      </c>
      <c r="B161" s="31" t="str">
        <f>IF(ISBLANK(Inventory!A161),"",Inventory!C161)</f>
        <v>1Ltr</v>
      </c>
      <c r="C161" s="187">
        <v>1</v>
      </c>
      <c r="D161" s="192"/>
      <c r="E161" s="187">
        <v>1</v>
      </c>
      <c r="F161" s="187"/>
      <c r="G161" s="187"/>
      <c r="H161" s="37">
        <f>IF(ISBLANK(Inventory!A161),0,C161+SUM('Stock Opening'!C161:E161)-SUM(E161:G161))</f>
        <v>0</v>
      </c>
      <c r="I161" s="35" t="str">
        <f>IF(OR(ISBLANK(J161),J161=0),"",Settings!$B$14)</f>
        <v>$</v>
      </c>
      <c r="J161" s="30">
        <f>IF(ISBLANK(C161),0,C161*Inventory!H161)</f>
        <v>1.2125000000000001</v>
      </c>
      <c r="K161" s="35" t="str">
        <f>IF(OR(ISBLANK(L161),L161=0),"",Settings!$B$14)</f>
        <v>$</v>
      </c>
      <c r="L161" s="30">
        <f>IF(ISBLANK(Inventory!A161),0,SUM(E161:G161)*Inventory!H161)</f>
        <v>1.2125000000000001</v>
      </c>
      <c r="M161" s="35" t="str">
        <f>IF(OR(ISBLANK(N161),N161=0),"",Settings!$B$14)</f>
        <v>$</v>
      </c>
      <c r="N161" s="30">
        <f>IF(ISBLANK(Inventory!A161),0,SUM(E161:G161)*Inventory!J161)</f>
        <v>6.3</v>
      </c>
      <c r="O161" s="35" t="str">
        <f>IF(OR(ISBLANK(P161),P161=0),"",Settings!$B$14)</f>
        <v/>
      </c>
      <c r="P161" s="30">
        <f>IF(ISBLANK(Inventory!A161),0,H161*Inventory!J161)</f>
        <v>0</v>
      </c>
    </row>
    <row r="162" spans="1:16" s="29" customFormat="1" ht="15" customHeight="1">
      <c r="A162" s="31" t="str">
        <f>IF(ISBLANK(Inventory!A162),"",Inventory!A162)</f>
        <v>Coke/Diet Coke (Cans)</v>
      </c>
      <c r="B162" s="31" t="str">
        <f>IF(ISBLANK(Inventory!A162),"",Inventory!C162)</f>
        <v>330ml</v>
      </c>
      <c r="C162" s="187"/>
      <c r="D162" s="192"/>
      <c r="E162" s="187"/>
      <c r="F162" s="187"/>
      <c r="G162" s="187"/>
      <c r="H162" s="37">
        <f>IF(ISBLANK(Inventory!A162),0,C162+SUM('Stock Opening'!C162:E162)-SUM(E162:G162))</f>
        <v>0</v>
      </c>
      <c r="I162" s="35" t="str">
        <f>IF(OR(ISBLANK(J162),J162=0),"",Settings!$B$14)</f>
        <v/>
      </c>
      <c r="J162" s="30">
        <f>IF(ISBLANK(C162),0,C162*Inventory!H162)</f>
        <v>0</v>
      </c>
      <c r="K162" s="35" t="str">
        <f>IF(OR(ISBLANK(L162),L162=0),"",Settings!$B$14)</f>
        <v/>
      </c>
      <c r="L162" s="30">
        <f>IF(ISBLANK(Inventory!A162),0,SUM(E162:G162)*Inventory!H162)</f>
        <v>0</v>
      </c>
      <c r="M162" s="35" t="str">
        <f>IF(OR(ISBLANK(N162),N162=0),"",Settings!$B$14)</f>
        <v/>
      </c>
      <c r="N162" s="30">
        <f>IF(ISBLANK(Inventory!A162),0,SUM(E162:G162)*Inventory!J162)</f>
        <v>0</v>
      </c>
      <c r="O162" s="35" t="str">
        <f>IF(OR(ISBLANK(P162),P162=0),"",Settings!$B$14)</f>
        <v/>
      </c>
      <c r="P162" s="30">
        <f>IF(ISBLANK(Inventory!A162),0,H162*Inventory!J162)</f>
        <v>0</v>
      </c>
    </row>
    <row r="163" spans="1:16" s="29" customFormat="1" ht="15" customHeight="1">
      <c r="A163" s="31" t="str">
        <f>IF(ISBLANK(Inventory!A163),"",Inventory!A163)</f>
        <v/>
      </c>
      <c r="B163" s="31" t="str">
        <f>IF(ISBLANK(Inventory!A163),"",Inventory!C163)</f>
        <v/>
      </c>
      <c r="C163" s="187"/>
      <c r="D163" s="192"/>
      <c r="E163" s="187"/>
      <c r="F163" s="187"/>
      <c r="G163" s="187"/>
      <c r="H163" s="37">
        <f>IF(ISBLANK(Inventory!A163),0,C163+SUM('Stock Opening'!C163:E163)-SUM(E163:G163))</f>
        <v>0</v>
      </c>
      <c r="I163" s="35" t="str">
        <f>IF(OR(ISBLANK(J163),J163=0),"",Settings!$B$14)</f>
        <v/>
      </c>
      <c r="J163" s="30">
        <f>IF(ISBLANK(C163),0,C163*Inventory!H163)</f>
        <v>0</v>
      </c>
      <c r="K163" s="35" t="str">
        <f>IF(OR(ISBLANK(L163),L163=0),"",Settings!$B$14)</f>
        <v/>
      </c>
      <c r="L163" s="30">
        <f>IF(ISBLANK(Inventory!A163),0,SUM(E163:G163)*Inventory!H163)</f>
        <v>0</v>
      </c>
      <c r="M163" s="35" t="str">
        <f>IF(OR(ISBLANK(N163),N163=0),"",Settings!$B$14)</f>
        <v/>
      </c>
      <c r="N163" s="30">
        <f>IF(ISBLANK(Inventory!A163),0,SUM(E163:G163)*Inventory!J163)</f>
        <v>0</v>
      </c>
      <c r="O163" s="35" t="str">
        <f>IF(OR(ISBLANK(P163),P163=0),"",Settings!$B$14)</f>
        <v/>
      </c>
      <c r="P163" s="30">
        <f>IF(ISBLANK(Inventory!A163),0,H163*Inventory!J163)</f>
        <v>0</v>
      </c>
    </row>
    <row r="164" spans="1:16" s="29" customFormat="1" ht="15" customHeight="1">
      <c r="A164" s="31" t="str">
        <f>IF(ISBLANK(Inventory!A164),"",Inventory!A164)</f>
        <v/>
      </c>
      <c r="B164" s="31" t="str">
        <f>IF(ISBLANK(Inventory!A164),"",Inventory!C164)</f>
        <v/>
      </c>
      <c r="C164" s="187"/>
      <c r="D164" s="192"/>
      <c r="E164" s="187"/>
      <c r="F164" s="187"/>
      <c r="G164" s="187"/>
      <c r="H164" s="37">
        <f>IF(ISBLANK(Inventory!A164),0,C164+SUM('Stock Opening'!C164:E164)-SUM(E164:G164))</f>
        <v>0</v>
      </c>
      <c r="I164" s="35" t="str">
        <f>IF(OR(ISBLANK(J164),J164=0),"",Settings!$B$14)</f>
        <v/>
      </c>
      <c r="J164" s="30">
        <f>IF(ISBLANK(C164),0,C164*Inventory!H164)</f>
        <v>0</v>
      </c>
      <c r="K164" s="35" t="str">
        <f>IF(OR(ISBLANK(L164),L164=0),"",Settings!$B$14)</f>
        <v/>
      </c>
      <c r="L164" s="30">
        <f>IF(ISBLANK(Inventory!A164),0,SUM(E164:G164)*Inventory!H164)</f>
        <v>0</v>
      </c>
      <c r="M164" s="35" t="str">
        <f>IF(OR(ISBLANK(N164),N164=0),"",Settings!$B$14)</f>
        <v/>
      </c>
      <c r="N164" s="30">
        <f>IF(ISBLANK(Inventory!A164),0,SUM(E164:G164)*Inventory!J164)</f>
        <v>0</v>
      </c>
      <c r="O164" s="35" t="str">
        <f>IF(OR(ISBLANK(P164),P164=0),"",Settings!$B$14)</f>
        <v/>
      </c>
      <c r="P164" s="30">
        <f>IF(ISBLANK(Inventory!A164),0,H164*Inventory!J164)</f>
        <v>0</v>
      </c>
    </row>
    <row r="165" spans="1:16" s="29" customFormat="1" ht="15" customHeight="1">
      <c r="A165" s="31" t="str">
        <f>IF(ISBLANK(Inventory!A165),"",Inventory!A165)</f>
        <v/>
      </c>
      <c r="B165" s="31" t="str">
        <f>IF(ISBLANK(Inventory!A165),"",Inventory!C165)</f>
        <v/>
      </c>
      <c r="C165" s="187"/>
      <c r="D165" s="192"/>
      <c r="E165" s="187"/>
      <c r="F165" s="187"/>
      <c r="G165" s="187"/>
      <c r="H165" s="37">
        <f>IF(ISBLANK(Inventory!A165),0,C165+SUM('Stock Opening'!C165:E165)-SUM(E165:G165))</f>
        <v>0</v>
      </c>
      <c r="I165" s="35" t="str">
        <f>IF(OR(ISBLANK(J165),J165=0),"",Settings!$B$14)</f>
        <v/>
      </c>
      <c r="J165" s="30">
        <f>IF(ISBLANK(C165),0,C165*Inventory!H165)</f>
        <v>0</v>
      </c>
      <c r="K165" s="35" t="str">
        <f>IF(OR(ISBLANK(L165),L165=0),"",Settings!$B$14)</f>
        <v/>
      </c>
      <c r="L165" s="30">
        <f>IF(ISBLANK(Inventory!A165),0,SUM(E165:G165)*Inventory!H165)</f>
        <v>0</v>
      </c>
      <c r="M165" s="35" t="str">
        <f>IF(OR(ISBLANK(N165),N165=0),"",Settings!$B$14)</f>
        <v/>
      </c>
      <c r="N165" s="30">
        <f>IF(ISBLANK(Inventory!A165),0,SUM(E165:G165)*Inventory!J165)</f>
        <v>0</v>
      </c>
      <c r="O165" s="35" t="str">
        <f>IF(OR(ISBLANK(P165),P165=0),"",Settings!$B$14)</f>
        <v/>
      </c>
      <c r="P165" s="30">
        <f>IF(ISBLANK(Inventory!A165),0,H165*Inventory!J165)</f>
        <v>0</v>
      </c>
    </row>
    <row r="166" spans="1:16" s="29" customFormat="1" ht="15" customHeight="1">
      <c r="A166" s="31" t="str">
        <f>IF(ISBLANK(Inventory!A166),"",Inventory!A166)</f>
        <v/>
      </c>
      <c r="B166" s="31" t="str">
        <f>IF(ISBLANK(Inventory!A166),"",Inventory!C166)</f>
        <v/>
      </c>
      <c r="C166" s="187"/>
      <c r="D166" s="192"/>
      <c r="E166" s="187"/>
      <c r="F166" s="187"/>
      <c r="G166" s="187"/>
      <c r="H166" s="37">
        <f>IF(ISBLANK(Inventory!A166),0,C166+SUM('Stock Opening'!C166:E166)-SUM(E166:G166))</f>
        <v>0</v>
      </c>
      <c r="I166" s="35" t="str">
        <f>IF(OR(ISBLANK(J166),J166=0),"",Settings!$B$14)</f>
        <v/>
      </c>
      <c r="J166" s="30">
        <f>IF(ISBLANK(C166),0,C166*Inventory!H166)</f>
        <v>0</v>
      </c>
      <c r="K166" s="35" t="str">
        <f>IF(OR(ISBLANK(L166),L166=0),"",Settings!$B$14)</f>
        <v/>
      </c>
      <c r="L166" s="30">
        <f>IF(ISBLANK(Inventory!A166),0,SUM(E166:G166)*Inventory!H166)</f>
        <v>0</v>
      </c>
      <c r="M166" s="35" t="str">
        <f>IF(OR(ISBLANK(N166),N166=0),"",Settings!$B$14)</f>
        <v/>
      </c>
      <c r="N166" s="30">
        <f>IF(ISBLANK(Inventory!A166),0,SUM(E166:G166)*Inventory!J166)</f>
        <v>0</v>
      </c>
      <c r="O166" s="35" t="str">
        <f>IF(OR(ISBLANK(P166),P166=0),"",Settings!$B$14)</f>
        <v/>
      </c>
      <c r="P166" s="30">
        <f>IF(ISBLANK(Inventory!A166),0,H166*Inventory!J166)</f>
        <v>0</v>
      </c>
    </row>
    <row r="167" spans="1:16" s="29" customFormat="1" ht="15" customHeight="1">
      <c r="A167" s="31" t="str">
        <f>IF(ISBLANK(Inventory!A167),"",Inventory!A167)</f>
        <v/>
      </c>
      <c r="B167" s="31" t="str">
        <f>IF(ISBLANK(Inventory!A167),"",Inventory!C167)</f>
        <v/>
      </c>
      <c r="C167" s="187"/>
      <c r="D167" s="192"/>
      <c r="E167" s="187"/>
      <c r="F167" s="187"/>
      <c r="G167" s="187"/>
      <c r="H167" s="37">
        <f>IF(ISBLANK(Inventory!A167),0,C167+SUM('Stock Opening'!C167:E167)-SUM(E167:G167))</f>
        <v>0</v>
      </c>
      <c r="I167" s="35" t="str">
        <f>IF(OR(ISBLANK(J167),J167=0),"",Settings!$B$14)</f>
        <v/>
      </c>
      <c r="J167" s="30">
        <f>IF(ISBLANK(C167),0,C167*Inventory!H167)</f>
        <v>0</v>
      </c>
      <c r="K167" s="35" t="str">
        <f>IF(OR(ISBLANK(L167),L167=0),"",Settings!$B$14)</f>
        <v/>
      </c>
      <c r="L167" s="30">
        <f>IF(ISBLANK(Inventory!A167),0,SUM(E167:G167)*Inventory!H167)</f>
        <v>0</v>
      </c>
      <c r="M167" s="35" t="str">
        <f>IF(OR(ISBLANK(N167),N167=0),"",Settings!$B$14)</f>
        <v/>
      </c>
      <c r="N167" s="30">
        <f>IF(ISBLANK(Inventory!A167),0,SUM(E167:G167)*Inventory!J167)</f>
        <v>0</v>
      </c>
      <c r="O167" s="35" t="str">
        <f>IF(OR(ISBLANK(P167),P167=0),"",Settings!$B$14)</f>
        <v/>
      </c>
      <c r="P167" s="30">
        <f>IF(ISBLANK(Inventory!A167),0,H167*Inventory!J167)</f>
        <v>0</v>
      </c>
    </row>
    <row r="168" spans="1:16" s="29" customFormat="1" ht="15" customHeight="1">
      <c r="A168" s="31" t="str">
        <f>IF(ISBLANK(Inventory!A168),"",Inventory!A168)</f>
        <v/>
      </c>
      <c r="B168" s="31" t="str">
        <f>IF(ISBLANK(Inventory!A168),"",Inventory!C168)</f>
        <v/>
      </c>
      <c r="C168" s="187"/>
      <c r="D168" s="192"/>
      <c r="E168" s="187"/>
      <c r="F168" s="187"/>
      <c r="G168" s="187"/>
      <c r="H168" s="37">
        <f>IF(ISBLANK(Inventory!A168),0,C168+SUM('Stock Opening'!C168:E168)-SUM(E168:G168))</f>
        <v>0</v>
      </c>
      <c r="I168" s="35" t="str">
        <f>IF(OR(ISBLANK(J168),J168=0),"",Settings!$B$14)</f>
        <v/>
      </c>
      <c r="J168" s="30">
        <f>IF(ISBLANK(C168),0,C168*Inventory!H168)</f>
        <v>0</v>
      </c>
      <c r="K168" s="35" t="str">
        <f>IF(OR(ISBLANK(L168),L168=0),"",Settings!$B$14)</f>
        <v/>
      </c>
      <c r="L168" s="30">
        <f>IF(ISBLANK(Inventory!A168),0,SUM(E168:G168)*Inventory!H168)</f>
        <v>0</v>
      </c>
      <c r="M168" s="35" t="str">
        <f>IF(OR(ISBLANK(N168),N168=0),"",Settings!$B$14)</f>
        <v/>
      </c>
      <c r="N168" s="30">
        <f>IF(ISBLANK(Inventory!A168),0,SUM(E168:G168)*Inventory!J168)</f>
        <v>0</v>
      </c>
      <c r="O168" s="35" t="str">
        <f>IF(OR(ISBLANK(P168),P168=0),"",Settings!$B$14)</f>
        <v/>
      </c>
      <c r="P168" s="30">
        <f>IF(ISBLANK(Inventory!A168),0,H168*Inventory!J168)</f>
        <v>0</v>
      </c>
    </row>
    <row r="169" spans="1:16" s="29" customFormat="1" ht="15" customHeight="1">
      <c r="A169" s="31" t="str">
        <f>IF(ISBLANK(Inventory!A169),"",Inventory!A169)</f>
        <v/>
      </c>
      <c r="B169" s="31" t="str">
        <f>IF(ISBLANK(Inventory!A169),"",Inventory!C169)</f>
        <v/>
      </c>
      <c r="C169" s="187"/>
      <c r="D169" s="192"/>
      <c r="E169" s="187"/>
      <c r="F169" s="187"/>
      <c r="G169" s="187"/>
      <c r="H169" s="37">
        <f>IF(ISBLANK(Inventory!A169),0,C169+SUM('Stock Opening'!C169:E169)-SUM(E169:G169))</f>
        <v>0</v>
      </c>
      <c r="I169" s="35" t="str">
        <f>IF(OR(ISBLANK(J169),J169=0),"",Settings!$B$14)</f>
        <v/>
      </c>
      <c r="J169" s="30">
        <f>IF(ISBLANK(C169),0,C169*Inventory!H169)</f>
        <v>0</v>
      </c>
      <c r="K169" s="35" t="str">
        <f>IF(OR(ISBLANK(L169),L169=0),"",Settings!$B$14)</f>
        <v/>
      </c>
      <c r="L169" s="30">
        <f>IF(ISBLANK(Inventory!A169),0,SUM(E169:G169)*Inventory!H169)</f>
        <v>0</v>
      </c>
      <c r="M169" s="35" t="str">
        <f>IF(OR(ISBLANK(N169),N169=0),"",Settings!$B$14)</f>
        <v/>
      </c>
      <c r="N169" s="30">
        <f>IF(ISBLANK(Inventory!A169),0,SUM(E169:G169)*Inventory!J169)</f>
        <v>0</v>
      </c>
      <c r="O169" s="35" t="str">
        <f>IF(OR(ISBLANK(P169),P169=0),"",Settings!$B$14)</f>
        <v/>
      </c>
      <c r="P169" s="30">
        <f>IF(ISBLANK(Inventory!A169),0,H169*Inventory!J169)</f>
        <v>0</v>
      </c>
    </row>
    <row r="170" spans="1:16" ht="6.95" customHeight="1">
      <c r="A170" s="24"/>
      <c r="B170" s="24"/>
      <c r="C170" s="69"/>
      <c r="D170" s="69"/>
      <c r="E170" s="69"/>
      <c r="F170" s="69"/>
      <c r="G170" s="69"/>
      <c r="H170" s="69"/>
      <c r="I170" s="69"/>
      <c r="J170" s="69"/>
      <c r="K170" s="69"/>
      <c r="L170" s="25"/>
      <c r="M170" s="62"/>
      <c r="N170" s="160"/>
      <c r="O170" s="25"/>
      <c r="P170" s="160"/>
    </row>
    <row r="171" spans="1:16" s="45" customFormat="1" ht="18" customHeight="1" thickBot="1">
      <c r="A171" s="78" t="str">
        <f>Inventory!A171</f>
        <v>POST-MIX DRINKS</v>
      </c>
      <c r="B171" s="78" t="str">
        <f>Inventory!C171</f>
        <v>VOLUME</v>
      </c>
      <c r="C171" s="22" t="s">
        <v>187</v>
      </c>
      <c r="D171" s="22"/>
      <c r="E171" s="22" t="s">
        <v>101</v>
      </c>
      <c r="F171" s="22"/>
      <c r="G171" s="23" t="s">
        <v>108</v>
      </c>
      <c r="H171" s="79" t="s">
        <v>119</v>
      </c>
      <c r="I171" s="253" t="s">
        <v>190</v>
      </c>
      <c r="J171" s="253"/>
      <c r="K171" s="235" t="s">
        <v>30</v>
      </c>
      <c r="L171" s="235"/>
      <c r="M171" s="235" t="s">
        <v>31</v>
      </c>
      <c r="N171" s="235"/>
      <c r="O171" s="235" t="s">
        <v>189</v>
      </c>
      <c r="P171" s="235"/>
    </row>
    <row r="172" spans="1:16" ht="6.95" customHeight="1" thickTop="1">
      <c r="A172" s="193"/>
      <c r="B172" s="194"/>
      <c r="C172" s="71"/>
      <c r="D172" s="71"/>
      <c r="E172" s="67"/>
      <c r="F172" s="67"/>
      <c r="G172" s="71"/>
      <c r="H172" s="71"/>
      <c r="I172" s="71"/>
      <c r="J172" s="71"/>
      <c r="K172" s="71"/>
      <c r="L172" s="67"/>
      <c r="M172" s="62"/>
      <c r="N172" s="67"/>
      <c r="O172" s="72"/>
      <c r="P172" s="67"/>
    </row>
    <row r="173" spans="1:16" ht="15" customHeight="1">
      <c r="A173" s="31" t="str">
        <f>IF(ISBLANK(Inventory!A173),"",Inventory!A173)</f>
        <v>Post-Mix Pepsi/Diet</v>
      </c>
      <c r="B173" s="31" t="str">
        <f>IF(ISBLANK(Inventory!A173),"",Inventory!C173)</f>
        <v>20ml</v>
      </c>
      <c r="C173" s="187">
        <v>1</v>
      </c>
      <c r="D173" s="192"/>
      <c r="E173" s="187"/>
      <c r="F173" s="173"/>
      <c r="G173" s="187">
        <v>0.8</v>
      </c>
      <c r="H173" s="37">
        <f>IF(ISBLANK(Inventory!A173),0,C173+SUM('Stock Opening'!C173:E173)-SUM(E173:G173))</f>
        <v>0.19999999999999996</v>
      </c>
      <c r="I173" s="35" t="str">
        <f>IF(OR(ISBLANK(J173),J173=0),"",Settings!$B$14)</f>
        <v>$</v>
      </c>
      <c r="J173" s="30">
        <f>IF(ISBLANK(C173),0,C173*Inventory!F173)</f>
        <v>15.25</v>
      </c>
      <c r="K173" s="35" t="str">
        <f>IF(OR(ISBLANK(L173),L173=0),"",Settings!$B$14)</f>
        <v>$</v>
      </c>
      <c r="L173" s="30">
        <f>IF(ISBLANK(Inventory!A173),0,SUM(E173:G173)*Inventory!F173)</f>
        <v>12.200000000000001</v>
      </c>
      <c r="M173" s="35" t="str">
        <f>IF(OR(ISBLANK(N173),N173=0),"",Settings!$B$14)</f>
        <v>$</v>
      </c>
      <c r="N173" s="30">
        <f>IF(ISBLANK(Inventory!A173),0,SUM(E173:G173)*Inventory!L173)</f>
        <v>330</v>
      </c>
      <c r="O173" s="35" t="str">
        <f>IF(OR(ISBLANK(P173),P173=0),"",Settings!$B$14)</f>
        <v>$</v>
      </c>
      <c r="P173" s="30">
        <f>IF(ISBLANK(Inventory!A173),0,H173*Inventory!L173)</f>
        <v>82.499999999999986</v>
      </c>
    </row>
    <row r="174" spans="1:16" ht="15" customHeight="1">
      <c r="A174" s="31" t="str">
        <f>IF(ISBLANK(Inventory!A174),"",Inventory!A174)</f>
        <v>Post-Mix Lemonade</v>
      </c>
      <c r="B174" s="31" t="str">
        <f>IF(ISBLANK(Inventory!A174),"",Inventory!C174)</f>
        <v>20ml</v>
      </c>
      <c r="C174" s="187">
        <v>1</v>
      </c>
      <c r="D174" s="192"/>
      <c r="E174" s="187"/>
      <c r="F174" s="173"/>
      <c r="G174" s="187">
        <v>0.9</v>
      </c>
      <c r="H174" s="37">
        <f>IF(ISBLANK(Inventory!A174),0,C174+SUM('Stock Opening'!C174:E174)-SUM(E174:G174))</f>
        <v>9.9999999999999978E-2</v>
      </c>
      <c r="I174" s="35" t="str">
        <f>IF(OR(ISBLANK(J174),J174=0),"",Settings!$B$14)</f>
        <v>$</v>
      </c>
      <c r="J174" s="30">
        <f>IF(ISBLANK(C174),0,C174*Inventory!F174)</f>
        <v>14.43</v>
      </c>
      <c r="K174" s="35" t="str">
        <f>IF(OR(ISBLANK(L174),L174=0),"",Settings!$B$14)</f>
        <v>$</v>
      </c>
      <c r="L174" s="30">
        <f>IF(ISBLANK(Inventory!A174),0,SUM(E174:G174)*Inventory!F174)</f>
        <v>12.987</v>
      </c>
      <c r="M174" s="35" t="str">
        <f>IF(OR(ISBLANK(N174),N174=0),"",Settings!$B$14)</f>
        <v>$</v>
      </c>
      <c r="N174" s="30">
        <f>IF(ISBLANK(Inventory!A174),0,SUM(E174:G174)*Inventory!L174)</f>
        <v>371.25</v>
      </c>
      <c r="O174" s="35" t="str">
        <f>IF(OR(ISBLANK(P174),P174=0),"",Settings!$B$14)</f>
        <v>$</v>
      </c>
      <c r="P174" s="30">
        <f>IF(ISBLANK(Inventory!A174),0,H174*Inventory!L174)</f>
        <v>41.249999999999993</v>
      </c>
    </row>
    <row r="175" spans="1:16" ht="15" customHeight="1">
      <c r="A175" s="31" t="str">
        <f>IF(ISBLANK(Inventory!A175),"",Inventory!A175)</f>
        <v>Post-Mix Tango</v>
      </c>
      <c r="B175" s="31" t="str">
        <f>IF(ISBLANK(Inventory!A175),"",Inventory!C175)</f>
        <v>20ml</v>
      </c>
      <c r="C175" s="187">
        <v>1</v>
      </c>
      <c r="D175" s="192"/>
      <c r="E175" s="187"/>
      <c r="F175" s="173"/>
      <c r="G175" s="187">
        <v>0.9</v>
      </c>
      <c r="H175" s="37">
        <f>IF(ISBLANK(Inventory!A175),0,C175+SUM('Stock Opening'!C175:E175)-SUM(E175:G175))</f>
        <v>9.9999999999999978E-2</v>
      </c>
      <c r="I175" s="35" t="str">
        <f>IF(OR(ISBLANK(J175),J175=0),"",Settings!$B$14)</f>
        <v>$</v>
      </c>
      <c r="J175" s="30">
        <f>IF(ISBLANK(C175),0,C175*Inventory!F175)</f>
        <v>12.3</v>
      </c>
      <c r="K175" s="35" t="str">
        <f>IF(OR(ISBLANK(L175),L175=0),"",Settings!$B$14)</f>
        <v>$</v>
      </c>
      <c r="L175" s="30">
        <f>IF(ISBLANK(Inventory!A175),0,SUM(E175:G175)*Inventory!F175)</f>
        <v>11.07</v>
      </c>
      <c r="M175" s="35" t="str">
        <f>IF(OR(ISBLANK(N175),N175=0),"",Settings!$B$14)</f>
        <v>$</v>
      </c>
      <c r="N175" s="30">
        <f>IF(ISBLANK(Inventory!A175),0,SUM(E175:G175)*Inventory!L175)</f>
        <v>742.5</v>
      </c>
      <c r="O175" s="35" t="str">
        <f>IF(OR(ISBLANK(P175),P175=0),"",Settings!$B$14)</f>
        <v>$</v>
      </c>
      <c r="P175" s="30">
        <f>IF(ISBLANK(Inventory!A175),0,H175*Inventory!L175)</f>
        <v>82.499999999999986</v>
      </c>
    </row>
    <row r="176" spans="1:16" ht="15" customHeight="1">
      <c r="A176" s="31" t="str">
        <f>IF(ISBLANK(Inventory!A176),"",Inventory!A176)</f>
        <v>Sprite</v>
      </c>
      <c r="B176" s="31" t="str">
        <f>IF(ISBLANK(Inventory!A176),"",Inventory!C176)</f>
        <v>25ml</v>
      </c>
      <c r="C176" s="187">
        <v>1</v>
      </c>
      <c r="D176" s="192"/>
      <c r="E176" s="187"/>
      <c r="F176" s="173"/>
      <c r="G176" s="187">
        <v>0.9</v>
      </c>
      <c r="H176" s="37">
        <f>IF(ISBLANK(Inventory!A176),0,C176+SUM('Stock Opening'!C176:E176)-SUM(E176:G176))</f>
        <v>9.9999999999999978E-2</v>
      </c>
      <c r="I176" s="35" t="str">
        <f>IF(OR(ISBLANK(J176),J176=0),"",Settings!$B$14)</f>
        <v>$</v>
      </c>
      <c r="J176" s="30">
        <f>IF(ISBLANK(C176),0,C176*Inventory!F176)</f>
        <v>15.53</v>
      </c>
      <c r="K176" s="35" t="str">
        <f>IF(OR(ISBLANK(L176),L176=0),"",Settings!$B$14)</f>
        <v>$</v>
      </c>
      <c r="L176" s="30">
        <f>IF(ISBLANK(Inventory!A176),0,SUM(E176:G176)*Inventory!F176)</f>
        <v>13.977</v>
      </c>
      <c r="M176" s="35" t="str">
        <f>IF(OR(ISBLANK(N176),N176=0),"",Settings!$B$14)</f>
        <v>$</v>
      </c>
      <c r="N176" s="30">
        <f>IF(ISBLANK(Inventory!A176),0,SUM(E176:G176)*Inventory!L176)</f>
        <v>297</v>
      </c>
      <c r="O176" s="35" t="str">
        <f>IF(OR(ISBLANK(P176),P176=0),"",Settings!$B$14)</f>
        <v>$</v>
      </c>
      <c r="P176" s="30">
        <f>IF(ISBLANK(Inventory!A176),0,H176*Inventory!L176)</f>
        <v>32.999999999999993</v>
      </c>
    </row>
    <row r="177" spans="1:16" ht="15" customHeight="1">
      <c r="A177" s="31" t="str">
        <f>IF(ISBLANK(Inventory!A177),"",Inventory!A177)</f>
        <v/>
      </c>
      <c r="B177" s="31" t="str">
        <f>IF(ISBLANK(Inventory!A177),"",Inventory!C177)</f>
        <v/>
      </c>
      <c r="C177" s="187"/>
      <c r="D177" s="192"/>
      <c r="E177" s="187"/>
      <c r="F177" s="173"/>
      <c r="G177" s="187"/>
      <c r="H177" s="37">
        <f>IF(ISBLANK(Inventory!A177),0,C177+SUM('Stock Opening'!C177:E177)-SUM(E177:G177))</f>
        <v>0</v>
      </c>
      <c r="I177" s="35" t="str">
        <f>IF(OR(ISBLANK(J177),J177=0),"",Settings!$B$14)</f>
        <v/>
      </c>
      <c r="J177" s="30">
        <f>IF(ISBLANK(C177),0,C177*Inventory!F177)</f>
        <v>0</v>
      </c>
      <c r="K177" s="35" t="str">
        <f>IF(OR(ISBLANK(L177),L177=0),"",Settings!$B$14)</f>
        <v/>
      </c>
      <c r="L177" s="30">
        <f>IF(ISBLANK(Inventory!A177),0,SUM(E177:G177)*Inventory!F177)</f>
        <v>0</v>
      </c>
      <c r="M177" s="35" t="str">
        <f>IF(OR(ISBLANK(N177),N177=0),"",Settings!$B$14)</f>
        <v/>
      </c>
      <c r="N177" s="30">
        <f>IF(ISBLANK(Inventory!A177),0,SUM(E177:G177)*Inventory!L177)</f>
        <v>0</v>
      </c>
      <c r="O177" s="35" t="str">
        <f>IF(OR(ISBLANK(P177),P177=0),"",Settings!$B$14)</f>
        <v/>
      </c>
      <c r="P177" s="30">
        <f>IF(ISBLANK(Inventory!A177),0,H177*Inventory!L177)</f>
        <v>0</v>
      </c>
    </row>
    <row r="178" spans="1:16" ht="15" customHeight="1">
      <c r="A178" s="31" t="str">
        <f>IF(ISBLANK(Inventory!A178),"",Inventory!A178)</f>
        <v/>
      </c>
      <c r="B178" s="31" t="str">
        <f>IF(ISBLANK(Inventory!A178),"",Inventory!C178)</f>
        <v/>
      </c>
      <c r="C178" s="187"/>
      <c r="D178" s="192"/>
      <c r="E178" s="187"/>
      <c r="F178" s="173"/>
      <c r="G178" s="187"/>
      <c r="H178" s="37">
        <f>IF(ISBLANK(Inventory!A178),0,C178+SUM('Stock Opening'!C178:E178)-SUM(E178:G178))</f>
        <v>0</v>
      </c>
      <c r="I178" s="35" t="str">
        <f>IF(OR(ISBLANK(J178),J178=0),"",Settings!$B$14)</f>
        <v/>
      </c>
      <c r="J178" s="30">
        <f>IF(ISBLANK(C178),0,C178*Inventory!F178)</f>
        <v>0</v>
      </c>
      <c r="K178" s="35" t="str">
        <f>IF(OR(ISBLANK(L178),L178=0),"",Settings!$B$14)</f>
        <v/>
      </c>
      <c r="L178" s="30">
        <f>IF(ISBLANK(Inventory!A178),0,SUM(E178:G178)*Inventory!F178)</f>
        <v>0</v>
      </c>
      <c r="M178" s="35" t="str">
        <f>IF(OR(ISBLANK(N178),N178=0),"",Settings!$B$14)</f>
        <v/>
      </c>
      <c r="N178" s="30">
        <f>IF(ISBLANK(Inventory!A178),0,SUM(E178:G178)*Inventory!L178)</f>
        <v>0</v>
      </c>
      <c r="O178" s="35" t="str">
        <f>IF(OR(ISBLANK(P178),P178=0),"",Settings!$B$14)</f>
        <v/>
      </c>
      <c r="P178" s="30">
        <f>IF(ISBLANK(Inventory!A178),0,H178*Inventory!L178)</f>
        <v>0</v>
      </c>
    </row>
    <row r="179" spans="1:16" ht="6.95" customHeight="1">
      <c r="A179" s="24"/>
      <c r="B179" s="24"/>
      <c r="C179" s="1"/>
      <c r="D179" s="1"/>
      <c r="E179" s="1"/>
      <c r="F179" s="1"/>
      <c r="G179" s="1"/>
      <c r="H179" s="1"/>
      <c r="I179" s="1"/>
      <c r="J179" s="1"/>
      <c r="K179" s="1"/>
      <c r="L179" s="25"/>
      <c r="M179" s="62"/>
      <c r="N179" s="160"/>
      <c r="O179" s="25"/>
      <c r="P179" s="160"/>
    </row>
    <row r="180" spans="1:16" s="45" customFormat="1" ht="18" customHeight="1" thickBot="1">
      <c r="A180" s="78" t="str">
        <f>Inventory!A180</f>
        <v>COMPRESSED GAS</v>
      </c>
      <c r="B180" s="78"/>
      <c r="C180" s="22" t="s">
        <v>187</v>
      </c>
      <c r="D180" s="22"/>
      <c r="E180" s="22" t="s">
        <v>101</v>
      </c>
      <c r="F180" s="22"/>
      <c r="G180" s="23" t="s">
        <v>108</v>
      </c>
      <c r="H180" s="79" t="s">
        <v>119</v>
      </c>
      <c r="I180" s="253" t="s">
        <v>190</v>
      </c>
      <c r="J180" s="253"/>
      <c r="K180" s="235" t="s">
        <v>30</v>
      </c>
      <c r="L180" s="235"/>
      <c r="M180" s="235"/>
      <c r="N180" s="235"/>
      <c r="O180" s="235"/>
      <c r="P180" s="235"/>
    </row>
    <row r="181" spans="1:16" ht="6.95" customHeight="1" thickTop="1">
      <c r="A181" s="193"/>
      <c r="B181" s="194"/>
      <c r="C181" s="1"/>
      <c r="D181" s="1"/>
      <c r="E181" s="67"/>
      <c r="F181" s="67"/>
      <c r="G181" s="71"/>
      <c r="H181" s="71"/>
      <c r="I181" s="71"/>
      <c r="J181" s="71"/>
      <c r="K181" s="1"/>
      <c r="L181" s="67"/>
      <c r="M181" s="62"/>
      <c r="N181" s="67"/>
      <c r="O181" s="72"/>
      <c r="P181" s="67"/>
    </row>
    <row r="182" spans="1:16" ht="15" customHeight="1">
      <c r="A182" s="31" t="str">
        <f>IF(ISBLANK(Inventory!A182),"",Inventory!A182)</f>
        <v>Suregas B</v>
      </c>
      <c r="B182" s="31"/>
      <c r="C182" s="187">
        <v>1</v>
      </c>
      <c r="D182" s="192"/>
      <c r="E182" s="187"/>
      <c r="F182" s="173"/>
      <c r="G182" s="187">
        <v>0.5</v>
      </c>
      <c r="H182" s="37">
        <f>IF(ISBLANK(Inventory!A182),0,C182+SUM('Stock Opening'!C182:E182)-SUM(E182:G182))</f>
        <v>0.5</v>
      </c>
      <c r="I182" s="35" t="str">
        <f>IF(OR(ISBLANK(J182),J182=0),"",Settings!$B$14)</f>
        <v>$</v>
      </c>
      <c r="J182" s="30">
        <f>IF(ISBLANK(C182),0,C182*Inventory!F182)</f>
        <v>15.75</v>
      </c>
      <c r="K182" s="35" t="str">
        <f>IF(OR(ISBLANK(L182),L182=0),"",Settings!$B$14)</f>
        <v>$</v>
      </c>
      <c r="L182" s="30">
        <f>IF(ISBLANK(Inventory!A182),0,SUM(E182:G182)*Inventory!F182)</f>
        <v>7.875</v>
      </c>
      <c r="M182" s="35"/>
      <c r="N182" s="30"/>
      <c r="O182" s="35"/>
      <c r="P182" s="30"/>
    </row>
    <row r="183" spans="1:16" ht="15" customHeight="1">
      <c r="A183" s="31" t="str">
        <f>IF(ISBLANK(Inventory!A183),"",Inventory!A183)</f>
        <v>Suremix 30/50</v>
      </c>
      <c r="B183" s="31"/>
      <c r="C183" s="187">
        <v>1</v>
      </c>
      <c r="D183" s="192"/>
      <c r="E183" s="187"/>
      <c r="F183" s="173"/>
      <c r="G183" s="187">
        <v>0.2</v>
      </c>
      <c r="H183" s="37">
        <f>IF(ISBLANK(Inventory!A183),0,C183+SUM('Stock Opening'!C183:E183)-SUM(E183:G183))</f>
        <v>0.8</v>
      </c>
      <c r="I183" s="35" t="str">
        <f>IF(OR(ISBLANK(J183),J183=0),"",Settings!$B$14)</f>
        <v>$</v>
      </c>
      <c r="J183" s="30">
        <f>IF(ISBLANK(C183),0,C183*Inventory!F183)</f>
        <v>28.3</v>
      </c>
      <c r="K183" s="35" t="str">
        <f>IF(OR(ISBLANK(L183),L183=0),"",Settings!$B$14)</f>
        <v>$</v>
      </c>
      <c r="L183" s="30">
        <f>IF(ISBLANK(Inventory!A183),0,SUM(E183:G183)*Inventory!F183)</f>
        <v>5.66</v>
      </c>
      <c r="M183" s="35"/>
      <c r="N183" s="30"/>
      <c r="O183" s="35"/>
      <c r="P183" s="30"/>
    </row>
    <row r="184" spans="1:16" ht="15" customHeight="1">
      <c r="A184" s="31" t="str">
        <f>IF(ISBLANK(Inventory!A184),"",Inventory!A184)</f>
        <v/>
      </c>
      <c r="B184" s="31"/>
      <c r="C184" s="187"/>
      <c r="D184" s="192"/>
      <c r="E184" s="187"/>
      <c r="F184" s="173"/>
      <c r="G184" s="187"/>
      <c r="H184" s="37">
        <f>IF(ISBLANK(Inventory!A184),0,C184+SUM('Stock Opening'!C184:E184)-SUM(E184:G184))</f>
        <v>0</v>
      </c>
      <c r="I184" s="35" t="str">
        <f>IF(OR(ISBLANK(J184),J184=0),"",Settings!$B$14)</f>
        <v/>
      </c>
      <c r="J184" s="30">
        <f>IF(ISBLANK(C184),0,C184*Inventory!F184)</f>
        <v>0</v>
      </c>
      <c r="K184" s="35" t="str">
        <f>IF(OR(ISBLANK(L184),L184=0),"",Settings!$B$14)</f>
        <v/>
      </c>
      <c r="L184" s="30">
        <f>IF(ISBLANK(Inventory!A184),0,SUM(E184:G184)*Inventory!F184)</f>
        <v>0</v>
      </c>
      <c r="M184" s="35"/>
      <c r="N184" s="30"/>
      <c r="O184" s="35"/>
      <c r="P184" s="30"/>
    </row>
    <row r="185" spans="1:16" ht="15" customHeight="1">
      <c r="A185" s="31" t="str">
        <f>IF(ISBLANK(Inventory!A185),"",Inventory!A185)</f>
        <v/>
      </c>
      <c r="B185" s="31"/>
      <c r="C185" s="187"/>
      <c r="D185" s="192"/>
      <c r="E185" s="187"/>
      <c r="F185" s="173"/>
      <c r="G185" s="187"/>
      <c r="H185" s="37">
        <f>IF(ISBLANK(Inventory!A185),0,C185+SUM('Stock Opening'!C185:E185)-SUM(E185:G185))</f>
        <v>0</v>
      </c>
      <c r="I185" s="35" t="str">
        <f>IF(OR(ISBLANK(J185),J185=0),"",Settings!$B$14)</f>
        <v/>
      </c>
      <c r="J185" s="30">
        <f>IF(ISBLANK(C185),0,C185*Inventory!F185)</f>
        <v>0</v>
      </c>
      <c r="K185" s="35" t="str">
        <f>IF(OR(ISBLANK(L185),L185=0),"",Settings!$B$14)</f>
        <v/>
      </c>
      <c r="L185" s="30">
        <f>IF(ISBLANK(Inventory!A185),0,SUM(E185:G185)*Inventory!F185)</f>
        <v>0</v>
      </c>
      <c r="M185" s="35"/>
      <c r="N185" s="30"/>
      <c r="O185" s="35"/>
      <c r="P185" s="30"/>
    </row>
    <row r="186" spans="1:16" ht="6.95" customHeight="1">
      <c r="A186" s="24"/>
      <c r="B186" s="24"/>
      <c r="C186" s="1"/>
      <c r="D186" s="1"/>
      <c r="E186" s="1"/>
      <c r="F186" s="1"/>
      <c r="G186" s="1"/>
      <c r="H186" s="1"/>
      <c r="I186" s="1"/>
      <c r="J186" s="1"/>
      <c r="K186" s="1"/>
      <c r="L186" s="25"/>
      <c r="M186" s="62"/>
      <c r="N186" s="25"/>
      <c r="O186" s="25"/>
      <c r="P186" s="25"/>
    </row>
    <row r="187" spans="1:16" s="45" customFormat="1" ht="18" customHeight="1" thickBot="1">
      <c r="A187" s="78" t="str">
        <f>Inventory!A187</f>
        <v xml:space="preserve">REUSABLE containers and bottles </v>
      </c>
      <c r="B187" s="78"/>
      <c r="C187" s="22" t="s">
        <v>191</v>
      </c>
      <c r="D187" s="22"/>
      <c r="E187" s="22" t="s">
        <v>101</v>
      </c>
      <c r="F187" s="22" t="s">
        <v>102</v>
      </c>
      <c r="G187" s="23"/>
      <c r="H187" s="79" t="s">
        <v>119</v>
      </c>
      <c r="I187" s="253" t="s">
        <v>198</v>
      </c>
      <c r="J187" s="253"/>
      <c r="K187" s="235" t="s">
        <v>199</v>
      </c>
      <c r="L187" s="235"/>
      <c r="M187" s="235"/>
      <c r="N187" s="235"/>
      <c r="O187" s="235"/>
      <c r="P187" s="235"/>
    </row>
    <row r="188" spans="1:16" ht="6.95" customHeight="1" thickTop="1">
      <c r="A188" s="193"/>
      <c r="B188" s="194"/>
      <c r="C188" s="1"/>
      <c r="D188" s="1"/>
      <c r="E188" s="67"/>
      <c r="F188" s="67"/>
      <c r="G188" s="71"/>
      <c r="H188" s="71"/>
      <c r="I188" s="71"/>
      <c r="J188" s="71"/>
      <c r="K188" s="1"/>
      <c r="L188" s="67"/>
      <c r="M188" s="62"/>
      <c r="N188" s="67"/>
      <c r="O188" s="72"/>
      <c r="P188" s="67"/>
    </row>
    <row r="189" spans="1:16" ht="15" customHeight="1">
      <c r="A189" s="31" t="str">
        <f>IF(ISBLANK(Inventory!A189),"",Inventory!A189)</f>
        <v>Cases</v>
      </c>
      <c r="B189" s="31"/>
      <c r="C189" s="187">
        <v>3</v>
      </c>
      <c r="D189" s="192"/>
      <c r="E189" s="187">
        <v>3</v>
      </c>
      <c r="F189" s="187"/>
      <c r="G189" s="173"/>
      <c r="H189" s="37">
        <f>IF(ISBLANK(Inventory!A189),0,C189+SUM('Stock Opening'!C189:E189)-SUM(E189:G189))</f>
        <v>4</v>
      </c>
      <c r="I189" s="35" t="str">
        <f>IF(OR(ISBLANK(J189),J189=0),"",Settings!$B$14)</f>
        <v>$</v>
      </c>
      <c r="J189" s="30">
        <f>IF(ISBLANK(C189),0,C189*Inventory!F189)</f>
        <v>3</v>
      </c>
      <c r="K189" s="35" t="str">
        <f>IF(OR(ISBLANK(L189),L189=0),"",Settings!$B$14)</f>
        <v>$</v>
      </c>
      <c r="L189" s="30">
        <f>IF(ISBLANK(Inventory!A189),0,SUM(E189:G189)*Inventory!F189)</f>
        <v>3</v>
      </c>
      <c r="M189" s="35"/>
      <c r="N189" s="30"/>
      <c r="O189" s="35"/>
      <c r="P189" s="30"/>
    </row>
    <row r="190" spans="1:16" ht="15" customHeight="1">
      <c r="A190" s="31" t="str">
        <f>IF(ISBLANK(Inventory!A190),"",Inventory!A190)</f>
        <v>Bottles - Small</v>
      </c>
      <c r="B190" s="31"/>
      <c r="C190" s="187">
        <v>500</v>
      </c>
      <c r="D190" s="192"/>
      <c r="E190" s="187">
        <v>100</v>
      </c>
      <c r="F190" s="187"/>
      <c r="G190" s="173"/>
      <c r="H190" s="37">
        <f>IF(ISBLANK(Inventory!A190),0,C190+SUM('Stock Opening'!C190:E190)-SUM(E190:G190))</f>
        <v>900</v>
      </c>
      <c r="I190" s="35" t="str">
        <f>IF(OR(ISBLANK(J190),J190=0),"",Settings!$B$14)</f>
        <v>$</v>
      </c>
      <c r="J190" s="30">
        <f>IF(ISBLANK(C190),0,C190*Inventory!F190)</f>
        <v>21</v>
      </c>
      <c r="K190" s="35" t="str">
        <f>IF(OR(ISBLANK(L190),L190=0),"",Settings!$B$14)</f>
        <v>$</v>
      </c>
      <c r="L190" s="30">
        <f>IF(ISBLANK(Inventory!A190),0,SUM(E190:G190)*Inventory!F190)</f>
        <v>4.2</v>
      </c>
      <c r="M190" s="35"/>
      <c r="N190" s="30"/>
      <c r="O190" s="35"/>
      <c r="P190" s="30"/>
    </row>
    <row r="191" spans="1:16" ht="15" customHeight="1">
      <c r="A191" s="31" t="str">
        <f>IF(ISBLANK(Inventory!A191),"",Inventory!A191)</f>
        <v>Suregas B</v>
      </c>
      <c r="B191" s="31"/>
      <c r="C191" s="187">
        <v>1</v>
      </c>
      <c r="D191" s="192"/>
      <c r="E191" s="187">
        <v>1</v>
      </c>
      <c r="F191" s="187"/>
      <c r="G191" s="173"/>
      <c r="H191" s="37">
        <f>IF(ISBLANK(Inventory!A191),0,C191+SUM('Stock Opening'!C191:E191)-SUM(E191:G191))</f>
        <v>1</v>
      </c>
      <c r="I191" s="35" t="str">
        <f>IF(OR(ISBLANK(J191),J191=0),"",Settings!$B$14)</f>
        <v>$</v>
      </c>
      <c r="J191" s="30">
        <f>IF(ISBLANK(C191),0,C191*Inventory!F191)</f>
        <v>4.3</v>
      </c>
      <c r="K191" s="35" t="str">
        <f>IF(OR(ISBLANK(L191),L191=0),"",Settings!$B$14)</f>
        <v>$</v>
      </c>
      <c r="L191" s="30">
        <f>IF(ISBLANK(Inventory!A191),0,SUM(E191:G191)*Inventory!F191)</f>
        <v>4.3</v>
      </c>
      <c r="M191" s="35"/>
      <c r="N191" s="30"/>
      <c r="O191" s="35"/>
      <c r="P191" s="30"/>
    </row>
    <row r="192" spans="1:16" ht="15" customHeight="1">
      <c r="A192" s="31" t="str">
        <f>IF(ISBLANK(Inventory!A192),"",Inventory!A192)</f>
        <v>Suremix 30/50</v>
      </c>
      <c r="B192" s="31"/>
      <c r="C192" s="187">
        <v>1</v>
      </c>
      <c r="D192" s="192"/>
      <c r="E192" s="187">
        <v>1</v>
      </c>
      <c r="F192" s="187"/>
      <c r="G192" s="173"/>
      <c r="H192" s="37">
        <f>IF(ISBLANK(Inventory!A192),0,C192+SUM('Stock Opening'!C192:E192)-SUM(E192:G192))</f>
        <v>1</v>
      </c>
      <c r="I192" s="35" t="str">
        <f>IF(OR(ISBLANK(J192),J192=0),"",Settings!$B$14)</f>
        <v>$</v>
      </c>
      <c r="J192" s="30">
        <f>IF(ISBLANK(C192),0,C192*Inventory!F192)</f>
        <v>5.65</v>
      </c>
      <c r="K192" s="35" t="str">
        <f>IF(OR(ISBLANK(L192),L192=0),"",Settings!$B$14)</f>
        <v>$</v>
      </c>
      <c r="L192" s="30">
        <f>IF(ISBLANK(Inventory!A192),0,SUM(E192:G192)*Inventory!F192)</f>
        <v>5.65</v>
      </c>
      <c r="M192" s="35"/>
      <c r="N192" s="30"/>
      <c r="O192" s="35"/>
      <c r="P192" s="30"/>
    </row>
    <row r="193" spans="1:16" ht="15" customHeight="1">
      <c r="A193" s="31" t="str">
        <f>IF(ISBLANK(Inventory!A193),"",Inventory!A193)</f>
        <v/>
      </c>
      <c r="B193" s="31"/>
      <c r="C193" s="187"/>
      <c r="D193" s="192"/>
      <c r="E193" s="187"/>
      <c r="F193" s="187"/>
      <c r="G193" s="173"/>
      <c r="H193" s="37">
        <f>IF(ISBLANK(Inventory!A193),0,C193+SUM('Stock Opening'!C193:E193)-SUM(E193:G193))</f>
        <v>0</v>
      </c>
      <c r="I193" s="35" t="str">
        <f>IF(OR(ISBLANK(J193),J193=0),"",Settings!$B$14)</f>
        <v/>
      </c>
      <c r="J193" s="30">
        <f>IF(ISBLANK(C193),0,C193*Inventory!F193)</f>
        <v>0</v>
      </c>
      <c r="K193" s="35" t="str">
        <f>IF(OR(ISBLANK(L193),L193=0),"",Settings!$B$14)</f>
        <v/>
      </c>
      <c r="L193" s="30">
        <f>IF(ISBLANK(Inventory!A193),0,SUM(E193:G193)*Inventory!F193)</f>
        <v>0</v>
      </c>
      <c r="M193" s="35"/>
      <c r="N193" s="30"/>
      <c r="O193" s="35"/>
      <c r="P193" s="30"/>
    </row>
    <row r="194" spans="1:16" ht="15" customHeight="1">
      <c r="A194" s="31" t="str">
        <f>IF(ISBLANK(Inventory!A194),"",Inventory!A194)</f>
        <v/>
      </c>
      <c r="B194" s="31"/>
      <c r="C194" s="187"/>
      <c r="D194" s="192"/>
      <c r="E194" s="187"/>
      <c r="F194" s="187"/>
      <c r="G194" s="173"/>
      <c r="H194" s="37">
        <f>IF(ISBLANK(Inventory!A194),0,C194+SUM('Stock Opening'!C194:E194)-SUM(E194:G194))</f>
        <v>0</v>
      </c>
      <c r="I194" s="35" t="str">
        <f>IF(OR(ISBLANK(J194),J194=0),"",Settings!$B$14)</f>
        <v/>
      </c>
      <c r="J194" s="30">
        <f>IF(ISBLANK(C194),0,C194*Inventory!F194)</f>
        <v>0</v>
      </c>
      <c r="K194" s="35" t="str">
        <f>IF(OR(ISBLANK(L194),L194=0),"",Settings!$B$14)</f>
        <v/>
      </c>
      <c r="L194" s="30">
        <f>IF(ISBLANK(Inventory!A194),0,SUM(E194:G194)*Inventory!F194)</f>
        <v>0</v>
      </c>
      <c r="M194" s="35"/>
      <c r="N194" s="30"/>
      <c r="O194" s="35"/>
      <c r="P194" s="30"/>
    </row>
    <row r="195" spans="1:16" ht="15" customHeight="1">
      <c r="A195" s="31" t="str">
        <f>IF(ISBLANK(Inventory!A195),"",Inventory!A195)</f>
        <v/>
      </c>
      <c r="B195" s="31"/>
      <c r="C195" s="187"/>
      <c r="D195" s="192"/>
      <c r="E195" s="187"/>
      <c r="F195" s="187"/>
      <c r="G195" s="173"/>
      <c r="H195" s="37">
        <f>IF(ISBLANK(Inventory!A195),0,C195+SUM('Stock Opening'!C195:E195)-SUM(E195:G195))</f>
        <v>0</v>
      </c>
      <c r="I195" s="35" t="str">
        <f>IF(OR(ISBLANK(J195),J195=0),"",Settings!$B$14)</f>
        <v/>
      </c>
      <c r="J195" s="30">
        <f>IF(ISBLANK(C195),0,C195*Inventory!F195)</f>
        <v>0</v>
      </c>
      <c r="K195" s="35" t="str">
        <f>IF(OR(ISBLANK(L195),L195=0),"",Settings!$B$14)</f>
        <v/>
      </c>
      <c r="L195" s="30">
        <f>IF(ISBLANK(Inventory!A195),0,SUM(E195:G195)*Inventory!F195)</f>
        <v>0</v>
      </c>
      <c r="M195" s="35"/>
      <c r="N195" s="30"/>
      <c r="O195" s="35"/>
      <c r="P195" s="30"/>
    </row>
    <row r="196" spans="1:16" ht="15" customHeight="1">
      <c r="A196" s="31" t="str">
        <f>IF(ISBLANK(Inventory!A196),"",Inventory!A196)</f>
        <v/>
      </c>
      <c r="B196" s="31"/>
      <c r="C196" s="187"/>
      <c r="D196" s="192"/>
      <c r="E196" s="187"/>
      <c r="F196" s="187"/>
      <c r="G196" s="173"/>
      <c r="H196" s="37">
        <f>IF(ISBLANK(Inventory!A196),0,C196+SUM('Stock Opening'!C196:E196)-SUM(E196:G196))</f>
        <v>0</v>
      </c>
      <c r="I196" s="35" t="str">
        <f>IF(OR(ISBLANK(J196),J196=0),"",Settings!$B$14)</f>
        <v/>
      </c>
      <c r="J196" s="30">
        <f>IF(ISBLANK(C196),0,C196*Inventory!F196)</f>
        <v>0</v>
      </c>
      <c r="K196" s="35" t="str">
        <f>IF(OR(ISBLANK(L196),L196=0),"",Settings!$B$14)</f>
        <v/>
      </c>
      <c r="L196" s="30">
        <f>IF(ISBLANK(Inventory!A196),0,SUM(E196:G196)*Inventory!F196)</f>
        <v>0</v>
      </c>
      <c r="M196" s="35"/>
      <c r="N196" s="30"/>
      <c r="O196" s="35"/>
      <c r="P196" s="30"/>
    </row>
    <row r="197" spans="1:16" ht="6.95" customHeight="1" thickBot="1">
      <c r="A197" s="24"/>
      <c r="B197" s="24"/>
      <c r="C197" s="1"/>
      <c r="D197" s="1"/>
      <c r="E197" s="1"/>
      <c r="F197" s="1"/>
      <c r="G197" s="1"/>
      <c r="H197" s="1"/>
      <c r="I197" s="1"/>
      <c r="J197" s="1"/>
      <c r="K197" s="1"/>
      <c r="L197" s="25"/>
      <c r="M197" s="62"/>
      <c r="N197" s="25"/>
      <c r="O197" s="25"/>
      <c r="P197" s="25"/>
    </row>
    <row r="198" spans="1:16" s="45" customFormat="1" ht="18" customHeight="1" thickTop="1">
      <c r="A198" s="174"/>
      <c r="B198" s="174"/>
      <c r="C198" s="167"/>
      <c r="D198" s="167"/>
      <c r="E198" s="167"/>
      <c r="F198" s="167"/>
      <c r="G198" s="196"/>
      <c r="H198" s="197"/>
      <c r="I198" s="254"/>
      <c r="J198" s="254"/>
      <c r="K198" s="255"/>
      <c r="L198" s="255"/>
      <c r="M198" s="255"/>
      <c r="N198" s="255"/>
      <c r="O198" s="255"/>
      <c r="P198" s="255"/>
    </row>
    <row r="199" spans="1:16" ht="18" customHeight="1">
      <c r="A199" s="24"/>
      <c r="B199" s="24"/>
      <c r="C199" s="1"/>
      <c r="D199" s="1"/>
      <c r="E199" s="1"/>
      <c r="F199" s="1"/>
      <c r="G199" s="1"/>
      <c r="H199" s="1"/>
      <c r="I199" s="1"/>
      <c r="J199" s="1"/>
      <c r="K199" s="1"/>
      <c r="L199" s="25"/>
      <c r="M199" s="62"/>
      <c r="N199" s="25"/>
      <c r="O199" s="25"/>
      <c r="P199" s="25"/>
    </row>
    <row r="200" spans="1:16" ht="18" customHeight="1" thickBot="1">
      <c r="A200" s="78" t="str">
        <f>IF(ISBLANK('Stock Opening'!A200),"",'Stock Opening'!A200)</f>
        <v>TOTAL VALUE of STOCK</v>
      </c>
      <c r="B200" s="38"/>
      <c r="C200" s="39"/>
      <c r="D200" s="39"/>
      <c r="E200" s="39"/>
      <c r="F200" s="39"/>
      <c r="G200" s="39"/>
      <c r="H200" s="39"/>
      <c r="I200" s="235" t="s">
        <v>190</v>
      </c>
      <c r="J200" s="235"/>
      <c r="K200" s="235" t="s">
        <v>30</v>
      </c>
      <c r="L200" s="235"/>
      <c r="M200" s="235" t="s">
        <v>31</v>
      </c>
      <c r="N200" s="235"/>
      <c r="O200" s="235" t="s">
        <v>189</v>
      </c>
      <c r="P200" s="235"/>
    </row>
    <row r="201" spans="1:16" ht="6.95" customHeight="1" thickTop="1">
      <c r="A201" s="24"/>
      <c r="B201" s="24"/>
      <c r="C201" s="1"/>
      <c r="D201" s="1"/>
      <c r="E201" s="1"/>
      <c r="F201" s="1"/>
      <c r="G201" s="1"/>
      <c r="H201" s="1"/>
      <c r="I201" s="1"/>
      <c r="J201" s="1"/>
      <c r="K201" s="1"/>
      <c r="L201" s="25"/>
      <c r="M201" s="62"/>
      <c r="N201" s="25"/>
      <c r="O201" s="25"/>
      <c r="P201" s="25"/>
    </row>
    <row r="202" spans="1:16" s="45" customFormat="1" ht="15" customHeight="1">
      <c r="A202" s="50" t="str">
        <f>IF(ISBLANK('Stock Opening'!A202),"",'Stock Opening'!A202)</f>
        <v>SPIRITS</v>
      </c>
      <c r="C202" s="46"/>
      <c r="D202" s="46"/>
      <c r="E202" s="46"/>
      <c r="F202" s="46"/>
      <c r="G202" s="46"/>
      <c r="H202" s="46"/>
      <c r="I202" s="46" t="str">
        <f>IF(OR(ISBLANK(J202),J202=0),"",Settings!$B$14)</f>
        <v>$</v>
      </c>
      <c r="J202" s="32">
        <f>SUM(J12:J55)</f>
        <v>21.35</v>
      </c>
      <c r="K202" s="46" t="str">
        <f>IF(OR(ISBLANK(L202),L202=0),"",Settings!$B$14)</f>
        <v>$</v>
      </c>
      <c r="L202" s="32">
        <f>SUM(L12:L55)</f>
        <v>21.35</v>
      </c>
      <c r="M202" s="46" t="str">
        <f>IF(OR(ISBLANK(N202),N202=0),"",Settings!$B$14)</f>
        <v>$</v>
      </c>
      <c r="N202" s="32">
        <f>SUM(N12:N55)</f>
        <v>80.92</v>
      </c>
      <c r="O202" s="46" t="str">
        <f>IF(OR(ISBLANK(P202),P202=0),"",Settings!$B$14)</f>
        <v>$</v>
      </c>
      <c r="P202" s="32">
        <f>SUM(P12:P55)</f>
        <v>80.92</v>
      </c>
    </row>
    <row r="203" spans="1:16" s="45" customFormat="1" ht="15" customHeight="1">
      <c r="A203" s="50" t="str">
        <f>IF(ISBLANK('Stock Opening'!A203),"",'Stock Opening'!A203)</f>
        <v>FORTIFIED WINES</v>
      </c>
      <c r="C203" s="46"/>
      <c r="D203" s="46"/>
      <c r="E203" s="46"/>
      <c r="F203" s="46"/>
      <c r="G203" s="46"/>
      <c r="H203" s="46"/>
      <c r="I203" s="46" t="str">
        <f>IF(OR(ISBLANK(J203),J203=0),"",Settings!$B$14)</f>
        <v>$</v>
      </c>
      <c r="J203" s="32">
        <f>SUM(J59:J72)</f>
        <v>13.44</v>
      </c>
      <c r="K203" s="46" t="str">
        <f>IF(OR(ISBLANK(L203),L203=0),"",Settings!$B$14)</f>
        <v>$</v>
      </c>
      <c r="L203" s="32">
        <f>SUM(L59:L72)</f>
        <v>33.6</v>
      </c>
      <c r="M203" s="46" t="str">
        <f>IF(OR(ISBLANK(N203),N203=0),"",Settings!$B$14)</f>
        <v>$</v>
      </c>
      <c r="N203" s="32">
        <f>SUM(N59:N72)</f>
        <v>70.875</v>
      </c>
      <c r="O203" s="46" t="str">
        <f>IF(OR(ISBLANK(P203),P203=0),"",Settings!$B$14)</f>
        <v>$</v>
      </c>
      <c r="P203" s="32">
        <f>SUM(P59:P72)</f>
        <v>5.6700000000000044</v>
      </c>
    </row>
    <row r="204" spans="1:16" s="45" customFormat="1" ht="15" customHeight="1">
      <c r="A204" s="50" t="str">
        <f>IF(ISBLANK('Stock Opening'!A204),"",'Stock Opening'!A204)</f>
        <v>TABLE WINES</v>
      </c>
      <c r="C204" s="46"/>
      <c r="D204" s="46"/>
      <c r="E204" s="46"/>
      <c r="F204" s="46"/>
      <c r="G204" s="46"/>
      <c r="H204" s="46"/>
      <c r="I204" s="46" t="str">
        <f>IF(OR(ISBLANK(J204),J204=0),"",Settings!$B$14)</f>
        <v/>
      </c>
      <c r="J204" s="32">
        <f>SUM(J76:J97)</f>
        <v>0</v>
      </c>
      <c r="K204" s="46" t="str">
        <f>IF(OR(ISBLANK(L204),L204=0),"",Settings!$B$14)</f>
        <v/>
      </c>
      <c r="L204" s="32">
        <f>SUM(L76:L97)</f>
        <v>0</v>
      </c>
      <c r="M204" s="46" t="str">
        <f>IF(OR(ISBLANK(N204),N204=0),"",Settings!$B$14)</f>
        <v/>
      </c>
      <c r="N204" s="32">
        <f>SUM(N76:N97)</f>
        <v>0</v>
      </c>
      <c r="O204" s="46" t="str">
        <f>IF(OR(ISBLANK(P204),P204=0),"",Settings!$B$14)</f>
        <v/>
      </c>
      <c r="P204" s="32">
        <f>SUM(P76:P97)</f>
        <v>0</v>
      </c>
    </row>
    <row r="205" spans="1:16" s="45" customFormat="1" ht="15" customHeight="1">
      <c r="A205" s="50" t="str">
        <f>IF(ISBLANK('Stock Opening'!A205),"",'Stock Opening'!A205)</f>
        <v>DRAUGHT BEER</v>
      </c>
      <c r="C205" s="46"/>
      <c r="D205" s="46"/>
      <c r="E205" s="46"/>
      <c r="F205" s="46"/>
      <c r="G205" s="46"/>
      <c r="H205" s="46"/>
      <c r="I205" s="46" t="str">
        <f>IF(OR(ISBLANK(J205),J205=0),"",Settings!$B$14)</f>
        <v>$</v>
      </c>
      <c r="J205" s="32">
        <f>SUM(J101:J106)</f>
        <v>148.63</v>
      </c>
      <c r="K205" s="46" t="str">
        <f>IF(OR(ISBLANK(L205),L205=0),"",Settings!$B$14)</f>
        <v>$</v>
      </c>
      <c r="L205" s="32">
        <f>SUM(L101:L106)</f>
        <v>159.04499999999999</v>
      </c>
      <c r="M205" s="46" t="str">
        <f>IF(OR(ISBLANK(N205),N205=0),"",Settings!$B$14)</f>
        <v>$</v>
      </c>
      <c r="N205" s="32">
        <f>SUM(N101:N106)</f>
        <v>777.6</v>
      </c>
      <c r="O205" s="46" t="str">
        <f>IF(OR(ISBLANK(P205),P205=0),"",Settings!$B$14)</f>
        <v>$</v>
      </c>
      <c r="P205" s="32">
        <f>SUM(P101:P106)</f>
        <v>635.20000000000005</v>
      </c>
    </row>
    <row r="206" spans="1:16" s="45" customFormat="1" ht="15" customHeight="1">
      <c r="A206" s="50" t="str">
        <f>IF(ISBLANK('Stock Opening'!A206),"",'Stock Opening'!A206)</f>
        <v>DRAUGHT LAGER</v>
      </c>
      <c r="C206" s="46"/>
      <c r="D206" s="46"/>
      <c r="E206" s="46"/>
      <c r="F206" s="46"/>
      <c r="G206" s="46"/>
      <c r="H206" s="46"/>
      <c r="I206" s="46" t="str">
        <f>IF(OR(ISBLANK(J206),J206=0),"",Settings!$B$14)</f>
        <v/>
      </c>
      <c r="J206" s="32">
        <f>SUM(J110:J115)</f>
        <v>0</v>
      </c>
      <c r="K206" s="46" t="str">
        <f>IF(OR(ISBLANK(L206),L206=0),"",Settings!$B$14)</f>
        <v>$</v>
      </c>
      <c r="L206" s="32">
        <f>SUM(L110:L115)</f>
        <v>63</v>
      </c>
      <c r="M206" s="46" t="str">
        <f>IF(OR(ISBLANK(N206),N206=0),"",Settings!$B$14)</f>
        <v>$</v>
      </c>
      <c r="N206" s="32">
        <f>SUM(N110:N115)</f>
        <v>260.71199999999999</v>
      </c>
      <c r="O206" s="46" t="str">
        <f>IF(OR(ISBLANK(P206),P206=0),"",Settings!$B$14)</f>
        <v>$</v>
      </c>
      <c r="P206" s="32">
        <f>SUM(P110:P115)</f>
        <v>57.936000000000007</v>
      </c>
    </row>
    <row r="207" spans="1:16" s="45" customFormat="1" ht="15" customHeight="1">
      <c r="A207" s="50" t="str">
        <f>IF(ISBLANK('Stock Opening'!A207),"",'Stock Opening'!A207)</f>
        <v>BOTTLED BEER</v>
      </c>
      <c r="C207" s="46"/>
      <c r="D207" s="46"/>
      <c r="E207" s="46"/>
      <c r="F207" s="46"/>
      <c r="G207" s="46"/>
      <c r="H207" s="46"/>
      <c r="I207" s="46" t="str">
        <f>IF(OR(ISBLANK(J207),J207=0),"",Settings!$B$14)</f>
        <v/>
      </c>
      <c r="J207" s="32">
        <f>SUM(J119:J134)</f>
        <v>0</v>
      </c>
      <c r="K207" s="46" t="str">
        <f>IF(OR(ISBLANK(L207),L207=0),"",Settings!$B$14)</f>
        <v>$</v>
      </c>
      <c r="L207" s="32">
        <f>SUM(L119:L134)</f>
        <v>14.430000000000001</v>
      </c>
      <c r="M207" s="46" t="str">
        <f>IF(OR(ISBLANK(N207),N207=0),"",Settings!$B$14)</f>
        <v>$</v>
      </c>
      <c r="N207" s="32">
        <f>SUM(N119:N134)</f>
        <v>70.72</v>
      </c>
      <c r="O207" s="46" t="str">
        <f>IF(OR(ISBLANK(P207),P207=0),"",Settings!$B$14)</f>
        <v>$</v>
      </c>
      <c r="P207" s="32">
        <f>SUM(P119:P134)</f>
        <v>27.200000000000003</v>
      </c>
    </row>
    <row r="208" spans="1:16" s="45" customFormat="1" ht="15" customHeight="1">
      <c r="A208" s="50" t="str">
        <f>IF(ISBLANK('Stock Opening'!A208),"",'Stock Opening'!A208)</f>
        <v>CIDER</v>
      </c>
      <c r="C208" s="46"/>
      <c r="D208" s="46"/>
      <c r="E208" s="46"/>
      <c r="F208" s="46"/>
      <c r="G208" s="46"/>
      <c r="H208" s="46"/>
      <c r="I208" s="46" t="str">
        <f>IF(OR(ISBLANK(J208),J208=0),"",Settings!$B$14)</f>
        <v/>
      </c>
      <c r="J208" s="32">
        <f>SUM(J138:J146)</f>
        <v>0</v>
      </c>
      <c r="K208" s="46" t="str">
        <f>IF(OR(ISBLANK(L208),L208=0),"",Settings!$B$14)</f>
        <v/>
      </c>
      <c r="L208" s="32">
        <f>SUM(L138:L146)</f>
        <v>0</v>
      </c>
      <c r="M208" s="46" t="str">
        <f>IF(OR(ISBLANK(N208),N208=0),"",Settings!$B$14)</f>
        <v/>
      </c>
      <c r="N208" s="32">
        <f>SUM(N138:N146)</f>
        <v>0</v>
      </c>
      <c r="O208" s="46" t="str">
        <f>IF(OR(ISBLANK(P208),P208=0),"",Settings!$B$14)</f>
        <v/>
      </c>
      <c r="P208" s="32">
        <f>SUM(P138:P146)</f>
        <v>0</v>
      </c>
    </row>
    <row r="209" spans="1:16" s="45" customFormat="1" ht="15" customHeight="1">
      <c r="A209" s="50" t="str">
        <f>IF(ISBLANK('Stock Opening'!A209),"",'Stock Opening'!A209)</f>
        <v>MINERALS/JUICES</v>
      </c>
      <c r="C209" s="46"/>
      <c r="D209" s="46"/>
      <c r="E209" s="46"/>
      <c r="F209" s="46"/>
      <c r="G209" s="46"/>
      <c r="H209" s="46"/>
      <c r="I209" s="46" t="str">
        <f>IF(OR(ISBLANK(J209),J209=0),"",Settings!$B$14)</f>
        <v>$</v>
      </c>
      <c r="J209" s="32">
        <f>SUM(J150:J169)</f>
        <v>1.6325000000000001</v>
      </c>
      <c r="K209" s="46" t="str">
        <f>IF(OR(ISBLANK(L209),L209=0),"",Settings!$B$14)</f>
        <v>$</v>
      </c>
      <c r="L209" s="32">
        <f>SUM(L150:L169)</f>
        <v>1.2125000000000001</v>
      </c>
      <c r="M209" s="46" t="str">
        <f>IF(OR(ISBLANK(N209),N209=0),"",Settings!$B$14)</f>
        <v>$</v>
      </c>
      <c r="N209" s="32">
        <f>SUM(N150:N169)</f>
        <v>6.3</v>
      </c>
      <c r="O209" s="46" t="str">
        <f>IF(OR(ISBLANK(P209),P209=0),"",Settings!$B$14)</f>
        <v>$</v>
      </c>
      <c r="P209" s="32">
        <f>SUM(P150:P169)</f>
        <v>1.74</v>
      </c>
    </row>
    <row r="210" spans="1:16" s="45" customFormat="1" ht="15" customHeight="1">
      <c r="A210" s="50" t="str">
        <f>IF(ISBLANK('Stock Opening'!A210),"",'Stock Opening'!A210)</f>
        <v>POST-MIX DRINKS</v>
      </c>
      <c r="C210" s="46"/>
      <c r="D210" s="46"/>
      <c r="E210" s="46"/>
      <c r="F210" s="46"/>
      <c r="G210" s="46"/>
      <c r="H210" s="46"/>
      <c r="I210" s="46" t="str">
        <f>IF(OR(ISBLANK(J210),J210=0),"",Settings!$B$14)</f>
        <v>$</v>
      </c>
      <c r="J210" s="32">
        <f>SUM(J173:J178)</f>
        <v>57.510000000000005</v>
      </c>
      <c r="K210" s="46" t="str">
        <f>IF(OR(ISBLANK(L210),L210=0),"",Settings!$B$14)</f>
        <v>$</v>
      </c>
      <c r="L210" s="32">
        <f>SUM(L173:L178)</f>
        <v>50.234000000000009</v>
      </c>
      <c r="M210" s="46" t="str">
        <f>IF(OR(ISBLANK(N210),N210=0),"",Settings!$B$14)</f>
        <v>$</v>
      </c>
      <c r="N210" s="32">
        <f>SUM(N173:N178)</f>
        <v>1740.75</v>
      </c>
      <c r="O210" s="46" t="str">
        <f>IF(OR(ISBLANK(P210),P210=0),"",Settings!$B$14)</f>
        <v>$</v>
      </c>
      <c r="P210" s="32">
        <f>SUM(P173:P178)</f>
        <v>239.24999999999994</v>
      </c>
    </row>
    <row r="211" spans="1:16" s="45" customFormat="1" ht="15" customHeight="1">
      <c r="A211" s="50" t="str">
        <f>IF(ISBLANK('Stock Opening'!A211),"",'Stock Opening'!A211)</f>
        <v>COMPRESSED GAS</v>
      </c>
      <c r="C211" s="46"/>
      <c r="D211" s="46"/>
      <c r="E211" s="46"/>
      <c r="F211" s="46"/>
      <c r="G211" s="46"/>
      <c r="H211" s="46"/>
      <c r="I211" s="46" t="str">
        <f>IF(OR(ISBLANK(J211),J211=0),"",Settings!$B$14)</f>
        <v>$</v>
      </c>
      <c r="J211" s="32">
        <f>SUM(J182:J185)</f>
        <v>44.05</v>
      </c>
      <c r="K211" s="46" t="str">
        <f>IF(OR(ISBLANK(L211),L211=0),"",Settings!$B$14)</f>
        <v>$</v>
      </c>
      <c r="L211" s="32">
        <f>SUM(L182:L185)</f>
        <v>13.535</v>
      </c>
      <c r="M211" s="198"/>
      <c r="N211" s="51"/>
      <c r="O211" s="198"/>
      <c r="P211" s="51"/>
    </row>
    <row r="212" spans="1:16" s="45" customFormat="1" ht="15" customHeight="1">
      <c r="A212" s="50" t="str">
        <f>IF(ISBLANK('Stock Opening'!A212),"",'Stock Opening'!A212)</f>
        <v xml:space="preserve">REUSABLE containers and bottles </v>
      </c>
      <c r="C212" s="46"/>
      <c r="D212" s="46"/>
      <c r="E212" s="46"/>
      <c r="F212" s="46"/>
      <c r="G212" s="46"/>
      <c r="H212" s="46"/>
      <c r="I212" s="46" t="str">
        <f>IF(OR(ISBLANK(J212),J212=0),"",Settings!$B$14)</f>
        <v>$</v>
      </c>
      <c r="J212" s="32">
        <f>-SUM(J189:J196)</f>
        <v>-33.950000000000003</v>
      </c>
      <c r="K212" s="46" t="str">
        <f>IF(OR(ISBLANK(L212),L212=0),"",Settings!$B$14)</f>
        <v>$</v>
      </c>
      <c r="L212" s="32">
        <f>SUM(L189:L196)</f>
        <v>17.149999999999999</v>
      </c>
      <c r="M212" s="198"/>
      <c r="N212" s="51"/>
      <c r="O212" s="198"/>
      <c r="P212" s="51"/>
    </row>
    <row r="213" spans="1:16" ht="6.95" customHeight="1">
      <c r="C213" s="53"/>
      <c r="D213" s="53"/>
      <c r="E213" s="53"/>
      <c r="F213" s="53"/>
      <c r="G213" s="53"/>
      <c r="H213" s="53"/>
      <c r="I213" s="53"/>
      <c r="J213" s="53"/>
      <c r="K213" s="53"/>
      <c r="L213" s="26"/>
      <c r="M213" s="62"/>
      <c r="N213" s="26"/>
      <c r="O213" s="26"/>
      <c r="P213" s="26"/>
    </row>
    <row r="214" spans="1:16" ht="15" customHeight="1">
      <c r="A214" s="54" t="str">
        <f>IF(ISBLANK('Stock Opening'!A214),"",'Stock Opening'!A214)</f>
        <v>TOTAL VALUE of STOCK</v>
      </c>
      <c r="B214" s="55"/>
      <c r="C214" s="21"/>
      <c r="D214" s="21"/>
      <c r="E214" s="21"/>
      <c r="F214" s="21"/>
      <c r="G214" s="21"/>
      <c r="H214" s="21"/>
      <c r="I214" s="21" t="str">
        <f>IF(OR(ISBLANK(J214),J214=0),"",Settings!$B$14)</f>
        <v>$</v>
      </c>
      <c r="J214" s="56">
        <f>SUM(J202:J212)</f>
        <v>252.66250000000002</v>
      </c>
      <c r="K214" s="21" t="str">
        <f>IF(OR(ISBLANK(L214),L214=0),"",Settings!$B$14)</f>
        <v>$</v>
      </c>
      <c r="L214" s="56">
        <f>SUM(L202:L211)</f>
        <v>356.40649999999999</v>
      </c>
      <c r="M214" s="21" t="str">
        <f>IF(OR(ISBLANK(N214),N214=0),"",Settings!$B$14)</f>
        <v>$</v>
      </c>
      <c r="N214" s="56">
        <f>SUM(N202:N212)</f>
        <v>3007.877</v>
      </c>
      <c r="O214" s="21" t="str">
        <f>IF(OR(ISBLANK(P214),P214=0),"",Settings!$B$14)</f>
        <v>$</v>
      </c>
      <c r="P214" s="56">
        <f>SUM(P202:P212)</f>
        <v>1047.9160000000002</v>
      </c>
    </row>
    <row r="215" spans="1:16" ht="6.95" customHeight="1" thickBot="1">
      <c r="A215" s="24"/>
      <c r="B215" s="24"/>
      <c r="C215" s="1"/>
      <c r="D215" s="1"/>
      <c r="E215" s="1"/>
      <c r="F215" s="1"/>
      <c r="G215" s="1"/>
      <c r="H215" s="1"/>
      <c r="I215" s="1"/>
      <c r="J215" s="1"/>
      <c r="K215" s="1"/>
      <c r="L215" s="25"/>
      <c r="M215" s="62"/>
      <c r="N215" s="25"/>
      <c r="O215" s="25"/>
      <c r="P215" s="25"/>
    </row>
    <row r="216" spans="1:16" ht="18" customHeight="1" thickTop="1">
      <c r="A216" s="40"/>
      <c r="B216" s="40"/>
      <c r="C216" s="41"/>
      <c r="D216" s="41"/>
      <c r="E216" s="41"/>
      <c r="F216" s="41"/>
      <c r="G216" s="41"/>
      <c r="H216" s="41"/>
      <c r="I216" s="41"/>
      <c r="J216" s="41"/>
      <c r="K216" s="41"/>
      <c r="L216" s="42"/>
      <c r="M216" s="186"/>
      <c r="N216" s="42"/>
      <c r="O216" s="42"/>
      <c r="P216" s="42"/>
    </row>
    <row r="217" spans="1:16" ht="18" customHeight="1">
      <c r="A217" s="24"/>
      <c r="B217" s="24"/>
      <c r="C217" s="1"/>
      <c r="D217" s="1"/>
      <c r="E217" s="1"/>
      <c r="F217" s="1"/>
      <c r="G217" s="1"/>
      <c r="H217" s="1"/>
      <c r="I217" s="1"/>
      <c r="J217" s="1"/>
      <c r="K217" s="1"/>
      <c r="L217" s="25"/>
      <c r="M217" s="62"/>
      <c r="N217" s="25"/>
      <c r="O217" s="25"/>
      <c r="P217" s="25"/>
    </row>
    <row r="218" spans="1:16" ht="18" customHeight="1" thickBot="1">
      <c r="A218" s="38"/>
      <c r="B218" s="38"/>
      <c r="C218" s="43"/>
      <c r="D218" s="43"/>
      <c r="E218" s="43"/>
      <c r="F218" s="43"/>
      <c r="G218" s="43"/>
      <c r="H218" s="43"/>
      <c r="I218" s="43"/>
      <c r="J218" s="43"/>
      <c r="K218" s="235" t="s">
        <v>30</v>
      </c>
      <c r="L218" s="235"/>
      <c r="M218" s="235" t="s">
        <v>31</v>
      </c>
      <c r="N218" s="235"/>
      <c r="O218" s="44"/>
      <c r="P218" s="44"/>
    </row>
    <row r="219" spans="1:16" ht="6.95" customHeight="1" thickTop="1">
      <c r="A219" s="24"/>
      <c r="B219" s="24"/>
      <c r="C219" s="1"/>
      <c r="D219" s="1"/>
      <c r="E219" s="1"/>
      <c r="F219" s="1"/>
      <c r="G219" s="1"/>
      <c r="H219" s="1"/>
      <c r="I219" s="1"/>
      <c r="J219" s="1"/>
      <c r="K219" s="1"/>
      <c r="L219" s="25"/>
      <c r="M219" s="62"/>
      <c r="N219" s="25"/>
      <c r="O219" s="25"/>
      <c r="P219" s="25"/>
    </row>
    <row r="220" spans="1:16" ht="15" customHeight="1">
      <c r="A220" s="50" t="s">
        <v>192</v>
      </c>
      <c r="B220" s="50"/>
      <c r="C220" s="46"/>
      <c r="D220" s="46"/>
      <c r="E220" s="46"/>
      <c r="F220" s="46"/>
      <c r="G220" s="46"/>
      <c r="H220" s="46"/>
      <c r="I220" s="46"/>
      <c r="J220" s="46"/>
      <c r="K220" s="46" t="str">
        <f>IF(OR(ISBLANK(L220),L220=0),"",Settings!$B$14)</f>
        <v>$</v>
      </c>
      <c r="L220" s="32">
        <f>IF(OR(ISBLANK('Stock Opening'!G214),'Stock Opening'!G214=0),0,'Stock Opening'!G214)</f>
        <v>319.19800000000004</v>
      </c>
      <c r="M220" s="46" t="str">
        <f>IF(OR(ISBLANK(N220),N220=0),"",Settings!$B$14)</f>
        <v>$</v>
      </c>
      <c r="N220" s="32">
        <f>IF(ISBLANK('Stock Opening'!I214),0,'Stock Opening'!I214)</f>
        <v>1253.203</v>
      </c>
      <c r="O220" s="28"/>
      <c r="P220" s="28"/>
    </row>
    <row r="221" spans="1:16" ht="15" customHeight="1">
      <c r="A221" s="50" t="s">
        <v>197</v>
      </c>
      <c r="B221" s="50"/>
      <c r="C221" s="46"/>
      <c r="D221" s="46"/>
      <c r="E221" s="46"/>
      <c r="F221" s="46"/>
      <c r="G221" s="46"/>
      <c r="H221" s="46"/>
      <c r="I221" s="46"/>
      <c r="J221" s="46"/>
      <c r="K221" s="46" t="str">
        <f>IF(OR(ISBLANK(L221),L221=0),"",Settings!$B$14)</f>
        <v>$</v>
      </c>
      <c r="L221" s="32">
        <f>IF(ISBLANK(J214),0,J214)</f>
        <v>252.66250000000002</v>
      </c>
      <c r="M221" s="46"/>
      <c r="N221" s="32"/>
      <c r="O221" s="28"/>
      <c r="P221" s="28"/>
    </row>
    <row r="222" spans="1:16" ht="15" customHeight="1">
      <c r="A222" s="50" t="s">
        <v>193</v>
      </c>
      <c r="B222" s="50"/>
      <c r="C222" s="46"/>
      <c r="D222" s="46"/>
      <c r="E222" s="46"/>
      <c r="F222" s="46"/>
      <c r="G222" s="46"/>
      <c r="H222" s="46"/>
      <c r="I222" s="46"/>
      <c r="J222" s="46"/>
      <c r="K222" s="46" t="str">
        <f>IF(OR(ISBLANK(L222),L222=0),"",Settings!$B$14)</f>
        <v>$</v>
      </c>
      <c r="L222" s="32">
        <f>IF(ISBLANK(L214),0,L214)</f>
        <v>356.40649999999999</v>
      </c>
      <c r="M222" s="46" t="str">
        <f>IF(OR(ISBLANK(N222),N222=0),"",Settings!$B$14)</f>
        <v>$</v>
      </c>
      <c r="N222" s="32">
        <f>IF(ISBLANK(N214),0,N214)</f>
        <v>3007.877</v>
      </c>
      <c r="O222" s="28"/>
      <c r="P222" s="28"/>
    </row>
    <row r="223" spans="1:16" ht="15" customHeight="1">
      <c r="A223" s="50" t="s">
        <v>194</v>
      </c>
      <c r="B223" s="50"/>
      <c r="C223" s="46"/>
      <c r="D223" s="46"/>
      <c r="E223" s="46"/>
      <c r="F223" s="46"/>
      <c r="G223" s="46"/>
      <c r="H223" s="46"/>
      <c r="I223" s="46"/>
      <c r="J223" s="46"/>
      <c r="K223" s="46" t="str">
        <f>IF(OR(ISBLANK(L223),L223=0),"",Settings!$B$14)</f>
        <v/>
      </c>
      <c r="L223" s="32"/>
      <c r="M223" s="46" t="str">
        <f>IF(OR(ISBLANK(N223),N223=0),"",Settings!$B$14)</f>
        <v>$</v>
      </c>
      <c r="N223" s="32">
        <f>IF(ISBLANK(P214),0,P214)</f>
        <v>1047.9160000000002</v>
      </c>
      <c r="O223" s="28"/>
      <c r="P223" s="28"/>
    </row>
    <row r="224" spans="1:16" ht="15" customHeight="1">
      <c r="A224" s="50" t="str">
        <f>"WEEKLY SALES from POS inc "&amp;UPPER(Settings!B10)</f>
        <v>WEEKLY SALES from POS inc SALES TAX</v>
      </c>
      <c r="B224" s="50"/>
      <c r="C224" s="46"/>
      <c r="D224" s="46"/>
      <c r="E224" s="46"/>
      <c r="F224" s="46"/>
      <c r="G224" s="46"/>
      <c r="H224" s="46"/>
      <c r="I224" s="46"/>
      <c r="J224" s="46"/>
      <c r="K224" s="46" t="str">
        <f>IF(OR(ISBLANK(L224),L224=0),"",Settings!$B$14)</f>
        <v/>
      </c>
      <c r="L224" s="32"/>
      <c r="M224" s="46" t="str">
        <f>IF(OR(ISBLANK(N224),N224=0),"",Settings!$B$14)</f>
        <v>$</v>
      </c>
      <c r="N224" s="32">
        <f>Budget!$C$22</f>
        <v>4141</v>
      </c>
      <c r="O224" s="28"/>
      <c r="P224" s="28"/>
    </row>
    <row r="225" spans="1:16" ht="15" customHeight="1">
      <c r="A225" s="50" t="s">
        <v>195</v>
      </c>
      <c r="B225" s="50"/>
      <c r="C225" s="46"/>
      <c r="D225" s="46"/>
      <c r="E225" s="46"/>
      <c r="F225" s="46"/>
      <c r="G225" s="46"/>
      <c r="H225" s="46"/>
      <c r="I225" s="46"/>
      <c r="J225" s="46"/>
      <c r="K225" s="46" t="str">
        <f>IF(OR(ISBLANK(L225),L225=0),"",Settings!$B$14)</f>
        <v/>
      </c>
      <c r="L225" s="32"/>
      <c r="M225" s="46" t="str">
        <f>IF(OR(ISBLANK(N225),N225=0),"",Settings!$B$14)</f>
        <v>$</v>
      </c>
      <c r="N225" s="32">
        <f>N224/(1+Settings!$B$12/1)</f>
        <v>3450.8333333333335</v>
      </c>
      <c r="O225" s="28"/>
      <c r="P225" s="28"/>
    </row>
    <row r="226" spans="1:16" ht="6.95" customHeight="1">
      <c r="A226" s="50"/>
      <c r="B226" s="50"/>
      <c r="C226" s="46"/>
      <c r="D226" s="46"/>
      <c r="E226" s="46"/>
      <c r="F226" s="46"/>
      <c r="G226" s="46"/>
      <c r="H226" s="46"/>
      <c r="I226" s="46"/>
      <c r="J226" s="46"/>
      <c r="K226" s="46"/>
      <c r="L226" s="32"/>
      <c r="M226" s="46"/>
      <c r="N226" s="32"/>
      <c r="O226" s="28"/>
      <c r="P226" s="28"/>
    </row>
    <row r="227" spans="1:16" ht="15" customHeight="1">
      <c r="A227" s="181" t="s">
        <v>196</v>
      </c>
      <c r="B227" s="181"/>
      <c r="C227" s="199"/>
      <c r="D227" s="199"/>
      <c r="E227" s="199"/>
      <c r="F227" s="199"/>
      <c r="G227" s="199"/>
      <c r="H227" s="199"/>
      <c r="I227" s="199"/>
      <c r="J227" s="199"/>
      <c r="K227" s="199"/>
      <c r="L227" s="34"/>
      <c r="M227" s="256">
        <f>IF(N224=0,"",1-((L220+L221-L222)/N225))</f>
        <v>0.93756464622071967</v>
      </c>
      <c r="N227" s="256"/>
      <c r="O227" s="200"/>
      <c r="P227" s="200"/>
    </row>
    <row r="228" spans="1:16" ht="6.95" customHeight="1" thickBot="1">
      <c r="A228" s="24"/>
      <c r="B228" s="24"/>
      <c r="C228" s="1"/>
      <c r="D228" s="1"/>
      <c r="E228" s="1"/>
      <c r="F228" s="1"/>
      <c r="G228" s="1"/>
      <c r="H228" s="1"/>
      <c r="I228" s="1"/>
      <c r="J228" s="1"/>
      <c r="K228" s="1"/>
      <c r="L228" s="25"/>
      <c r="M228" s="62"/>
      <c r="N228" s="25"/>
      <c r="O228" s="25"/>
      <c r="P228" s="25"/>
    </row>
    <row r="229" spans="1:16" ht="18" customHeight="1" thickTop="1">
      <c r="A229" s="174"/>
      <c r="B229" s="174"/>
      <c r="C229" s="167"/>
      <c r="D229" s="167"/>
      <c r="E229" s="167"/>
      <c r="F229" s="167"/>
      <c r="G229" s="167"/>
      <c r="H229" s="167"/>
      <c r="I229" s="167"/>
      <c r="J229" s="167"/>
      <c r="K229" s="167"/>
      <c r="L229" s="175"/>
      <c r="M229" s="167"/>
      <c r="N229" s="167"/>
      <c r="O229" s="167"/>
      <c r="P229" s="167"/>
    </row>
    <row r="230" spans="1:16" ht="5.0999999999999996" customHeight="1">
      <c r="C230" s="72"/>
      <c r="D230" s="72"/>
      <c r="E230" s="53"/>
      <c r="F230" s="53"/>
      <c r="G230" s="53"/>
      <c r="H230" s="53"/>
      <c r="I230" s="53"/>
      <c r="J230" s="53"/>
      <c r="K230" s="53"/>
      <c r="L230" s="62"/>
      <c r="M230" s="62"/>
      <c r="N230" s="62"/>
      <c r="O230" s="62"/>
      <c r="P230" s="62"/>
    </row>
  </sheetData>
  <sheetProtection password="F349" sheet="1" objects="1" scenarios="1" selectLockedCells="1"/>
  <protectedRanges>
    <protectedRange sqref="E12:G55" name="Spirits"/>
    <protectedRange sqref="E59:G72" name="Fortified Wines"/>
    <protectedRange sqref="E76:G97" name="Table Wines"/>
    <protectedRange sqref="E101:G106" name="Draught Beer"/>
    <protectedRange sqref="E110:G115" name="Draught Lager"/>
    <protectedRange sqref="E138:G146 E119:G134" name="Bottled Beer"/>
    <protectedRange sqref="E189:G196 E150:G169 E173:G178 E182:G185" name="Minerals"/>
    <protectedRange sqref="E186:G186 E197:G197 E199:G223" name="Containers"/>
  </protectedRanges>
  <mergeCells count="57">
    <mergeCell ref="K218:L218"/>
    <mergeCell ref="M218:N218"/>
    <mergeCell ref="M227:N227"/>
    <mergeCell ref="K200:L200"/>
    <mergeCell ref="M200:N200"/>
    <mergeCell ref="I187:J187"/>
    <mergeCell ref="K187:L187"/>
    <mergeCell ref="M187:N187"/>
    <mergeCell ref="O187:P187"/>
    <mergeCell ref="O200:P200"/>
    <mergeCell ref="I200:J200"/>
    <mergeCell ref="I198:J198"/>
    <mergeCell ref="K198:L198"/>
    <mergeCell ref="M198:N198"/>
    <mergeCell ref="O198:P198"/>
    <mergeCell ref="I171:J171"/>
    <mergeCell ref="K171:L171"/>
    <mergeCell ref="M171:N171"/>
    <mergeCell ref="O171:P171"/>
    <mergeCell ref="I180:J180"/>
    <mergeCell ref="K180:L180"/>
    <mergeCell ref="M180:N180"/>
    <mergeCell ref="O180:P180"/>
    <mergeCell ref="I136:J136"/>
    <mergeCell ref="K136:L136"/>
    <mergeCell ref="M136:N136"/>
    <mergeCell ref="O136:P136"/>
    <mergeCell ref="I148:J148"/>
    <mergeCell ref="K148:L148"/>
    <mergeCell ref="M148:N148"/>
    <mergeCell ref="O148:P148"/>
    <mergeCell ref="I108:J108"/>
    <mergeCell ref="K108:L108"/>
    <mergeCell ref="M108:N108"/>
    <mergeCell ref="O108:P108"/>
    <mergeCell ref="I117:J117"/>
    <mergeCell ref="K117:L117"/>
    <mergeCell ref="M117:N117"/>
    <mergeCell ref="O117:P117"/>
    <mergeCell ref="I74:J74"/>
    <mergeCell ref="K74:L74"/>
    <mergeCell ref="M74:N74"/>
    <mergeCell ref="O74:P74"/>
    <mergeCell ref="I99:J99"/>
    <mergeCell ref="K99:L99"/>
    <mergeCell ref="M99:N99"/>
    <mergeCell ref="O99:P99"/>
    <mergeCell ref="C8:H8"/>
    <mergeCell ref="K10:L10"/>
    <mergeCell ref="M10:N10"/>
    <mergeCell ref="O10:P10"/>
    <mergeCell ref="K57:L57"/>
    <mergeCell ref="M57:N57"/>
    <mergeCell ref="O57:P57"/>
    <mergeCell ref="I8:P8"/>
    <mergeCell ref="I10:J10"/>
    <mergeCell ref="I57:J57"/>
  </mergeCells>
  <phoneticPr fontId="5" type="noConversion"/>
  <pageMargins left="0.15748031496062992" right="0.15748031496062992" top="0.19685039370078741" bottom="0.19685039370078741" header="0.51181102362204722" footer="0.51181102362204722"/>
  <pageSetup paperSize="9" scale="9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0"/>
  <sheetViews>
    <sheetView showGridLines="0" workbookViewId="0">
      <pane ySplit="8" topLeftCell="A9" activePane="bottomLeft" state="frozen"/>
      <selection pane="bottomLeft" activeCell="C12" sqref="C12"/>
    </sheetView>
  </sheetViews>
  <sheetFormatPr defaultRowHeight="12.75"/>
  <cols>
    <col min="1" max="1" width="28.5703125" style="52" customWidth="1"/>
    <col min="2" max="2" width="21.28515625" style="52" customWidth="1"/>
    <col min="3" max="3" width="10.7109375" style="52" customWidth="1"/>
    <col min="4" max="4" width="1.7109375" style="52" customWidth="1"/>
    <col min="5" max="8" width="10.7109375" style="52" customWidth="1"/>
    <col min="9" max="9" width="3.7109375" style="52" customWidth="1"/>
    <col min="10" max="10" width="13.140625" style="52" customWidth="1"/>
    <col min="11" max="11" width="3.7109375" style="52" customWidth="1"/>
    <col min="12" max="12" width="9.7109375" style="52" customWidth="1"/>
    <col min="13" max="13" width="3.7109375" style="52" customWidth="1"/>
    <col min="14" max="14" width="9.7109375" style="52" customWidth="1"/>
    <col min="15" max="15" width="3.7109375" style="52" customWidth="1"/>
    <col min="16" max="16" width="9.7109375" style="52" customWidth="1"/>
    <col min="17" max="16384" width="9.140625" style="52"/>
  </cols>
  <sheetData>
    <row r="1" spans="1:16" s="45" customFormat="1" ht="54.95" customHeight="1">
      <c r="A1" s="104" t="s">
        <v>230</v>
      </c>
      <c r="B1" s="105"/>
      <c r="C1" s="106"/>
      <c r="D1" s="106"/>
      <c r="E1" s="106"/>
      <c r="F1" s="106"/>
      <c r="G1" s="106"/>
      <c r="H1" s="106"/>
      <c r="I1" s="106"/>
      <c r="J1" s="106"/>
      <c r="K1" s="106"/>
      <c r="L1" s="107"/>
      <c r="M1" s="134"/>
      <c r="N1" s="188"/>
      <c r="O1" s="188"/>
      <c r="P1" s="188"/>
    </row>
    <row r="2" spans="1:16" s="45" customFormat="1" ht="33.75" customHeight="1">
      <c r="A2" s="108" t="str">
        <f>IF(Settings!$E$5="Enable",Settings!$B$5,"")</f>
        <v>My Company name</v>
      </c>
      <c r="B2" s="126"/>
      <c r="C2" s="126"/>
      <c r="D2" s="126"/>
      <c r="E2" s="126"/>
      <c r="F2" s="126"/>
      <c r="G2" s="126"/>
      <c r="H2" s="126"/>
      <c r="I2" s="126"/>
      <c r="J2" s="126"/>
      <c r="K2" s="126"/>
      <c r="L2" s="126"/>
      <c r="M2" s="126"/>
      <c r="N2" s="126"/>
      <c r="O2" s="126"/>
      <c r="P2" s="90"/>
    </row>
    <row r="3" spans="1:16" ht="18" customHeight="1">
      <c r="A3" s="111" t="str">
        <f>IF(Settings!$E$6="Enable",Settings!$B$6,"")</f>
        <v>My company slogan</v>
      </c>
      <c r="B3" s="57"/>
      <c r="C3" s="57"/>
      <c r="D3" s="57"/>
      <c r="E3" s="57"/>
      <c r="F3" s="57"/>
      <c r="G3" s="57"/>
      <c r="H3" s="57"/>
      <c r="I3" s="57"/>
      <c r="J3" s="57"/>
      <c r="K3" s="57"/>
      <c r="L3" s="57"/>
      <c r="M3" s="58"/>
      <c r="P3" s="63"/>
    </row>
    <row r="4" spans="1:16" ht="15" customHeight="1">
      <c r="A4" s="59"/>
      <c r="B4" s="59"/>
      <c r="C4" s="59"/>
      <c r="D4" s="59"/>
      <c r="E4" s="59"/>
      <c r="F4" s="59"/>
      <c r="G4" s="59"/>
      <c r="H4" s="59"/>
      <c r="I4" s="59"/>
      <c r="J4" s="59"/>
      <c r="K4" s="59"/>
      <c r="L4" s="59"/>
      <c r="N4" s="59"/>
      <c r="O4" s="59"/>
      <c r="P4" s="116" t="s">
        <v>229</v>
      </c>
    </row>
    <row r="5" spans="1:16" ht="15" customHeight="1">
      <c r="A5" s="59"/>
      <c r="B5" s="59"/>
      <c r="C5" s="59"/>
      <c r="D5" s="59"/>
      <c r="E5" s="59"/>
      <c r="F5" s="59"/>
      <c r="G5" s="59"/>
      <c r="H5" s="59"/>
      <c r="I5" s="59"/>
      <c r="J5" s="59"/>
      <c r="K5" s="59"/>
      <c r="L5" s="59"/>
      <c r="N5" s="59"/>
      <c r="O5" s="59"/>
      <c r="P5" s="58"/>
    </row>
    <row r="6" spans="1:16" s="50" customFormat="1" ht="30" customHeight="1">
      <c r="A6" s="64" t="s">
        <v>200</v>
      </c>
      <c r="B6" s="64"/>
      <c r="C6" s="64"/>
      <c r="D6" s="64"/>
      <c r="E6" s="64"/>
      <c r="F6" s="189"/>
      <c r="G6" s="189"/>
      <c r="H6" s="189"/>
      <c r="I6" s="189"/>
      <c r="J6" s="189"/>
      <c r="K6" s="189"/>
      <c r="L6" s="189"/>
      <c r="M6" s="189"/>
      <c r="N6" s="189"/>
      <c r="O6" s="189"/>
      <c r="P6" s="189"/>
    </row>
    <row r="7" spans="1:16" ht="12.75" customHeight="1">
      <c r="A7" s="65"/>
      <c r="B7" s="65"/>
      <c r="C7" s="65"/>
      <c r="D7" s="65"/>
      <c r="E7" s="65"/>
      <c r="F7" s="65"/>
      <c r="G7" s="65"/>
      <c r="H7" s="65"/>
      <c r="I7" s="65"/>
      <c r="J7" s="65"/>
      <c r="K7" s="65"/>
      <c r="L7" s="65"/>
      <c r="M7" s="65"/>
      <c r="N7" s="65"/>
      <c r="O7" s="65"/>
      <c r="P7" s="65"/>
    </row>
    <row r="8" spans="1:16" s="190" customFormat="1" ht="18" customHeight="1">
      <c r="A8" s="74" t="s">
        <v>182</v>
      </c>
      <c r="B8" s="74" t="s">
        <v>164</v>
      </c>
      <c r="C8" s="236" t="s">
        <v>118</v>
      </c>
      <c r="D8" s="236"/>
      <c r="E8" s="236"/>
      <c r="F8" s="236"/>
      <c r="G8" s="236"/>
      <c r="H8" s="236"/>
      <c r="I8" s="236" t="s">
        <v>183</v>
      </c>
      <c r="J8" s="236"/>
      <c r="K8" s="236"/>
      <c r="L8" s="236"/>
      <c r="M8" s="236"/>
      <c r="N8" s="236"/>
      <c r="O8" s="236"/>
      <c r="P8" s="236"/>
    </row>
    <row r="9" spans="1:16" ht="6.95" customHeight="1">
      <c r="C9" s="62"/>
      <c r="D9" s="62"/>
      <c r="E9" s="62"/>
      <c r="F9" s="62"/>
      <c r="G9" s="62"/>
      <c r="H9" s="62"/>
      <c r="I9" s="62"/>
      <c r="J9" s="62"/>
      <c r="K9" s="62"/>
      <c r="L9" s="62"/>
      <c r="M9" s="62"/>
      <c r="N9" s="62"/>
      <c r="O9" s="62"/>
      <c r="P9" s="62"/>
    </row>
    <row r="10" spans="1:16" s="50" customFormat="1" ht="18" customHeight="1" thickBot="1">
      <c r="A10" s="78" t="str">
        <f>Inventory!A10</f>
        <v>SPIRITS</v>
      </c>
      <c r="B10" s="78" t="str">
        <f>Inventory!C10</f>
        <v>VOLUME</v>
      </c>
      <c r="C10" s="22" t="s">
        <v>187</v>
      </c>
      <c r="D10" s="22"/>
      <c r="E10" s="22" t="s">
        <v>101</v>
      </c>
      <c r="F10" s="22" t="s">
        <v>102</v>
      </c>
      <c r="G10" s="23" t="s">
        <v>108</v>
      </c>
      <c r="H10" s="79" t="s">
        <v>119</v>
      </c>
      <c r="I10" s="253" t="s">
        <v>190</v>
      </c>
      <c r="J10" s="253"/>
      <c r="K10" s="235" t="s">
        <v>30</v>
      </c>
      <c r="L10" s="235"/>
      <c r="M10" s="235" t="s">
        <v>31</v>
      </c>
      <c r="N10" s="235"/>
      <c r="O10" s="235" t="s">
        <v>189</v>
      </c>
      <c r="P10" s="235"/>
    </row>
    <row r="11" spans="1:16" s="50" customFormat="1" ht="6.95" customHeight="1" thickTop="1">
      <c r="C11" s="20"/>
      <c r="D11" s="20"/>
      <c r="E11" s="20"/>
      <c r="F11" s="20"/>
      <c r="G11" s="46"/>
      <c r="H11" s="191"/>
      <c r="I11" s="191"/>
      <c r="J11" s="191"/>
      <c r="K11" s="20"/>
      <c r="L11" s="20"/>
      <c r="M11" s="20"/>
      <c r="N11" s="20"/>
      <c r="O11" s="20"/>
      <c r="P11" s="20"/>
    </row>
    <row r="12" spans="1:16" s="29" customFormat="1" ht="15" customHeight="1">
      <c r="A12" s="31" t="str">
        <f>IF(ISBLANK(Inventory!A12),"",Inventory!A12)</f>
        <v>Teachers</v>
      </c>
      <c r="B12" s="31" t="str">
        <f>IF(ISBLANK(Inventory!A12),"",Inventory!C12)</f>
        <v>70cl</v>
      </c>
      <c r="C12" s="187">
        <v>1</v>
      </c>
      <c r="D12" s="192"/>
      <c r="E12" s="187"/>
      <c r="F12" s="187"/>
      <c r="G12" s="187"/>
      <c r="H12" s="37">
        <f>IF(ISBLANK(Inventory!A12),0,C12+SUM('Week 1'!E12:G12)-SUM(E12:G12))</f>
        <v>2</v>
      </c>
      <c r="I12" s="35" t="str">
        <f>IF(OR(ISBLANK(J12),J12=0),"",Settings!$B$14)</f>
        <v>$</v>
      </c>
      <c r="J12" s="30">
        <f>IF(ISBLANK(C12),0,C12*Inventory!F12)</f>
        <v>21.35</v>
      </c>
      <c r="K12" s="35" t="str">
        <f>IF(OR(ISBLANK(L12),L12=0),"",Settings!$B$14)</f>
        <v/>
      </c>
      <c r="L12" s="30">
        <f>IF(ISBLANK(Inventory!A12),0,SUM(E12:G12)*Inventory!F12)</f>
        <v>0</v>
      </c>
      <c r="M12" s="35" t="str">
        <f>IF(OR(ISBLANK(N12),N12=0),"",Settings!$B$14)</f>
        <v/>
      </c>
      <c r="N12" s="30">
        <f>IF(ISBLANK(Inventory!A12),0,SUM(E12:G12)*Inventory!L12)</f>
        <v>0</v>
      </c>
      <c r="O12" s="35" t="str">
        <f>IF(OR(ISBLANK(P12),P12=0),"",Settings!$B$14)</f>
        <v>$</v>
      </c>
      <c r="P12" s="30">
        <f>IF(ISBLANK(Inventory!A12),0,H12*Inventory!L12)</f>
        <v>161.84</v>
      </c>
    </row>
    <row r="13" spans="1:16" s="29" customFormat="1" ht="15" customHeight="1">
      <c r="A13" s="31" t="str">
        <f>IF(ISBLANK(Inventory!A13),"",Inventory!A13)</f>
        <v>Bells</v>
      </c>
      <c r="B13" s="31" t="str">
        <f>IF(ISBLANK(Inventory!A13),"",Inventory!C13)</f>
        <v>70cl</v>
      </c>
      <c r="C13" s="187"/>
      <c r="D13" s="192"/>
      <c r="E13" s="187"/>
      <c r="F13" s="187"/>
      <c r="G13" s="187"/>
      <c r="H13" s="37">
        <f>IF(ISBLANK(Inventory!A13),0,C13+SUM('Week 1'!E13:G13)-SUM(E13:G13))</f>
        <v>0</v>
      </c>
      <c r="I13" s="35" t="str">
        <f>IF(OR(ISBLANK(J13),J13=0),"",Settings!$B$14)</f>
        <v/>
      </c>
      <c r="J13" s="30">
        <f>IF(ISBLANK(C13),0,C13*Inventory!F13)</f>
        <v>0</v>
      </c>
      <c r="K13" s="35" t="str">
        <f>IF(OR(ISBLANK(L13),L13=0),"",Settings!$B$14)</f>
        <v/>
      </c>
      <c r="L13" s="30">
        <f>IF(ISBLANK(Inventory!A13),0,SUM(E13:G13)*Inventory!F13)</f>
        <v>0</v>
      </c>
      <c r="M13" s="35" t="str">
        <f>IF(OR(ISBLANK(N13),N13=0),"",Settings!$B$14)</f>
        <v/>
      </c>
      <c r="N13" s="30">
        <f>IF(ISBLANK(Inventory!A13),0,SUM(E13:G13)*Inventory!L13)</f>
        <v>0</v>
      </c>
      <c r="O13" s="35" t="str">
        <f>IF(OR(ISBLANK(P13),P13=0),"",Settings!$B$14)</f>
        <v/>
      </c>
      <c r="P13" s="30">
        <f>IF(ISBLANK(Inventory!A13),0,H13*Inventory!L13)</f>
        <v>0</v>
      </c>
    </row>
    <row r="14" spans="1:16" s="29" customFormat="1" ht="15" customHeight="1">
      <c r="A14" s="31" t="str">
        <f>IF(ISBLANK(Inventory!A14),"",Inventory!A14)</f>
        <v>Bells</v>
      </c>
      <c r="B14" s="31" t="str">
        <f>IF(ISBLANK(Inventory!A14),"",Inventory!C14)</f>
        <v>1.5ltr</v>
      </c>
      <c r="C14" s="187"/>
      <c r="D14" s="192"/>
      <c r="E14" s="187"/>
      <c r="F14" s="187"/>
      <c r="G14" s="187"/>
      <c r="H14" s="37">
        <f>IF(ISBLANK(Inventory!A14),0,C14+SUM('Week 1'!E14:G14)-SUM(E14:G14))</f>
        <v>0</v>
      </c>
      <c r="I14" s="35" t="str">
        <f>IF(OR(ISBLANK(J14),J14=0),"",Settings!$B$14)</f>
        <v/>
      </c>
      <c r="J14" s="30">
        <f>IF(ISBLANK(C14),0,C14*Inventory!F14)</f>
        <v>0</v>
      </c>
      <c r="K14" s="35" t="str">
        <f>IF(OR(ISBLANK(L14),L14=0),"",Settings!$B$14)</f>
        <v/>
      </c>
      <c r="L14" s="30">
        <f>IF(ISBLANK(Inventory!A14),0,SUM(E14:G14)*Inventory!F14)</f>
        <v>0</v>
      </c>
      <c r="M14" s="35" t="str">
        <f>IF(OR(ISBLANK(N14),N14=0),"",Settings!$B$14)</f>
        <v/>
      </c>
      <c r="N14" s="30">
        <f>IF(ISBLANK(Inventory!A14),0,SUM(E14:G14)*Inventory!L14)</f>
        <v>0</v>
      </c>
      <c r="O14" s="35" t="str">
        <f>IF(OR(ISBLANK(P14),P14=0),"",Settings!$B$14)</f>
        <v/>
      </c>
      <c r="P14" s="30">
        <f>IF(ISBLANK(Inventory!A14),0,H14*Inventory!L14)</f>
        <v>0</v>
      </c>
    </row>
    <row r="15" spans="1:16" s="29" customFormat="1" ht="15" customHeight="1">
      <c r="A15" s="31" t="str">
        <f>IF(ISBLANK(Inventory!A15),"",Inventory!A15)</f>
        <v>Glenfiddich</v>
      </c>
      <c r="B15" s="31" t="str">
        <f>IF(ISBLANK(Inventory!A15),"",Inventory!C15)</f>
        <v>75cl</v>
      </c>
      <c r="C15" s="187"/>
      <c r="D15" s="192"/>
      <c r="E15" s="187"/>
      <c r="F15" s="187"/>
      <c r="G15" s="187"/>
      <c r="H15" s="37">
        <f>IF(ISBLANK(Inventory!A15),0,C15+SUM('Week 1'!E15:G15)-SUM(E15:G15))</f>
        <v>0</v>
      </c>
      <c r="I15" s="35" t="str">
        <f>IF(OR(ISBLANK(J15),J15=0),"",Settings!$B$14)</f>
        <v/>
      </c>
      <c r="J15" s="30">
        <f>IF(ISBLANK(C15),0,C15*Inventory!F15)</f>
        <v>0</v>
      </c>
      <c r="K15" s="35" t="str">
        <f>IF(OR(ISBLANK(L15),L15=0),"",Settings!$B$14)</f>
        <v/>
      </c>
      <c r="L15" s="30">
        <f>IF(ISBLANK(Inventory!A15),0,SUM(E15:G15)*Inventory!F15)</f>
        <v>0</v>
      </c>
      <c r="M15" s="35" t="str">
        <f>IF(OR(ISBLANK(N15),N15=0),"",Settings!$B$14)</f>
        <v/>
      </c>
      <c r="N15" s="30">
        <f>IF(ISBLANK(Inventory!A15),0,SUM(E15:G15)*Inventory!L15)</f>
        <v>0</v>
      </c>
      <c r="O15" s="35" t="str">
        <f>IF(OR(ISBLANK(P15),P15=0),"",Settings!$B$14)</f>
        <v/>
      </c>
      <c r="P15" s="30">
        <f>IF(ISBLANK(Inventory!A15),0,H15*Inventory!L15)</f>
        <v>0</v>
      </c>
    </row>
    <row r="16" spans="1:16" s="29" customFormat="1" ht="15" customHeight="1">
      <c r="A16" s="31" t="str">
        <f>IF(ISBLANK(Inventory!A16),"",Inventory!A16)</f>
        <v>Glenmorangie</v>
      </c>
      <c r="B16" s="31" t="str">
        <f>IF(ISBLANK(Inventory!A16),"",Inventory!C16)</f>
        <v>70cl</v>
      </c>
      <c r="C16" s="187"/>
      <c r="D16" s="192"/>
      <c r="E16" s="187"/>
      <c r="F16" s="187"/>
      <c r="G16" s="187"/>
      <c r="H16" s="37">
        <f>IF(ISBLANK(Inventory!A16),0,C16+SUM('Week 1'!E16:G16)-SUM(E16:G16))</f>
        <v>0</v>
      </c>
      <c r="I16" s="35" t="str">
        <f>IF(OR(ISBLANK(J16),J16=0),"",Settings!$B$14)</f>
        <v/>
      </c>
      <c r="J16" s="30">
        <f>IF(ISBLANK(C16),0,C16*Inventory!F16)</f>
        <v>0</v>
      </c>
      <c r="K16" s="35" t="str">
        <f>IF(OR(ISBLANK(L16),L16=0),"",Settings!$B$14)</f>
        <v/>
      </c>
      <c r="L16" s="30">
        <f>IF(ISBLANK(Inventory!A16),0,SUM(E16:G16)*Inventory!F16)</f>
        <v>0</v>
      </c>
      <c r="M16" s="35" t="str">
        <f>IF(OR(ISBLANK(N16),N16=0),"",Settings!$B$14)</f>
        <v/>
      </c>
      <c r="N16" s="30">
        <f>IF(ISBLANK(Inventory!A16),0,SUM(E16:G16)*Inventory!L16)</f>
        <v>0</v>
      </c>
      <c r="O16" s="35" t="str">
        <f>IF(OR(ISBLANK(P16),P16=0),"",Settings!$B$14)</f>
        <v/>
      </c>
      <c r="P16" s="30">
        <f>IF(ISBLANK(Inventory!A16),0,H16*Inventory!L16)</f>
        <v>0</v>
      </c>
    </row>
    <row r="17" spans="1:16" s="29" customFormat="1" ht="15" customHeight="1">
      <c r="A17" s="31" t="str">
        <f>IF(ISBLANK(Inventory!A17),"",Inventory!A17)</f>
        <v>Jack Daniels</v>
      </c>
      <c r="B17" s="31" t="str">
        <f>IF(ISBLANK(Inventory!A17),"",Inventory!C17)</f>
        <v>70cl</v>
      </c>
      <c r="C17" s="187"/>
      <c r="D17" s="192"/>
      <c r="E17" s="187"/>
      <c r="F17" s="187"/>
      <c r="G17" s="187"/>
      <c r="H17" s="37">
        <f>IF(ISBLANK(Inventory!A17),0,C17+SUM('Week 1'!E17:G17)-SUM(E17:G17))</f>
        <v>0</v>
      </c>
      <c r="I17" s="35" t="str">
        <f>IF(OR(ISBLANK(J17),J17=0),"",Settings!$B$14)</f>
        <v/>
      </c>
      <c r="J17" s="30">
        <f>IF(ISBLANK(C17),0,C17*Inventory!F17)</f>
        <v>0</v>
      </c>
      <c r="K17" s="35" t="str">
        <f>IF(OR(ISBLANK(L17),L17=0),"",Settings!$B$14)</f>
        <v/>
      </c>
      <c r="L17" s="30">
        <f>IF(ISBLANK(Inventory!A17),0,SUM(E17:G17)*Inventory!F17)</f>
        <v>0</v>
      </c>
      <c r="M17" s="35" t="str">
        <f>IF(OR(ISBLANK(N17),N17=0),"",Settings!$B$14)</f>
        <v/>
      </c>
      <c r="N17" s="30">
        <f>IF(ISBLANK(Inventory!A17),0,SUM(E17:G17)*Inventory!L17)</f>
        <v>0</v>
      </c>
      <c r="O17" s="35" t="str">
        <f>IF(OR(ISBLANK(P17),P17=0),"",Settings!$B$14)</f>
        <v/>
      </c>
      <c r="P17" s="30">
        <f>IF(ISBLANK(Inventory!A17),0,H17*Inventory!L17)</f>
        <v>0</v>
      </c>
    </row>
    <row r="18" spans="1:16" s="29" customFormat="1" ht="15" customHeight="1">
      <c r="A18" s="31" t="str">
        <f>IF(ISBLANK(Inventory!A18),"",Inventory!A18)</f>
        <v>Jack Daniels</v>
      </c>
      <c r="B18" s="31" t="str">
        <f>IF(ISBLANK(Inventory!A18),"",Inventory!C18)</f>
        <v>1.5Ltr</v>
      </c>
      <c r="C18" s="187"/>
      <c r="D18" s="192"/>
      <c r="E18" s="187"/>
      <c r="F18" s="187"/>
      <c r="G18" s="187"/>
      <c r="H18" s="37">
        <f>IF(ISBLANK(Inventory!A18),0,C18+SUM('Week 1'!E18:G18)-SUM(E18:G18))</f>
        <v>0</v>
      </c>
      <c r="I18" s="35" t="str">
        <f>IF(OR(ISBLANK(J18),J18=0),"",Settings!$B$14)</f>
        <v/>
      </c>
      <c r="J18" s="30">
        <f>IF(ISBLANK(C18),0,C18*Inventory!F18)</f>
        <v>0</v>
      </c>
      <c r="K18" s="35" t="str">
        <f>IF(OR(ISBLANK(L18),L18=0),"",Settings!$B$14)</f>
        <v/>
      </c>
      <c r="L18" s="30">
        <f>IF(ISBLANK(Inventory!A18),0,SUM(E18:G18)*Inventory!F18)</f>
        <v>0</v>
      </c>
      <c r="M18" s="35" t="str">
        <f>IF(OR(ISBLANK(N18),N18=0),"",Settings!$B$14)</f>
        <v/>
      </c>
      <c r="N18" s="30">
        <f>IF(ISBLANK(Inventory!A18),0,SUM(E18:G18)*Inventory!L18)</f>
        <v>0</v>
      </c>
      <c r="O18" s="35" t="str">
        <f>IF(OR(ISBLANK(P18),P18=0),"",Settings!$B$14)</f>
        <v/>
      </c>
      <c r="P18" s="30">
        <f>IF(ISBLANK(Inventory!A18),0,H18*Inventory!L18)</f>
        <v>0</v>
      </c>
    </row>
    <row r="19" spans="1:16" s="29" customFormat="1" ht="15" customHeight="1">
      <c r="A19" s="31" t="str">
        <f>IF(ISBLANK(Inventory!A19),"",Inventory!A19)</f>
        <v>Jim Beam</v>
      </c>
      <c r="B19" s="31" t="str">
        <f>IF(ISBLANK(Inventory!A19),"",Inventory!C19)</f>
        <v>70cl</v>
      </c>
      <c r="C19" s="187"/>
      <c r="D19" s="192"/>
      <c r="E19" s="187"/>
      <c r="F19" s="187"/>
      <c r="G19" s="187"/>
      <c r="H19" s="37">
        <f>IF(ISBLANK(Inventory!A19),0,C19+SUM('Week 1'!E19:G19)-SUM(E19:G19))</f>
        <v>0</v>
      </c>
      <c r="I19" s="35" t="str">
        <f>IF(OR(ISBLANK(J19),J19=0),"",Settings!$B$14)</f>
        <v/>
      </c>
      <c r="J19" s="30">
        <f>IF(ISBLANK(C19),0,C19*Inventory!F19)</f>
        <v>0</v>
      </c>
      <c r="K19" s="35" t="str">
        <f>IF(OR(ISBLANK(L19),L19=0),"",Settings!$B$14)</f>
        <v/>
      </c>
      <c r="L19" s="30">
        <f>IF(ISBLANK(Inventory!A19),0,SUM(E19:G19)*Inventory!F19)</f>
        <v>0</v>
      </c>
      <c r="M19" s="35" t="str">
        <f>IF(OR(ISBLANK(N19),N19=0),"",Settings!$B$14)</f>
        <v/>
      </c>
      <c r="N19" s="30">
        <f>IF(ISBLANK(Inventory!A19),0,SUM(E19:G19)*Inventory!L19)</f>
        <v>0</v>
      </c>
      <c r="O19" s="35" t="str">
        <f>IF(OR(ISBLANK(P19),P19=0),"",Settings!$B$14)</f>
        <v/>
      </c>
      <c r="P19" s="30">
        <f>IF(ISBLANK(Inventory!A19),0,H19*Inventory!L19)</f>
        <v>0</v>
      </c>
    </row>
    <row r="20" spans="1:16" s="29" customFormat="1" ht="15" customHeight="1">
      <c r="A20" s="31" t="str">
        <f>IF(ISBLANK(Inventory!A20),"",Inventory!A20)</f>
        <v>Jameson's Irish</v>
      </c>
      <c r="B20" s="31" t="str">
        <f>IF(ISBLANK(Inventory!A20),"",Inventory!C20)</f>
        <v>70cl</v>
      </c>
      <c r="C20" s="187"/>
      <c r="D20" s="192"/>
      <c r="E20" s="187"/>
      <c r="F20" s="187"/>
      <c r="G20" s="187"/>
      <c r="H20" s="37">
        <f>IF(ISBLANK(Inventory!A20),0,C20+SUM('Week 1'!E20:G20)-SUM(E20:G20))</f>
        <v>0</v>
      </c>
      <c r="I20" s="35" t="str">
        <f>IF(OR(ISBLANK(J20),J20=0),"",Settings!$B$14)</f>
        <v/>
      </c>
      <c r="J20" s="30">
        <f>IF(ISBLANK(C20),0,C20*Inventory!F20)</f>
        <v>0</v>
      </c>
      <c r="K20" s="35" t="str">
        <f>IF(OR(ISBLANK(L20),L20=0),"",Settings!$B$14)</f>
        <v/>
      </c>
      <c r="L20" s="30">
        <f>IF(ISBLANK(Inventory!A20),0,SUM(E20:G20)*Inventory!F20)</f>
        <v>0</v>
      </c>
      <c r="M20" s="35" t="str">
        <f>IF(OR(ISBLANK(N20),N20=0),"",Settings!$B$14)</f>
        <v/>
      </c>
      <c r="N20" s="30">
        <f>IF(ISBLANK(Inventory!A20),0,SUM(E20:G20)*Inventory!L20)</f>
        <v>0</v>
      </c>
      <c r="O20" s="35" t="str">
        <f>IF(OR(ISBLANK(P20),P20=0),"",Settings!$B$14)</f>
        <v/>
      </c>
      <c r="P20" s="30">
        <f>IF(ISBLANK(Inventory!A20),0,H20*Inventory!L20)</f>
        <v>0</v>
      </c>
    </row>
    <row r="21" spans="1:16" s="29" customFormat="1" ht="15" customHeight="1">
      <c r="A21" s="31" t="str">
        <f>IF(ISBLANK(Inventory!A21),"",Inventory!A21)</f>
        <v>Jameson's Irish</v>
      </c>
      <c r="B21" s="31" t="str">
        <f>IF(ISBLANK(Inventory!A21),"",Inventory!C21)</f>
        <v>1.5Ltr</v>
      </c>
      <c r="C21" s="187"/>
      <c r="D21" s="192"/>
      <c r="E21" s="187"/>
      <c r="F21" s="187"/>
      <c r="G21" s="187"/>
      <c r="H21" s="37">
        <f>IF(ISBLANK(Inventory!A21),0,C21+SUM('Week 1'!E21:G21)-SUM(E21:G21))</f>
        <v>0</v>
      </c>
      <c r="I21" s="35" t="str">
        <f>IF(OR(ISBLANK(J21),J21=0),"",Settings!$B$14)</f>
        <v/>
      </c>
      <c r="J21" s="30">
        <f>IF(ISBLANK(C21),0,C21*Inventory!F21)</f>
        <v>0</v>
      </c>
      <c r="K21" s="35" t="str">
        <f>IF(OR(ISBLANK(L21),L21=0),"",Settings!$B$14)</f>
        <v/>
      </c>
      <c r="L21" s="30">
        <f>IF(ISBLANK(Inventory!A21),0,SUM(E21:G21)*Inventory!F21)</f>
        <v>0</v>
      </c>
      <c r="M21" s="35" t="str">
        <f>IF(OR(ISBLANK(N21),N21=0),"",Settings!$B$14)</f>
        <v/>
      </c>
      <c r="N21" s="30">
        <f>IF(ISBLANK(Inventory!A21),0,SUM(E21:G21)*Inventory!L21)</f>
        <v>0</v>
      </c>
      <c r="O21" s="35" t="str">
        <f>IF(OR(ISBLANK(P21),P21=0),"",Settings!$B$14)</f>
        <v/>
      </c>
      <c r="P21" s="30">
        <f>IF(ISBLANK(Inventory!A21),0,H21*Inventory!L21)</f>
        <v>0</v>
      </c>
    </row>
    <row r="22" spans="1:16" s="29" customFormat="1" ht="15" customHeight="1">
      <c r="A22" s="31" t="str">
        <f>IF(ISBLANK(Inventory!A22),"",Inventory!A22)</f>
        <v>Southern Comfort</v>
      </c>
      <c r="B22" s="31" t="str">
        <f>IF(ISBLANK(Inventory!A22),"",Inventory!C22)</f>
        <v>70cl</v>
      </c>
      <c r="C22" s="187"/>
      <c r="D22" s="192"/>
      <c r="E22" s="187"/>
      <c r="F22" s="187"/>
      <c r="G22" s="187"/>
      <c r="H22" s="37">
        <f>IF(ISBLANK(Inventory!A22),0,C22+SUM('Week 1'!E22:G22)-SUM(E22:G22))</f>
        <v>0</v>
      </c>
      <c r="I22" s="35" t="str">
        <f>IF(OR(ISBLANK(J22),J22=0),"",Settings!$B$14)</f>
        <v/>
      </c>
      <c r="J22" s="30">
        <f>IF(ISBLANK(C22),0,C22*Inventory!F22)</f>
        <v>0</v>
      </c>
      <c r="K22" s="35" t="str">
        <f>IF(OR(ISBLANK(L22),L22=0),"",Settings!$B$14)</f>
        <v/>
      </c>
      <c r="L22" s="30">
        <f>IF(ISBLANK(Inventory!A22),0,SUM(E22:G22)*Inventory!F22)</f>
        <v>0</v>
      </c>
      <c r="M22" s="35" t="str">
        <f>IF(OR(ISBLANK(N22),N22=0),"",Settings!$B$14)</f>
        <v/>
      </c>
      <c r="N22" s="30">
        <f>IF(ISBLANK(Inventory!A22),0,SUM(E22:G22)*Inventory!L22)</f>
        <v>0</v>
      </c>
      <c r="O22" s="35" t="str">
        <f>IF(OR(ISBLANK(P22),P22=0),"",Settings!$B$14)</f>
        <v/>
      </c>
      <c r="P22" s="30">
        <f>IF(ISBLANK(Inventory!A22),0,H22*Inventory!L22)</f>
        <v>0</v>
      </c>
    </row>
    <row r="23" spans="1:16" s="29" customFormat="1" ht="15" customHeight="1">
      <c r="A23" s="31" t="str">
        <f>IF(ISBLANK(Inventory!A23),"",Inventory!A23)</f>
        <v>Southern Comfort</v>
      </c>
      <c r="B23" s="31" t="str">
        <f>IF(ISBLANK(Inventory!A23),"",Inventory!C23)</f>
        <v>1.5ltr</v>
      </c>
      <c r="C23" s="187"/>
      <c r="D23" s="192"/>
      <c r="E23" s="187"/>
      <c r="F23" s="187"/>
      <c r="G23" s="187"/>
      <c r="H23" s="37">
        <f>IF(ISBLANK(Inventory!A23),0,C23+SUM('Week 1'!E23:G23)-SUM(E23:G23))</f>
        <v>0</v>
      </c>
      <c r="I23" s="35" t="str">
        <f>IF(OR(ISBLANK(J23),J23=0),"",Settings!$B$14)</f>
        <v/>
      </c>
      <c r="J23" s="30">
        <f>IF(ISBLANK(C23),0,C23*Inventory!F23)</f>
        <v>0</v>
      </c>
      <c r="K23" s="35" t="str">
        <f>IF(OR(ISBLANK(L23),L23=0),"",Settings!$B$14)</f>
        <v/>
      </c>
      <c r="L23" s="30">
        <f>IF(ISBLANK(Inventory!A23),0,SUM(E23:G23)*Inventory!F23)</f>
        <v>0</v>
      </c>
      <c r="M23" s="35" t="str">
        <f>IF(OR(ISBLANK(N23),N23=0),"",Settings!$B$14)</f>
        <v/>
      </c>
      <c r="N23" s="30">
        <f>IF(ISBLANK(Inventory!A23),0,SUM(E23:G23)*Inventory!L23)</f>
        <v>0</v>
      </c>
      <c r="O23" s="35" t="str">
        <f>IF(OR(ISBLANK(P23),P23=0),"",Settings!$B$14)</f>
        <v/>
      </c>
      <c r="P23" s="30">
        <f>IF(ISBLANK(Inventory!A23),0,H23*Inventory!L23)</f>
        <v>0</v>
      </c>
    </row>
    <row r="24" spans="1:16" s="29" customFormat="1" ht="15" customHeight="1">
      <c r="A24" s="31" t="str">
        <f>IF(ISBLANK(Inventory!A24),"",Inventory!A24)</f>
        <v>Gordons' Gin</v>
      </c>
      <c r="B24" s="31" t="str">
        <f>IF(ISBLANK(Inventory!A24),"",Inventory!C24)</f>
        <v>70cl</v>
      </c>
      <c r="C24" s="187"/>
      <c r="D24" s="192"/>
      <c r="E24" s="187"/>
      <c r="F24" s="187"/>
      <c r="G24" s="187"/>
      <c r="H24" s="37">
        <f>IF(ISBLANK(Inventory!A24),0,C24+SUM('Week 1'!E24:G24)-SUM(E24:G24))</f>
        <v>0</v>
      </c>
      <c r="I24" s="35" t="str">
        <f>IF(OR(ISBLANK(J24),J24=0),"",Settings!$B$14)</f>
        <v/>
      </c>
      <c r="J24" s="30">
        <f>IF(ISBLANK(C24),0,C24*Inventory!F24)</f>
        <v>0</v>
      </c>
      <c r="K24" s="35" t="str">
        <f>IF(OR(ISBLANK(L24),L24=0),"",Settings!$B$14)</f>
        <v/>
      </c>
      <c r="L24" s="30">
        <f>IF(ISBLANK(Inventory!A24),0,SUM(E24:G24)*Inventory!F24)</f>
        <v>0</v>
      </c>
      <c r="M24" s="35" t="str">
        <f>IF(OR(ISBLANK(N24),N24=0),"",Settings!$B$14)</f>
        <v/>
      </c>
      <c r="N24" s="30">
        <f>IF(ISBLANK(Inventory!A24),0,SUM(E24:G24)*Inventory!L24)</f>
        <v>0</v>
      </c>
      <c r="O24" s="35" t="str">
        <f>IF(OR(ISBLANK(P24),P24=0),"",Settings!$B$14)</f>
        <v/>
      </c>
      <c r="P24" s="30">
        <f>IF(ISBLANK(Inventory!A24),0,H24*Inventory!L24)</f>
        <v>0</v>
      </c>
    </row>
    <row r="25" spans="1:16" s="29" customFormat="1" ht="15" customHeight="1">
      <c r="A25" s="31" t="str">
        <f>IF(ISBLANK(Inventory!A25),"",Inventory!A25)</f>
        <v>Gordons' Gin</v>
      </c>
      <c r="B25" s="31" t="str">
        <f>IF(ISBLANK(Inventory!A25),"",Inventory!C25)</f>
        <v>1.5Ltr</v>
      </c>
      <c r="C25" s="187"/>
      <c r="D25" s="192"/>
      <c r="E25" s="187"/>
      <c r="F25" s="187"/>
      <c r="G25" s="187"/>
      <c r="H25" s="37">
        <f>IF(ISBLANK(Inventory!A25),0,C25+SUM('Week 1'!E25:G25)-SUM(E25:G25))</f>
        <v>0</v>
      </c>
      <c r="I25" s="35" t="str">
        <f>IF(OR(ISBLANK(J25),J25=0),"",Settings!$B$14)</f>
        <v/>
      </c>
      <c r="J25" s="30">
        <f>IF(ISBLANK(C25),0,C25*Inventory!F25)</f>
        <v>0</v>
      </c>
      <c r="K25" s="35" t="str">
        <f>IF(OR(ISBLANK(L25),L25=0),"",Settings!$B$14)</f>
        <v/>
      </c>
      <c r="L25" s="30">
        <f>IF(ISBLANK(Inventory!A25),0,SUM(E25:G25)*Inventory!F25)</f>
        <v>0</v>
      </c>
      <c r="M25" s="35" t="str">
        <f>IF(OR(ISBLANK(N25),N25=0),"",Settings!$B$14)</f>
        <v/>
      </c>
      <c r="N25" s="30">
        <f>IF(ISBLANK(Inventory!A25),0,SUM(E25:G25)*Inventory!L25)</f>
        <v>0</v>
      </c>
      <c r="O25" s="35" t="str">
        <f>IF(OR(ISBLANK(P25),P25=0),"",Settings!$B$14)</f>
        <v/>
      </c>
      <c r="P25" s="30">
        <f>IF(ISBLANK(Inventory!A25),0,H25*Inventory!L25)</f>
        <v>0</v>
      </c>
    </row>
    <row r="26" spans="1:16" s="29" customFormat="1" ht="15" customHeight="1">
      <c r="A26" s="31" t="str">
        <f>IF(ISBLANK(Inventory!A26),"",Inventory!A26)</f>
        <v>Bombay Sapphire</v>
      </c>
      <c r="B26" s="31" t="str">
        <f>IF(ISBLANK(Inventory!A26),"",Inventory!C26)</f>
        <v>70cl</v>
      </c>
      <c r="C26" s="187"/>
      <c r="D26" s="192"/>
      <c r="E26" s="187"/>
      <c r="F26" s="187"/>
      <c r="G26" s="187"/>
      <c r="H26" s="37">
        <f>IF(ISBLANK(Inventory!A26),0,C26+SUM('Week 1'!E26:G26)-SUM(E26:G26))</f>
        <v>0</v>
      </c>
      <c r="I26" s="35" t="str">
        <f>IF(OR(ISBLANK(J26),J26=0),"",Settings!$B$14)</f>
        <v/>
      </c>
      <c r="J26" s="30">
        <f>IF(ISBLANK(C26),0,C26*Inventory!F26)</f>
        <v>0</v>
      </c>
      <c r="K26" s="35" t="str">
        <f>IF(OR(ISBLANK(L26),L26=0),"",Settings!$B$14)</f>
        <v/>
      </c>
      <c r="L26" s="30">
        <f>IF(ISBLANK(Inventory!A26),0,SUM(E26:G26)*Inventory!F26)</f>
        <v>0</v>
      </c>
      <c r="M26" s="35" t="str">
        <f>IF(OR(ISBLANK(N26),N26=0),"",Settings!$B$14)</f>
        <v/>
      </c>
      <c r="N26" s="30">
        <f>IF(ISBLANK(Inventory!A26),0,SUM(E26:G26)*Inventory!L26)</f>
        <v>0</v>
      </c>
      <c r="O26" s="35" t="str">
        <f>IF(OR(ISBLANK(P26),P26=0),"",Settings!$B$14)</f>
        <v/>
      </c>
      <c r="P26" s="30">
        <f>IF(ISBLANK(Inventory!A26),0,H26*Inventory!L26)</f>
        <v>0</v>
      </c>
    </row>
    <row r="27" spans="1:16" s="29" customFormat="1" ht="15" customHeight="1">
      <c r="A27" s="31" t="str">
        <f>IF(ISBLANK(Inventory!A27),"",Inventory!A27)</f>
        <v>Smirnoff Red</v>
      </c>
      <c r="B27" s="31" t="str">
        <f>IF(ISBLANK(Inventory!A27),"",Inventory!C27)</f>
        <v>70cl</v>
      </c>
      <c r="C27" s="187"/>
      <c r="D27" s="192"/>
      <c r="E27" s="187"/>
      <c r="F27" s="187"/>
      <c r="G27" s="187"/>
      <c r="H27" s="37">
        <f>IF(ISBLANK(Inventory!A27),0,C27+SUM('Week 1'!E27:G27)-SUM(E27:G27))</f>
        <v>0</v>
      </c>
      <c r="I27" s="35" t="str">
        <f>IF(OR(ISBLANK(J27),J27=0),"",Settings!$B$14)</f>
        <v/>
      </c>
      <c r="J27" s="30">
        <f>IF(ISBLANK(C27),0,C27*Inventory!F27)</f>
        <v>0</v>
      </c>
      <c r="K27" s="35" t="str">
        <f>IF(OR(ISBLANK(L27),L27=0),"",Settings!$B$14)</f>
        <v/>
      </c>
      <c r="L27" s="30">
        <f>IF(ISBLANK(Inventory!A27),0,SUM(E27:G27)*Inventory!F27)</f>
        <v>0</v>
      </c>
      <c r="M27" s="35" t="str">
        <f>IF(OR(ISBLANK(N27),N27=0),"",Settings!$B$14)</f>
        <v/>
      </c>
      <c r="N27" s="30">
        <f>IF(ISBLANK(Inventory!A27),0,SUM(E27:G27)*Inventory!L27)</f>
        <v>0</v>
      </c>
      <c r="O27" s="35" t="str">
        <f>IF(OR(ISBLANK(P27),P27=0),"",Settings!$B$14)</f>
        <v/>
      </c>
      <c r="P27" s="30">
        <f>IF(ISBLANK(Inventory!A27),0,H27*Inventory!L27)</f>
        <v>0</v>
      </c>
    </row>
    <row r="28" spans="1:16" s="29" customFormat="1" ht="15" customHeight="1">
      <c r="A28" s="31" t="str">
        <f>IF(ISBLANK(Inventory!A28),"",Inventory!A28)</f>
        <v>Smirnoff Red</v>
      </c>
      <c r="B28" s="31" t="str">
        <f>IF(ISBLANK(Inventory!A28),"",Inventory!C28)</f>
        <v>1.5Ltr</v>
      </c>
      <c r="C28" s="187"/>
      <c r="D28" s="192"/>
      <c r="E28" s="187"/>
      <c r="F28" s="187"/>
      <c r="G28" s="187"/>
      <c r="H28" s="37">
        <f>IF(ISBLANK(Inventory!A28),0,C28+SUM('Week 1'!E28:G28)-SUM(E28:G28))</f>
        <v>0</v>
      </c>
      <c r="I28" s="35" t="str">
        <f>IF(OR(ISBLANK(J28),J28=0),"",Settings!$B$14)</f>
        <v/>
      </c>
      <c r="J28" s="30">
        <f>IF(ISBLANK(C28),0,C28*Inventory!F28)</f>
        <v>0</v>
      </c>
      <c r="K28" s="35" t="str">
        <f>IF(OR(ISBLANK(L28),L28=0),"",Settings!$B$14)</f>
        <v/>
      </c>
      <c r="L28" s="30">
        <f>IF(ISBLANK(Inventory!A28),0,SUM(E28:G28)*Inventory!F28)</f>
        <v>0</v>
      </c>
      <c r="M28" s="35" t="str">
        <f>IF(OR(ISBLANK(N28),N28=0),"",Settings!$B$14)</f>
        <v/>
      </c>
      <c r="N28" s="30">
        <f>IF(ISBLANK(Inventory!A28),0,SUM(E28:G28)*Inventory!L28)</f>
        <v>0</v>
      </c>
      <c r="O28" s="35" t="str">
        <f>IF(OR(ISBLANK(P28),P28=0),"",Settings!$B$14)</f>
        <v/>
      </c>
      <c r="P28" s="30">
        <f>IF(ISBLANK(Inventory!A28),0,H28*Inventory!L28)</f>
        <v>0</v>
      </c>
    </row>
    <row r="29" spans="1:16" s="29" customFormat="1" ht="15" customHeight="1">
      <c r="A29" s="31" t="str">
        <f>IF(ISBLANK(Inventory!A29),"",Inventory!A29)</f>
        <v>Absolut</v>
      </c>
      <c r="B29" s="31" t="str">
        <f>IF(ISBLANK(Inventory!A29),"",Inventory!C29)</f>
        <v>70cl</v>
      </c>
      <c r="C29" s="187"/>
      <c r="D29" s="192"/>
      <c r="E29" s="187"/>
      <c r="F29" s="187"/>
      <c r="G29" s="187"/>
      <c r="H29" s="37">
        <f>IF(ISBLANK(Inventory!A29),0,C29+SUM('Week 1'!E29:G29)-SUM(E29:G29))</f>
        <v>0</v>
      </c>
      <c r="I29" s="35" t="str">
        <f>IF(OR(ISBLANK(J29),J29=0),"",Settings!$B$14)</f>
        <v/>
      </c>
      <c r="J29" s="30">
        <f>IF(ISBLANK(C29),0,C29*Inventory!F29)</f>
        <v>0</v>
      </c>
      <c r="K29" s="35" t="str">
        <f>IF(OR(ISBLANK(L29),L29=0),"",Settings!$B$14)</f>
        <v/>
      </c>
      <c r="L29" s="30">
        <f>IF(ISBLANK(Inventory!A29),0,SUM(E29:G29)*Inventory!F29)</f>
        <v>0</v>
      </c>
      <c r="M29" s="35" t="str">
        <f>IF(OR(ISBLANK(N29),N29=0),"",Settings!$B$14)</f>
        <v/>
      </c>
      <c r="N29" s="30">
        <f>IF(ISBLANK(Inventory!A29),0,SUM(E29:G29)*Inventory!L29)</f>
        <v>0</v>
      </c>
      <c r="O29" s="35" t="str">
        <f>IF(OR(ISBLANK(P29),P29=0),"",Settings!$B$14)</f>
        <v/>
      </c>
      <c r="P29" s="30">
        <f>IF(ISBLANK(Inventory!A29),0,H29*Inventory!L29)</f>
        <v>0</v>
      </c>
    </row>
    <row r="30" spans="1:16" s="29" customFormat="1" ht="15" customHeight="1">
      <c r="A30" s="31" t="str">
        <f>IF(ISBLANK(Inventory!A30),"",Inventory!A30)</f>
        <v>Captain Morgan</v>
      </c>
      <c r="B30" s="31" t="str">
        <f>IF(ISBLANK(Inventory!A30),"",Inventory!C30)</f>
        <v>70cl</v>
      </c>
      <c r="C30" s="187"/>
      <c r="D30" s="192"/>
      <c r="E30" s="187"/>
      <c r="F30" s="187"/>
      <c r="G30" s="187"/>
      <c r="H30" s="37">
        <f>IF(ISBLANK(Inventory!A30),0,C30+SUM('Week 1'!E30:G30)-SUM(E30:G30))</f>
        <v>0</v>
      </c>
      <c r="I30" s="35" t="str">
        <f>IF(OR(ISBLANK(J30),J30=0),"",Settings!$B$14)</f>
        <v/>
      </c>
      <c r="J30" s="30">
        <f>IF(ISBLANK(C30),0,C30*Inventory!F30)</f>
        <v>0</v>
      </c>
      <c r="K30" s="35" t="str">
        <f>IF(OR(ISBLANK(L30),L30=0),"",Settings!$B$14)</f>
        <v/>
      </c>
      <c r="L30" s="30">
        <f>IF(ISBLANK(Inventory!A30),0,SUM(E30:G30)*Inventory!F30)</f>
        <v>0</v>
      </c>
      <c r="M30" s="35" t="str">
        <f>IF(OR(ISBLANK(N30),N30=0),"",Settings!$B$14)</f>
        <v/>
      </c>
      <c r="N30" s="30">
        <f>IF(ISBLANK(Inventory!A30),0,SUM(E30:G30)*Inventory!L30)</f>
        <v>0</v>
      </c>
      <c r="O30" s="35" t="str">
        <f>IF(OR(ISBLANK(P30),P30=0),"",Settings!$B$14)</f>
        <v/>
      </c>
      <c r="P30" s="30">
        <f>IF(ISBLANK(Inventory!A30),0,H30*Inventory!L30)</f>
        <v>0</v>
      </c>
    </row>
    <row r="31" spans="1:16" s="29" customFormat="1" ht="15" customHeight="1">
      <c r="A31" s="31" t="str">
        <f>IF(ISBLANK(Inventory!A31),"",Inventory!A31)</f>
        <v>Bacardi</v>
      </c>
      <c r="B31" s="31" t="str">
        <f>IF(ISBLANK(Inventory!A31),"",Inventory!C31)</f>
        <v>70cl</v>
      </c>
      <c r="C31" s="187"/>
      <c r="D31" s="192"/>
      <c r="E31" s="187"/>
      <c r="F31" s="187"/>
      <c r="G31" s="187"/>
      <c r="H31" s="37">
        <f>IF(ISBLANK(Inventory!A31),0,C31+SUM('Week 1'!E31:G31)-SUM(E31:G31))</f>
        <v>0</v>
      </c>
      <c r="I31" s="35" t="str">
        <f>IF(OR(ISBLANK(J31),J31=0),"",Settings!$B$14)</f>
        <v/>
      </c>
      <c r="J31" s="30">
        <f>IF(ISBLANK(C31),0,C31*Inventory!F31)</f>
        <v>0</v>
      </c>
      <c r="K31" s="35" t="str">
        <f>IF(OR(ISBLANK(L31),L31=0),"",Settings!$B$14)</f>
        <v/>
      </c>
      <c r="L31" s="30">
        <f>IF(ISBLANK(Inventory!A31),0,SUM(E31:G31)*Inventory!F31)</f>
        <v>0</v>
      </c>
      <c r="M31" s="35" t="str">
        <f>IF(OR(ISBLANK(N31),N31=0),"",Settings!$B$14)</f>
        <v/>
      </c>
      <c r="N31" s="30">
        <f>IF(ISBLANK(Inventory!A31),0,SUM(E31:G31)*Inventory!L31)</f>
        <v>0</v>
      </c>
      <c r="O31" s="35" t="str">
        <f>IF(OR(ISBLANK(P31),P31=0),"",Settings!$B$14)</f>
        <v/>
      </c>
      <c r="P31" s="30">
        <f>IF(ISBLANK(Inventory!A31),0,H31*Inventory!L31)</f>
        <v>0</v>
      </c>
    </row>
    <row r="32" spans="1:16" s="29" customFormat="1" ht="15" customHeight="1">
      <c r="A32" s="31" t="str">
        <f>IF(ISBLANK(Inventory!A32),"",Inventory!A32)</f>
        <v>Bacardi</v>
      </c>
      <c r="B32" s="31" t="str">
        <f>IF(ISBLANK(Inventory!A32),"",Inventory!C32)</f>
        <v>1.5Ltr</v>
      </c>
      <c r="C32" s="187"/>
      <c r="D32" s="192"/>
      <c r="E32" s="187"/>
      <c r="F32" s="187"/>
      <c r="G32" s="187"/>
      <c r="H32" s="37">
        <f>IF(ISBLANK(Inventory!A32),0,C32+SUM('Week 1'!E32:G32)-SUM(E32:G32))</f>
        <v>0</v>
      </c>
      <c r="I32" s="35" t="str">
        <f>IF(OR(ISBLANK(J32),J32=0),"",Settings!$B$14)</f>
        <v/>
      </c>
      <c r="J32" s="30">
        <f>IF(ISBLANK(C32),0,C32*Inventory!F32)</f>
        <v>0</v>
      </c>
      <c r="K32" s="35" t="str">
        <f>IF(OR(ISBLANK(L32),L32=0),"",Settings!$B$14)</f>
        <v/>
      </c>
      <c r="L32" s="30">
        <f>IF(ISBLANK(Inventory!A32),0,SUM(E32:G32)*Inventory!F32)</f>
        <v>0</v>
      </c>
      <c r="M32" s="35" t="str">
        <f>IF(OR(ISBLANK(N32),N32=0),"",Settings!$B$14)</f>
        <v/>
      </c>
      <c r="N32" s="30">
        <f>IF(ISBLANK(Inventory!A32),0,SUM(E32:G32)*Inventory!L32)</f>
        <v>0</v>
      </c>
      <c r="O32" s="35" t="str">
        <f>IF(OR(ISBLANK(P32),P32=0),"",Settings!$B$14)</f>
        <v/>
      </c>
      <c r="P32" s="30">
        <f>IF(ISBLANK(Inventory!A32),0,H32*Inventory!L32)</f>
        <v>0</v>
      </c>
    </row>
    <row r="33" spans="1:16" s="29" customFormat="1" ht="15" customHeight="1">
      <c r="A33" s="31" t="str">
        <f>IF(ISBLANK(Inventory!A33),"",Inventory!A33)</f>
        <v>Martell ***</v>
      </c>
      <c r="B33" s="31" t="str">
        <f>IF(ISBLANK(Inventory!A33),"",Inventory!C33)</f>
        <v>70cl</v>
      </c>
      <c r="C33" s="187"/>
      <c r="D33" s="192"/>
      <c r="E33" s="187"/>
      <c r="F33" s="187"/>
      <c r="G33" s="187"/>
      <c r="H33" s="37">
        <f>IF(ISBLANK(Inventory!A33),0,C33+SUM('Week 1'!E33:G33)-SUM(E33:G33))</f>
        <v>0</v>
      </c>
      <c r="I33" s="35" t="str">
        <f>IF(OR(ISBLANK(J33),J33=0),"",Settings!$B$14)</f>
        <v/>
      </c>
      <c r="J33" s="30">
        <f>IF(ISBLANK(C33),0,C33*Inventory!F33)</f>
        <v>0</v>
      </c>
      <c r="K33" s="35" t="str">
        <f>IF(OR(ISBLANK(L33),L33=0),"",Settings!$B$14)</f>
        <v/>
      </c>
      <c r="L33" s="30">
        <f>IF(ISBLANK(Inventory!A33),0,SUM(E33:G33)*Inventory!F33)</f>
        <v>0</v>
      </c>
      <c r="M33" s="35" t="str">
        <f>IF(OR(ISBLANK(N33),N33=0),"",Settings!$B$14)</f>
        <v/>
      </c>
      <c r="N33" s="30">
        <f>IF(ISBLANK(Inventory!A33),0,SUM(E33:G33)*Inventory!L33)</f>
        <v>0</v>
      </c>
      <c r="O33" s="35" t="str">
        <f>IF(OR(ISBLANK(P33),P33=0),"",Settings!$B$14)</f>
        <v/>
      </c>
      <c r="P33" s="30">
        <f>IF(ISBLANK(Inventory!A33),0,H33*Inventory!L33)</f>
        <v>0</v>
      </c>
    </row>
    <row r="34" spans="1:16" s="29" customFormat="1" ht="15" customHeight="1">
      <c r="A34" s="31" t="str">
        <f>IF(ISBLANK(Inventory!A34),"",Inventory!A34)</f>
        <v>Martell ***</v>
      </c>
      <c r="B34" s="31" t="str">
        <f>IF(ISBLANK(Inventory!A34),"",Inventory!C34)</f>
        <v>1.5Ltr</v>
      </c>
      <c r="C34" s="187"/>
      <c r="D34" s="192"/>
      <c r="E34" s="187"/>
      <c r="F34" s="187"/>
      <c r="G34" s="187"/>
      <c r="H34" s="37">
        <f>IF(ISBLANK(Inventory!A34),0,C34+SUM('Week 1'!E34:G34)-SUM(E34:G34))</f>
        <v>0</v>
      </c>
      <c r="I34" s="35" t="str">
        <f>IF(OR(ISBLANK(J34),J34=0),"",Settings!$B$14)</f>
        <v/>
      </c>
      <c r="J34" s="30">
        <f>IF(ISBLANK(C34),0,C34*Inventory!F34)</f>
        <v>0</v>
      </c>
      <c r="K34" s="35" t="str">
        <f>IF(OR(ISBLANK(L34),L34=0),"",Settings!$B$14)</f>
        <v/>
      </c>
      <c r="L34" s="30">
        <f>IF(ISBLANK(Inventory!A34),0,SUM(E34:G34)*Inventory!F34)</f>
        <v>0</v>
      </c>
      <c r="M34" s="35" t="str">
        <f>IF(OR(ISBLANK(N34),N34=0),"",Settings!$B$14)</f>
        <v/>
      </c>
      <c r="N34" s="30">
        <f>IF(ISBLANK(Inventory!A34),0,SUM(E34:G34)*Inventory!L34)</f>
        <v>0</v>
      </c>
      <c r="O34" s="35" t="str">
        <f>IF(OR(ISBLANK(P34),P34=0),"",Settings!$B$14)</f>
        <v/>
      </c>
      <c r="P34" s="30">
        <f>IF(ISBLANK(Inventory!A34),0,H34*Inventory!L34)</f>
        <v>0</v>
      </c>
    </row>
    <row r="35" spans="1:16" s="29" customFormat="1" ht="15" customHeight="1">
      <c r="A35" s="31" t="str">
        <f>IF(ISBLANK(Inventory!A35),"",Inventory!A35)</f>
        <v>Remy Martin</v>
      </c>
      <c r="B35" s="31" t="str">
        <f>IF(ISBLANK(Inventory!A35),"",Inventory!C35)</f>
        <v>70cl</v>
      </c>
      <c r="C35" s="187"/>
      <c r="D35" s="192"/>
      <c r="E35" s="187"/>
      <c r="F35" s="187"/>
      <c r="G35" s="187"/>
      <c r="H35" s="37">
        <f>IF(ISBLANK(Inventory!A35),0,C35+SUM('Week 1'!E35:G35)-SUM(E35:G35))</f>
        <v>0</v>
      </c>
      <c r="I35" s="35" t="str">
        <f>IF(OR(ISBLANK(J35),J35=0),"",Settings!$B$14)</f>
        <v/>
      </c>
      <c r="J35" s="30">
        <f>IF(ISBLANK(C35),0,C35*Inventory!F35)</f>
        <v>0</v>
      </c>
      <c r="K35" s="35" t="str">
        <f>IF(OR(ISBLANK(L35),L35=0),"",Settings!$B$14)</f>
        <v/>
      </c>
      <c r="L35" s="30">
        <f>IF(ISBLANK(Inventory!A35),0,SUM(E35:G35)*Inventory!F35)</f>
        <v>0</v>
      </c>
      <c r="M35" s="35" t="str">
        <f>IF(OR(ISBLANK(N35),N35=0),"",Settings!$B$14)</f>
        <v/>
      </c>
      <c r="N35" s="30">
        <f>IF(ISBLANK(Inventory!A35),0,SUM(E35:G35)*Inventory!L35)</f>
        <v>0</v>
      </c>
      <c r="O35" s="35" t="str">
        <f>IF(OR(ISBLANK(P35),P35=0),"",Settings!$B$14)</f>
        <v/>
      </c>
      <c r="P35" s="30">
        <f>IF(ISBLANK(Inventory!A35),0,H35*Inventory!L35)</f>
        <v>0</v>
      </c>
    </row>
    <row r="36" spans="1:16" s="29" customFormat="1" ht="15" customHeight="1">
      <c r="A36" s="31" t="str">
        <f>IF(ISBLANK(Inventory!A36),"",Inventory!A36)</f>
        <v>Baileys</v>
      </c>
      <c r="B36" s="31" t="str">
        <f>IF(ISBLANK(Inventory!A36),"",Inventory!C36)</f>
        <v>70cl</v>
      </c>
      <c r="C36" s="187"/>
      <c r="D36" s="192"/>
      <c r="E36" s="187"/>
      <c r="F36" s="187"/>
      <c r="G36" s="187"/>
      <c r="H36" s="37">
        <f>IF(ISBLANK(Inventory!A36),0,C36+SUM('Week 1'!E36:G36)-SUM(E36:G36))</f>
        <v>0</v>
      </c>
      <c r="I36" s="35" t="str">
        <f>IF(OR(ISBLANK(J36),J36=0),"",Settings!$B$14)</f>
        <v/>
      </c>
      <c r="J36" s="30">
        <f>IF(ISBLANK(C36),0,C36*Inventory!F36)</f>
        <v>0</v>
      </c>
      <c r="K36" s="35" t="str">
        <f>IF(OR(ISBLANK(L36),L36=0),"",Settings!$B$14)</f>
        <v/>
      </c>
      <c r="L36" s="30">
        <f>IF(ISBLANK(Inventory!A36),0,SUM(E36:G36)*Inventory!F36)</f>
        <v>0</v>
      </c>
      <c r="M36" s="35" t="str">
        <f>IF(OR(ISBLANK(N36),N36=0),"",Settings!$B$14)</f>
        <v/>
      </c>
      <c r="N36" s="30">
        <f>IF(ISBLANK(Inventory!A36),0,SUM(E36:G36)*Inventory!L36)</f>
        <v>0</v>
      </c>
      <c r="O36" s="35" t="str">
        <f>IF(OR(ISBLANK(P36),P36=0),"",Settings!$B$14)</f>
        <v/>
      </c>
      <c r="P36" s="30">
        <f>IF(ISBLANK(Inventory!A36),0,H36*Inventory!L36)</f>
        <v>0</v>
      </c>
    </row>
    <row r="37" spans="1:16" s="29" customFormat="1" ht="15" customHeight="1">
      <c r="A37" s="31" t="str">
        <f>IF(ISBLANK(Inventory!A37),"",Inventory!A37)</f>
        <v>Baileys</v>
      </c>
      <c r="B37" s="31" t="str">
        <f>IF(ISBLANK(Inventory!A37),"",Inventory!C37)</f>
        <v>1.5Ltr</v>
      </c>
      <c r="C37" s="187"/>
      <c r="D37" s="192"/>
      <c r="E37" s="187"/>
      <c r="F37" s="187"/>
      <c r="G37" s="187"/>
      <c r="H37" s="37">
        <f>IF(ISBLANK(Inventory!A37),0,C37+SUM('Week 1'!E37:G37)-SUM(E37:G37))</f>
        <v>0</v>
      </c>
      <c r="I37" s="35" t="str">
        <f>IF(OR(ISBLANK(J37),J37=0),"",Settings!$B$14)</f>
        <v/>
      </c>
      <c r="J37" s="30">
        <f>IF(ISBLANK(C37),0,C37*Inventory!F37)</f>
        <v>0</v>
      </c>
      <c r="K37" s="35" t="str">
        <f>IF(OR(ISBLANK(L37),L37=0),"",Settings!$B$14)</f>
        <v/>
      </c>
      <c r="L37" s="30">
        <f>IF(ISBLANK(Inventory!A37),0,SUM(E37:G37)*Inventory!F37)</f>
        <v>0</v>
      </c>
      <c r="M37" s="35" t="str">
        <f>IF(OR(ISBLANK(N37),N37=0),"",Settings!$B$14)</f>
        <v/>
      </c>
      <c r="N37" s="30">
        <f>IF(ISBLANK(Inventory!A37),0,SUM(E37:G37)*Inventory!L37)</f>
        <v>0</v>
      </c>
      <c r="O37" s="35" t="str">
        <f>IF(OR(ISBLANK(P37),P37=0),"",Settings!$B$14)</f>
        <v/>
      </c>
      <c r="P37" s="30">
        <f>IF(ISBLANK(Inventory!A37),0,H37*Inventory!L37)</f>
        <v>0</v>
      </c>
    </row>
    <row r="38" spans="1:16" s="29" customFormat="1" ht="15" customHeight="1">
      <c r="A38" s="31" t="str">
        <f>IF(ISBLANK(Inventory!A38),"",Inventory!A38)</f>
        <v>Cointreau</v>
      </c>
      <c r="B38" s="31" t="str">
        <f>IF(ISBLANK(Inventory!A38),"",Inventory!C38)</f>
        <v>70cl</v>
      </c>
      <c r="C38" s="187"/>
      <c r="D38" s="192"/>
      <c r="E38" s="187"/>
      <c r="F38" s="187"/>
      <c r="G38" s="187"/>
      <c r="H38" s="37">
        <f>IF(ISBLANK(Inventory!A38),0,C38+SUM('Week 1'!E38:G38)-SUM(E38:G38))</f>
        <v>0</v>
      </c>
      <c r="I38" s="35" t="str">
        <f>IF(OR(ISBLANK(J38),J38=0),"",Settings!$B$14)</f>
        <v/>
      </c>
      <c r="J38" s="30">
        <f>IF(ISBLANK(C38),0,C38*Inventory!F38)</f>
        <v>0</v>
      </c>
      <c r="K38" s="35" t="str">
        <f>IF(OR(ISBLANK(L38),L38=0),"",Settings!$B$14)</f>
        <v/>
      </c>
      <c r="L38" s="30">
        <f>IF(ISBLANK(Inventory!A38),0,SUM(E38:G38)*Inventory!F38)</f>
        <v>0</v>
      </c>
      <c r="M38" s="35" t="str">
        <f>IF(OR(ISBLANK(N38),N38=0),"",Settings!$B$14)</f>
        <v/>
      </c>
      <c r="N38" s="30">
        <f>IF(ISBLANK(Inventory!A38),0,SUM(E38:G38)*Inventory!L38)</f>
        <v>0</v>
      </c>
      <c r="O38" s="35" t="str">
        <f>IF(OR(ISBLANK(P38),P38=0),"",Settings!$B$14)</f>
        <v/>
      </c>
      <c r="P38" s="30">
        <f>IF(ISBLANK(Inventory!A38),0,H38*Inventory!L38)</f>
        <v>0</v>
      </c>
    </row>
    <row r="39" spans="1:16" s="29" customFormat="1" ht="15" customHeight="1">
      <c r="A39" s="31" t="str">
        <f>IF(ISBLANK(Inventory!A39),"",Inventory!A39)</f>
        <v>Drambuie</v>
      </c>
      <c r="B39" s="31" t="str">
        <f>IF(ISBLANK(Inventory!A39),"",Inventory!C39)</f>
        <v>70cl</v>
      </c>
      <c r="C39" s="187"/>
      <c r="D39" s="192"/>
      <c r="E39" s="187"/>
      <c r="F39" s="187"/>
      <c r="G39" s="187"/>
      <c r="H39" s="37">
        <f>IF(ISBLANK(Inventory!A39),0,C39+SUM('Week 1'!E39:G39)-SUM(E39:G39))</f>
        <v>0</v>
      </c>
      <c r="I39" s="35" t="str">
        <f>IF(OR(ISBLANK(J39),J39=0),"",Settings!$B$14)</f>
        <v/>
      </c>
      <c r="J39" s="30">
        <f>IF(ISBLANK(C39),0,C39*Inventory!F39)</f>
        <v>0</v>
      </c>
      <c r="K39" s="35" t="str">
        <f>IF(OR(ISBLANK(L39),L39=0),"",Settings!$B$14)</f>
        <v/>
      </c>
      <c r="L39" s="30">
        <f>IF(ISBLANK(Inventory!A39),0,SUM(E39:G39)*Inventory!F39)</f>
        <v>0</v>
      </c>
      <c r="M39" s="35" t="str">
        <f>IF(OR(ISBLANK(N39),N39=0),"",Settings!$B$14)</f>
        <v/>
      </c>
      <c r="N39" s="30">
        <f>IF(ISBLANK(Inventory!A39),0,SUM(E39:G39)*Inventory!L39)</f>
        <v>0</v>
      </c>
      <c r="O39" s="35" t="str">
        <f>IF(OR(ISBLANK(P39),P39=0),"",Settings!$B$14)</f>
        <v/>
      </c>
      <c r="P39" s="30">
        <f>IF(ISBLANK(Inventory!A39),0,H39*Inventory!L39)</f>
        <v>0</v>
      </c>
    </row>
    <row r="40" spans="1:16" s="29" customFormat="1" ht="15" customHeight="1">
      <c r="A40" s="31" t="str">
        <f>IF(ISBLANK(Inventory!A40),"",Inventory!A40)</f>
        <v>Malibu</v>
      </c>
      <c r="B40" s="31" t="str">
        <f>IF(ISBLANK(Inventory!A40),"",Inventory!C40)</f>
        <v>70cl</v>
      </c>
      <c r="C40" s="187"/>
      <c r="D40" s="192"/>
      <c r="E40" s="187"/>
      <c r="F40" s="187"/>
      <c r="G40" s="187"/>
      <c r="H40" s="37">
        <f>IF(ISBLANK(Inventory!A40),0,C40+SUM('Week 1'!E40:G40)-SUM(E40:G40))</f>
        <v>0</v>
      </c>
      <c r="I40" s="35" t="str">
        <f>IF(OR(ISBLANK(J40),J40=0),"",Settings!$B$14)</f>
        <v/>
      </c>
      <c r="J40" s="30">
        <f>IF(ISBLANK(C40),0,C40*Inventory!F40)</f>
        <v>0</v>
      </c>
      <c r="K40" s="35" t="str">
        <f>IF(OR(ISBLANK(L40),L40=0),"",Settings!$B$14)</f>
        <v/>
      </c>
      <c r="L40" s="30">
        <f>IF(ISBLANK(Inventory!A40),0,SUM(E40:G40)*Inventory!F40)</f>
        <v>0</v>
      </c>
      <c r="M40" s="35" t="str">
        <f>IF(OR(ISBLANK(N40),N40=0),"",Settings!$B$14)</f>
        <v/>
      </c>
      <c r="N40" s="30">
        <f>IF(ISBLANK(Inventory!A40),0,SUM(E40:G40)*Inventory!L40)</f>
        <v>0</v>
      </c>
      <c r="O40" s="35" t="str">
        <f>IF(OR(ISBLANK(P40),P40=0),"",Settings!$B$14)</f>
        <v/>
      </c>
      <c r="P40" s="30">
        <f>IF(ISBLANK(Inventory!A40),0,H40*Inventory!L40)</f>
        <v>0</v>
      </c>
    </row>
    <row r="41" spans="1:16" s="29" customFormat="1" ht="15" customHeight="1">
      <c r="A41" s="31" t="str">
        <f>IF(ISBLANK(Inventory!A41),"",Inventory!A41)</f>
        <v>Malibu</v>
      </c>
      <c r="B41" s="31" t="str">
        <f>IF(ISBLANK(Inventory!A41),"",Inventory!C41)</f>
        <v>1.5Ltr</v>
      </c>
      <c r="C41" s="187"/>
      <c r="D41" s="192"/>
      <c r="E41" s="187"/>
      <c r="F41" s="187"/>
      <c r="G41" s="187"/>
      <c r="H41" s="37">
        <f>IF(ISBLANK(Inventory!A41),0,C41+SUM('Week 1'!E41:G41)-SUM(E41:G41))</f>
        <v>0</v>
      </c>
      <c r="I41" s="35" t="str">
        <f>IF(OR(ISBLANK(J41),J41=0),"",Settings!$B$14)</f>
        <v/>
      </c>
      <c r="J41" s="30">
        <f>IF(ISBLANK(C41),0,C41*Inventory!F41)</f>
        <v>0</v>
      </c>
      <c r="K41" s="35" t="str">
        <f>IF(OR(ISBLANK(L41),L41=0),"",Settings!$B$14)</f>
        <v/>
      </c>
      <c r="L41" s="30">
        <f>IF(ISBLANK(Inventory!A41),0,SUM(E41:G41)*Inventory!F41)</f>
        <v>0</v>
      </c>
      <c r="M41" s="35" t="str">
        <f>IF(OR(ISBLANK(N41),N41=0),"",Settings!$B$14)</f>
        <v/>
      </c>
      <c r="N41" s="30">
        <f>IF(ISBLANK(Inventory!A41),0,SUM(E41:G41)*Inventory!L41)</f>
        <v>0</v>
      </c>
      <c r="O41" s="35" t="str">
        <f>IF(OR(ISBLANK(P41),P41=0),"",Settings!$B$14)</f>
        <v/>
      </c>
      <c r="P41" s="30">
        <f>IF(ISBLANK(Inventory!A41),0,H41*Inventory!L41)</f>
        <v>0</v>
      </c>
    </row>
    <row r="42" spans="1:16" s="29" customFormat="1" ht="15" customHeight="1">
      <c r="A42" s="31" t="str">
        <f>IF(ISBLANK(Inventory!A42),"",Inventory!A42)</f>
        <v>Archers</v>
      </c>
      <c r="B42" s="31" t="str">
        <f>IF(ISBLANK(Inventory!A42),"",Inventory!C42)</f>
        <v>70cl</v>
      </c>
      <c r="C42" s="187"/>
      <c r="D42" s="192"/>
      <c r="E42" s="187"/>
      <c r="F42" s="187"/>
      <c r="G42" s="187"/>
      <c r="H42" s="37">
        <f>IF(ISBLANK(Inventory!A42),0,C42+SUM('Week 1'!E42:G42)-SUM(E42:G42))</f>
        <v>0</v>
      </c>
      <c r="I42" s="35" t="str">
        <f>IF(OR(ISBLANK(J42),J42=0),"",Settings!$B$14)</f>
        <v/>
      </c>
      <c r="J42" s="30">
        <f>IF(ISBLANK(C42),0,C42*Inventory!F42)</f>
        <v>0</v>
      </c>
      <c r="K42" s="35" t="str">
        <f>IF(OR(ISBLANK(L42),L42=0),"",Settings!$B$14)</f>
        <v/>
      </c>
      <c r="L42" s="30">
        <f>IF(ISBLANK(Inventory!A42),0,SUM(E42:G42)*Inventory!F42)</f>
        <v>0</v>
      </c>
      <c r="M42" s="35" t="str">
        <f>IF(OR(ISBLANK(N42),N42=0),"",Settings!$B$14)</f>
        <v/>
      </c>
      <c r="N42" s="30">
        <f>IF(ISBLANK(Inventory!A42),0,SUM(E42:G42)*Inventory!L42)</f>
        <v>0</v>
      </c>
      <c r="O42" s="35" t="str">
        <f>IF(OR(ISBLANK(P42),P42=0),"",Settings!$B$14)</f>
        <v/>
      </c>
      <c r="P42" s="30">
        <f>IF(ISBLANK(Inventory!A42),0,H42*Inventory!L42)</f>
        <v>0</v>
      </c>
    </row>
    <row r="43" spans="1:16" s="29" customFormat="1" ht="15" customHeight="1">
      <c r="A43" s="31" t="str">
        <f>IF(ISBLANK(Inventory!A43),"",Inventory!A43)</f>
        <v>Archers</v>
      </c>
      <c r="B43" s="31" t="str">
        <f>IF(ISBLANK(Inventory!A43),"",Inventory!C43)</f>
        <v>70cl</v>
      </c>
      <c r="C43" s="187"/>
      <c r="D43" s="192"/>
      <c r="E43" s="187"/>
      <c r="F43" s="187"/>
      <c r="G43" s="187"/>
      <c r="H43" s="37">
        <f>IF(ISBLANK(Inventory!A43),0,C43+SUM('Week 1'!E43:G43)-SUM(E43:G43))</f>
        <v>0</v>
      </c>
      <c r="I43" s="35" t="str">
        <f>IF(OR(ISBLANK(J43),J43=0),"",Settings!$B$14)</f>
        <v/>
      </c>
      <c r="J43" s="30">
        <f>IF(ISBLANK(C43),0,C43*Inventory!F43)</f>
        <v>0</v>
      </c>
      <c r="K43" s="35" t="str">
        <f>IF(OR(ISBLANK(L43),L43=0),"",Settings!$B$14)</f>
        <v/>
      </c>
      <c r="L43" s="30">
        <f>IF(ISBLANK(Inventory!A43),0,SUM(E43:G43)*Inventory!F43)</f>
        <v>0</v>
      </c>
      <c r="M43" s="35" t="str">
        <f>IF(OR(ISBLANK(N43),N43=0),"",Settings!$B$14)</f>
        <v/>
      </c>
      <c r="N43" s="30">
        <f>IF(ISBLANK(Inventory!A43),0,SUM(E43:G43)*Inventory!L43)</f>
        <v>0</v>
      </c>
      <c r="O43" s="35" t="str">
        <f>IF(OR(ISBLANK(P43),P43=0),"",Settings!$B$14)</f>
        <v/>
      </c>
      <c r="P43" s="30">
        <f>IF(ISBLANK(Inventory!A43),0,H43*Inventory!L43)</f>
        <v>0</v>
      </c>
    </row>
    <row r="44" spans="1:16" s="29" customFormat="1" ht="15" customHeight="1">
      <c r="A44" s="31" t="str">
        <f>IF(ISBLANK(Inventory!A44),"",Inventory!A44)</f>
        <v>Tequila</v>
      </c>
      <c r="B44" s="31" t="str">
        <f>IF(ISBLANK(Inventory!A44),"",Inventory!C44)</f>
        <v>70cl</v>
      </c>
      <c r="C44" s="187"/>
      <c r="D44" s="192"/>
      <c r="E44" s="187"/>
      <c r="F44" s="187"/>
      <c r="G44" s="187"/>
      <c r="H44" s="37">
        <f>IF(ISBLANK(Inventory!A44),0,C44+SUM('Week 1'!E44:G44)-SUM(E44:G44))</f>
        <v>0</v>
      </c>
      <c r="I44" s="35" t="str">
        <f>IF(OR(ISBLANK(J44),J44=0),"",Settings!$B$14)</f>
        <v/>
      </c>
      <c r="J44" s="30">
        <f>IF(ISBLANK(C44),0,C44*Inventory!F44)</f>
        <v>0</v>
      </c>
      <c r="K44" s="35" t="str">
        <f>IF(OR(ISBLANK(L44),L44=0),"",Settings!$B$14)</f>
        <v/>
      </c>
      <c r="L44" s="30">
        <f>IF(ISBLANK(Inventory!A44),0,SUM(E44:G44)*Inventory!F44)</f>
        <v>0</v>
      </c>
      <c r="M44" s="35" t="str">
        <f>IF(OR(ISBLANK(N44),N44=0),"",Settings!$B$14)</f>
        <v/>
      </c>
      <c r="N44" s="30">
        <f>IF(ISBLANK(Inventory!A44),0,SUM(E44:G44)*Inventory!L44)</f>
        <v>0</v>
      </c>
      <c r="O44" s="35" t="str">
        <f>IF(OR(ISBLANK(P44),P44=0),"",Settings!$B$14)</f>
        <v/>
      </c>
      <c r="P44" s="30">
        <f>IF(ISBLANK(Inventory!A44),0,H44*Inventory!L44)</f>
        <v>0</v>
      </c>
    </row>
    <row r="45" spans="1:16" s="29" customFormat="1" ht="15" customHeight="1">
      <c r="A45" s="31" t="str">
        <f>IF(ISBLANK(Inventory!A45),"",Inventory!A45)</f>
        <v>Luxardo Sambuca</v>
      </c>
      <c r="B45" s="31" t="str">
        <f>IF(ISBLANK(Inventory!A45),"",Inventory!C45)</f>
        <v>70cl</v>
      </c>
      <c r="C45" s="187"/>
      <c r="D45" s="192"/>
      <c r="E45" s="187"/>
      <c r="F45" s="187"/>
      <c r="G45" s="187"/>
      <c r="H45" s="37">
        <f>IF(ISBLANK(Inventory!A45),0,C45+SUM('Week 1'!E45:G45)-SUM(E45:G45))</f>
        <v>0</v>
      </c>
      <c r="I45" s="35" t="str">
        <f>IF(OR(ISBLANK(J45),J45=0),"",Settings!$B$14)</f>
        <v/>
      </c>
      <c r="J45" s="30">
        <f>IF(ISBLANK(C45),0,C45*Inventory!F45)</f>
        <v>0</v>
      </c>
      <c r="K45" s="35" t="str">
        <f>IF(OR(ISBLANK(L45),L45=0),"",Settings!$B$14)</f>
        <v/>
      </c>
      <c r="L45" s="30">
        <f>IF(ISBLANK(Inventory!A45),0,SUM(E45:G45)*Inventory!F45)</f>
        <v>0</v>
      </c>
      <c r="M45" s="35" t="str">
        <f>IF(OR(ISBLANK(N45),N45=0),"",Settings!$B$14)</f>
        <v/>
      </c>
      <c r="N45" s="30">
        <f>IF(ISBLANK(Inventory!A45),0,SUM(E45:G45)*Inventory!L45)</f>
        <v>0</v>
      </c>
      <c r="O45" s="35" t="str">
        <f>IF(OR(ISBLANK(P45),P45=0),"",Settings!$B$14)</f>
        <v/>
      </c>
      <c r="P45" s="30">
        <f>IF(ISBLANK(Inventory!A45),0,H45*Inventory!L45)</f>
        <v>0</v>
      </c>
    </row>
    <row r="46" spans="1:16" s="29" customFormat="1" ht="15" customHeight="1">
      <c r="A46" s="31" t="str">
        <f>IF(ISBLANK(Inventory!A46),"",Inventory!A46)</f>
        <v>Tia Maria</v>
      </c>
      <c r="B46" s="31" t="str">
        <f>IF(ISBLANK(Inventory!A46),"",Inventory!C46)</f>
        <v>70cl</v>
      </c>
      <c r="C46" s="187"/>
      <c r="D46" s="192"/>
      <c r="E46" s="187"/>
      <c r="F46" s="187"/>
      <c r="G46" s="187"/>
      <c r="H46" s="37">
        <f>IF(ISBLANK(Inventory!A46),0,C46+SUM('Week 1'!E46:G46)-SUM(E46:G46))</f>
        <v>0</v>
      </c>
      <c r="I46" s="35" t="str">
        <f>IF(OR(ISBLANK(J46),J46=0),"",Settings!$B$14)</f>
        <v/>
      </c>
      <c r="J46" s="30">
        <f>IF(ISBLANK(C46),0,C46*Inventory!F46)</f>
        <v>0</v>
      </c>
      <c r="K46" s="35" t="str">
        <f>IF(OR(ISBLANK(L46),L46=0),"",Settings!$B$14)</f>
        <v/>
      </c>
      <c r="L46" s="30">
        <f>IF(ISBLANK(Inventory!A46),0,SUM(E46:G46)*Inventory!F46)</f>
        <v>0</v>
      </c>
      <c r="M46" s="35" t="str">
        <f>IF(OR(ISBLANK(N46),N46=0),"",Settings!$B$14)</f>
        <v/>
      </c>
      <c r="N46" s="30">
        <f>IF(ISBLANK(Inventory!A46),0,SUM(E46:G46)*Inventory!L46)</f>
        <v>0</v>
      </c>
      <c r="O46" s="35" t="str">
        <f>IF(OR(ISBLANK(P46),P46=0),"",Settings!$B$14)</f>
        <v/>
      </c>
      <c r="P46" s="30">
        <f>IF(ISBLANK(Inventory!A46),0,H46*Inventory!L46)</f>
        <v>0</v>
      </c>
    </row>
    <row r="47" spans="1:16" s="29" customFormat="1" ht="15" customHeight="1">
      <c r="A47" s="31" t="str">
        <f>IF(ISBLANK(Inventory!A47),"",Inventory!A47)</f>
        <v>Tia Maria</v>
      </c>
      <c r="B47" s="31" t="str">
        <f>IF(ISBLANK(Inventory!A47),"",Inventory!C47)</f>
        <v>1.5ltr</v>
      </c>
      <c r="C47" s="187"/>
      <c r="D47" s="192"/>
      <c r="E47" s="187"/>
      <c r="F47" s="187"/>
      <c r="G47" s="187"/>
      <c r="H47" s="37">
        <f>IF(ISBLANK(Inventory!A47),0,C47+SUM('Week 1'!E47:G47)-SUM(E47:G47))</f>
        <v>0</v>
      </c>
      <c r="I47" s="35" t="str">
        <f>IF(OR(ISBLANK(J47),J47=0),"",Settings!$B$14)</f>
        <v/>
      </c>
      <c r="J47" s="30">
        <f>IF(ISBLANK(C47),0,C47*Inventory!F47)</f>
        <v>0</v>
      </c>
      <c r="K47" s="35" t="str">
        <f>IF(OR(ISBLANK(L47),L47=0),"",Settings!$B$14)</f>
        <v/>
      </c>
      <c r="L47" s="30">
        <f>IF(ISBLANK(Inventory!A47),0,SUM(E47:G47)*Inventory!F47)</f>
        <v>0</v>
      </c>
      <c r="M47" s="35" t="str">
        <f>IF(OR(ISBLANK(N47),N47=0),"",Settings!$B$14)</f>
        <v/>
      </c>
      <c r="N47" s="30">
        <f>IF(ISBLANK(Inventory!A47),0,SUM(E47:G47)*Inventory!L47)</f>
        <v>0</v>
      </c>
      <c r="O47" s="35" t="str">
        <f>IF(OR(ISBLANK(P47),P47=0),"",Settings!$B$14)</f>
        <v/>
      </c>
      <c r="P47" s="30">
        <f>IF(ISBLANK(Inventory!A47),0,H47*Inventory!L47)</f>
        <v>0</v>
      </c>
    </row>
    <row r="48" spans="1:16" s="29" customFormat="1" ht="15" customHeight="1">
      <c r="A48" s="31" t="str">
        <f>IF(ISBLANK(Inventory!A48),"",Inventory!A48)</f>
        <v/>
      </c>
      <c r="B48" s="31" t="str">
        <f>IF(ISBLANK(Inventory!A48),"",Inventory!C48)</f>
        <v/>
      </c>
      <c r="C48" s="187"/>
      <c r="D48" s="192"/>
      <c r="E48" s="187"/>
      <c r="F48" s="187"/>
      <c r="G48" s="187"/>
      <c r="H48" s="37">
        <f>IF(ISBLANK(Inventory!A48),0,C48+SUM('Week 1'!E48:G48)-SUM(E48:G48))</f>
        <v>0</v>
      </c>
      <c r="I48" s="35" t="str">
        <f>IF(OR(ISBLANK(J48),J48=0),"",Settings!$B$14)</f>
        <v/>
      </c>
      <c r="J48" s="30">
        <f>IF(ISBLANK(C48),0,C48*Inventory!F48)</f>
        <v>0</v>
      </c>
      <c r="K48" s="35" t="str">
        <f>IF(OR(ISBLANK(L48),L48=0),"",Settings!$B$14)</f>
        <v/>
      </c>
      <c r="L48" s="30">
        <f>IF(ISBLANK(Inventory!A48),0,SUM(E48:G48)*Inventory!F48)</f>
        <v>0</v>
      </c>
      <c r="M48" s="35" t="str">
        <f>IF(OR(ISBLANK(N48),N48=0),"",Settings!$B$14)</f>
        <v/>
      </c>
      <c r="N48" s="30">
        <f>IF(ISBLANK(Inventory!A48),0,SUM(E48:G48)*Inventory!L48)</f>
        <v>0</v>
      </c>
      <c r="O48" s="35" t="str">
        <f>IF(OR(ISBLANK(P48),P48=0),"",Settings!$B$14)</f>
        <v/>
      </c>
      <c r="P48" s="30">
        <f>IF(ISBLANK(Inventory!A48),0,H48*Inventory!L48)</f>
        <v>0</v>
      </c>
    </row>
    <row r="49" spans="1:16" s="29" customFormat="1" ht="15" customHeight="1">
      <c r="A49" s="31" t="str">
        <f>IF(ISBLANK(Inventory!A49),"",Inventory!A49)</f>
        <v/>
      </c>
      <c r="B49" s="31" t="str">
        <f>IF(ISBLANK(Inventory!A49),"",Inventory!C49)</f>
        <v/>
      </c>
      <c r="C49" s="187"/>
      <c r="D49" s="192"/>
      <c r="E49" s="187"/>
      <c r="F49" s="187"/>
      <c r="G49" s="187"/>
      <c r="H49" s="37">
        <f>IF(ISBLANK(Inventory!A49),0,C49+SUM('Week 1'!E49:G49)-SUM(E49:G49))</f>
        <v>0</v>
      </c>
      <c r="I49" s="35" t="str">
        <f>IF(OR(ISBLANK(J49),J49=0),"",Settings!$B$14)</f>
        <v/>
      </c>
      <c r="J49" s="30">
        <f>IF(ISBLANK(C49),0,C49*Inventory!F49)</f>
        <v>0</v>
      </c>
      <c r="K49" s="35" t="str">
        <f>IF(OR(ISBLANK(L49),L49=0),"",Settings!$B$14)</f>
        <v/>
      </c>
      <c r="L49" s="30">
        <f>IF(ISBLANK(Inventory!A49),0,SUM(E49:G49)*Inventory!F49)</f>
        <v>0</v>
      </c>
      <c r="M49" s="35" t="str">
        <f>IF(OR(ISBLANK(N49),N49=0),"",Settings!$B$14)</f>
        <v/>
      </c>
      <c r="N49" s="30">
        <f>IF(ISBLANK(Inventory!A49),0,SUM(E49:G49)*Inventory!L49)</f>
        <v>0</v>
      </c>
      <c r="O49" s="35" t="str">
        <f>IF(OR(ISBLANK(P49),P49=0),"",Settings!$B$14)</f>
        <v/>
      </c>
      <c r="P49" s="30">
        <f>IF(ISBLANK(Inventory!A49),0,H49*Inventory!L49)</f>
        <v>0</v>
      </c>
    </row>
    <row r="50" spans="1:16" s="29" customFormat="1" ht="15" customHeight="1">
      <c r="A50" s="31" t="str">
        <f>IF(ISBLANK(Inventory!A50),"",Inventory!A50)</f>
        <v/>
      </c>
      <c r="B50" s="31" t="str">
        <f>IF(ISBLANK(Inventory!A50),"",Inventory!C50)</f>
        <v/>
      </c>
      <c r="C50" s="187"/>
      <c r="D50" s="192"/>
      <c r="E50" s="187"/>
      <c r="F50" s="187"/>
      <c r="G50" s="187"/>
      <c r="H50" s="37">
        <f>IF(ISBLANK(Inventory!A50),0,C50+SUM('Week 1'!E50:G50)-SUM(E50:G50))</f>
        <v>0</v>
      </c>
      <c r="I50" s="35" t="str">
        <f>IF(OR(ISBLANK(J50),J50=0),"",Settings!$B$14)</f>
        <v/>
      </c>
      <c r="J50" s="30">
        <f>IF(ISBLANK(C50),0,C50*Inventory!F50)</f>
        <v>0</v>
      </c>
      <c r="K50" s="35" t="str">
        <f>IF(OR(ISBLANK(L50),L50=0),"",Settings!$B$14)</f>
        <v/>
      </c>
      <c r="L50" s="30">
        <f>IF(ISBLANK(Inventory!A50),0,SUM(E50:G50)*Inventory!F50)</f>
        <v>0</v>
      </c>
      <c r="M50" s="35" t="str">
        <f>IF(OR(ISBLANK(N50),N50=0),"",Settings!$B$14)</f>
        <v/>
      </c>
      <c r="N50" s="30">
        <f>IF(ISBLANK(Inventory!A50),0,SUM(E50:G50)*Inventory!L50)</f>
        <v>0</v>
      </c>
      <c r="O50" s="35" t="str">
        <f>IF(OR(ISBLANK(P50),P50=0),"",Settings!$B$14)</f>
        <v/>
      </c>
      <c r="P50" s="30">
        <f>IF(ISBLANK(Inventory!A50),0,H50*Inventory!L50)</f>
        <v>0</v>
      </c>
    </row>
    <row r="51" spans="1:16" s="29" customFormat="1" ht="15" customHeight="1">
      <c r="A51" s="31" t="str">
        <f>IF(ISBLANK(Inventory!A51),"",Inventory!A51)</f>
        <v/>
      </c>
      <c r="B51" s="31" t="str">
        <f>IF(ISBLANK(Inventory!A51),"",Inventory!C51)</f>
        <v/>
      </c>
      <c r="C51" s="187"/>
      <c r="D51" s="192"/>
      <c r="E51" s="187"/>
      <c r="F51" s="187"/>
      <c r="G51" s="187"/>
      <c r="H51" s="37">
        <f>IF(ISBLANK(Inventory!A51),0,C51+SUM('Week 1'!E51:G51)-SUM(E51:G51))</f>
        <v>0</v>
      </c>
      <c r="I51" s="35" t="str">
        <f>IF(OR(ISBLANK(J51),J51=0),"",Settings!$B$14)</f>
        <v/>
      </c>
      <c r="J51" s="30">
        <f>IF(ISBLANK(C51),0,C51*Inventory!F51)</f>
        <v>0</v>
      </c>
      <c r="K51" s="35" t="str">
        <f>IF(OR(ISBLANK(L51),L51=0),"",Settings!$B$14)</f>
        <v/>
      </c>
      <c r="L51" s="30">
        <f>IF(ISBLANK(Inventory!A51),0,SUM(E51:G51)*Inventory!F51)</f>
        <v>0</v>
      </c>
      <c r="M51" s="35" t="str">
        <f>IF(OR(ISBLANK(N51),N51=0),"",Settings!$B$14)</f>
        <v/>
      </c>
      <c r="N51" s="30">
        <f>IF(ISBLANK(Inventory!A51),0,SUM(E51:G51)*Inventory!L51)</f>
        <v>0</v>
      </c>
      <c r="O51" s="35" t="str">
        <f>IF(OR(ISBLANK(P51),P51=0),"",Settings!$B$14)</f>
        <v/>
      </c>
      <c r="P51" s="30">
        <f>IF(ISBLANK(Inventory!A51),0,H51*Inventory!L51)</f>
        <v>0</v>
      </c>
    </row>
    <row r="52" spans="1:16" s="29" customFormat="1" ht="15" customHeight="1">
      <c r="A52" s="31" t="str">
        <f>IF(ISBLANK(Inventory!A52),"",Inventory!A52)</f>
        <v/>
      </c>
      <c r="B52" s="31" t="str">
        <f>IF(ISBLANK(Inventory!A52),"",Inventory!C52)</f>
        <v/>
      </c>
      <c r="C52" s="187"/>
      <c r="D52" s="192"/>
      <c r="E52" s="187"/>
      <c r="F52" s="187"/>
      <c r="G52" s="187"/>
      <c r="H52" s="37">
        <f>IF(ISBLANK(Inventory!A52),0,C52+SUM('Week 1'!E52:G52)-SUM(E52:G52))</f>
        <v>0</v>
      </c>
      <c r="I52" s="35" t="str">
        <f>IF(OR(ISBLANK(J52),J52=0),"",Settings!$B$14)</f>
        <v/>
      </c>
      <c r="J52" s="30">
        <f>IF(ISBLANK(C52),0,C52*Inventory!F52)</f>
        <v>0</v>
      </c>
      <c r="K52" s="35" t="str">
        <f>IF(OR(ISBLANK(L52),L52=0),"",Settings!$B$14)</f>
        <v/>
      </c>
      <c r="L52" s="30">
        <f>IF(ISBLANK(Inventory!A52),0,SUM(E52:G52)*Inventory!F52)</f>
        <v>0</v>
      </c>
      <c r="M52" s="35" t="str">
        <f>IF(OR(ISBLANK(N52),N52=0),"",Settings!$B$14)</f>
        <v/>
      </c>
      <c r="N52" s="30">
        <f>IF(ISBLANK(Inventory!A52),0,SUM(E52:G52)*Inventory!L52)</f>
        <v>0</v>
      </c>
      <c r="O52" s="35" t="str">
        <f>IF(OR(ISBLANK(P52),P52=0),"",Settings!$B$14)</f>
        <v/>
      </c>
      <c r="P52" s="30">
        <f>IF(ISBLANK(Inventory!A52),0,H52*Inventory!L52)</f>
        <v>0</v>
      </c>
    </row>
    <row r="53" spans="1:16" s="29" customFormat="1" ht="15" customHeight="1">
      <c r="A53" s="31" t="str">
        <f>IF(ISBLANK(Inventory!A53),"",Inventory!A53)</f>
        <v/>
      </c>
      <c r="B53" s="31" t="str">
        <f>IF(ISBLANK(Inventory!A53),"",Inventory!C53)</f>
        <v/>
      </c>
      <c r="C53" s="187"/>
      <c r="D53" s="192"/>
      <c r="E53" s="187"/>
      <c r="F53" s="187"/>
      <c r="G53" s="187"/>
      <c r="H53" s="37">
        <f>IF(ISBLANK(Inventory!A53),0,C53+SUM('Week 1'!E53:G53)-SUM(E53:G53))</f>
        <v>0</v>
      </c>
      <c r="I53" s="35" t="str">
        <f>IF(OR(ISBLANK(J53),J53=0),"",Settings!$B$14)</f>
        <v/>
      </c>
      <c r="J53" s="30">
        <f>IF(ISBLANK(C53),0,C53*Inventory!F53)</f>
        <v>0</v>
      </c>
      <c r="K53" s="35" t="str">
        <f>IF(OR(ISBLANK(L53),L53=0),"",Settings!$B$14)</f>
        <v/>
      </c>
      <c r="L53" s="30">
        <f>IF(ISBLANK(Inventory!A53),0,SUM(E53:G53)*Inventory!F53)</f>
        <v>0</v>
      </c>
      <c r="M53" s="35" t="str">
        <f>IF(OR(ISBLANK(N53),N53=0),"",Settings!$B$14)</f>
        <v/>
      </c>
      <c r="N53" s="30">
        <f>IF(ISBLANK(Inventory!A53),0,SUM(E53:G53)*Inventory!L53)</f>
        <v>0</v>
      </c>
      <c r="O53" s="35" t="str">
        <f>IF(OR(ISBLANK(P53),P53=0),"",Settings!$B$14)</f>
        <v/>
      </c>
      <c r="P53" s="30">
        <f>IF(ISBLANK(Inventory!A53),0,H53*Inventory!L53)</f>
        <v>0</v>
      </c>
    </row>
    <row r="54" spans="1:16" s="29" customFormat="1" ht="15" customHeight="1">
      <c r="A54" s="31" t="str">
        <f>IF(ISBLANK(Inventory!A54),"",Inventory!A54)</f>
        <v/>
      </c>
      <c r="B54" s="31" t="str">
        <f>IF(ISBLANK(Inventory!A54),"",Inventory!C54)</f>
        <v/>
      </c>
      <c r="C54" s="187"/>
      <c r="D54" s="192"/>
      <c r="E54" s="187"/>
      <c r="F54" s="187"/>
      <c r="G54" s="187"/>
      <c r="H54" s="37">
        <f>IF(ISBLANK(Inventory!A54),0,C54+SUM('Week 1'!E54:G54)-SUM(E54:G54))</f>
        <v>0</v>
      </c>
      <c r="I54" s="35" t="str">
        <f>IF(OR(ISBLANK(J54),J54=0),"",Settings!$B$14)</f>
        <v/>
      </c>
      <c r="J54" s="30">
        <f>IF(ISBLANK(C54),0,C54*Inventory!F54)</f>
        <v>0</v>
      </c>
      <c r="K54" s="35" t="str">
        <f>IF(OR(ISBLANK(L54),L54=0),"",Settings!$B$14)</f>
        <v/>
      </c>
      <c r="L54" s="30">
        <f>IF(ISBLANK(Inventory!A54),0,SUM(E54:G54)*Inventory!F54)</f>
        <v>0</v>
      </c>
      <c r="M54" s="35" t="str">
        <f>IF(OR(ISBLANK(N54),N54=0),"",Settings!$B$14)</f>
        <v/>
      </c>
      <c r="N54" s="30">
        <f>IF(ISBLANK(Inventory!A54),0,SUM(E54:G54)*Inventory!L54)</f>
        <v>0</v>
      </c>
      <c r="O54" s="35" t="str">
        <f>IF(OR(ISBLANK(P54),P54=0),"",Settings!$B$14)</f>
        <v/>
      </c>
      <c r="P54" s="30">
        <f>IF(ISBLANK(Inventory!A54),0,H54*Inventory!L54)</f>
        <v>0</v>
      </c>
    </row>
    <row r="55" spans="1:16" s="29" customFormat="1" ht="15" customHeight="1">
      <c r="A55" s="31" t="str">
        <f>IF(ISBLANK(Inventory!A55),"",Inventory!A55)</f>
        <v/>
      </c>
      <c r="B55" s="31" t="str">
        <f>IF(ISBLANK(Inventory!A55),"",Inventory!C55)</f>
        <v/>
      </c>
      <c r="C55" s="187"/>
      <c r="D55" s="192"/>
      <c r="E55" s="187"/>
      <c r="F55" s="187"/>
      <c r="G55" s="187"/>
      <c r="H55" s="37">
        <f>IF(ISBLANK(Inventory!A55),0,C55+SUM('Week 1'!E55:G55)-SUM(E55:G55))</f>
        <v>0</v>
      </c>
      <c r="I55" s="35" t="str">
        <f>IF(OR(ISBLANK(J55),J55=0),"",Settings!$B$14)</f>
        <v/>
      </c>
      <c r="J55" s="30">
        <f>IF(ISBLANK(C55),0,C55*Inventory!F55)</f>
        <v>0</v>
      </c>
      <c r="K55" s="35" t="str">
        <f>IF(OR(ISBLANK(L55),L55=0),"",Settings!$B$14)</f>
        <v/>
      </c>
      <c r="L55" s="30">
        <f>IF(ISBLANK(Inventory!A55),0,SUM(E55:G55)*Inventory!F55)</f>
        <v>0</v>
      </c>
      <c r="M55" s="35" t="str">
        <f>IF(OR(ISBLANK(N55),N55=0),"",Settings!$B$14)</f>
        <v/>
      </c>
      <c r="N55" s="30">
        <f>IF(ISBLANK(Inventory!A55),0,SUM(E55:G55)*Inventory!L55)</f>
        <v>0</v>
      </c>
      <c r="O55" s="35" t="str">
        <f>IF(OR(ISBLANK(P55),P55=0),"",Settings!$B$14)</f>
        <v/>
      </c>
      <c r="P55" s="30">
        <f>IF(ISBLANK(Inventory!A55),0,H55*Inventory!L55)</f>
        <v>0</v>
      </c>
    </row>
    <row r="56" spans="1:16" ht="6.95" customHeight="1">
      <c r="A56" s="24"/>
      <c r="B56" s="24"/>
      <c r="C56" s="69"/>
      <c r="D56" s="69"/>
      <c r="E56" s="69"/>
      <c r="F56" s="69"/>
      <c r="G56" s="69"/>
      <c r="H56" s="69"/>
      <c r="I56" s="69"/>
      <c r="J56" s="69"/>
      <c r="K56" s="69"/>
      <c r="L56" s="25"/>
      <c r="M56" s="62"/>
      <c r="N56" s="160"/>
      <c r="O56" s="25"/>
      <c r="P56" s="160"/>
    </row>
    <row r="57" spans="1:16" s="50" customFormat="1" ht="18" customHeight="1" thickBot="1">
      <c r="A57" s="78" t="str">
        <f>Inventory!A57</f>
        <v>FORTIFIED WINES</v>
      </c>
      <c r="B57" s="78" t="str">
        <f>Inventory!C57</f>
        <v>VOLUME</v>
      </c>
      <c r="C57" s="22" t="s">
        <v>187</v>
      </c>
      <c r="D57" s="22"/>
      <c r="E57" s="22" t="s">
        <v>101</v>
      </c>
      <c r="F57" s="22" t="s">
        <v>102</v>
      </c>
      <c r="G57" s="23" t="s">
        <v>108</v>
      </c>
      <c r="H57" s="79" t="s">
        <v>119</v>
      </c>
      <c r="I57" s="253" t="s">
        <v>190</v>
      </c>
      <c r="J57" s="253"/>
      <c r="K57" s="235" t="s">
        <v>30</v>
      </c>
      <c r="L57" s="235"/>
      <c r="M57" s="235" t="s">
        <v>31</v>
      </c>
      <c r="N57" s="235"/>
      <c r="O57" s="235" t="s">
        <v>189</v>
      </c>
      <c r="P57" s="235"/>
    </row>
    <row r="58" spans="1:16" ht="6.95" customHeight="1" thickTop="1">
      <c r="A58" s="193"/>
      <c r="B58" s="194"/>
      <c r="C58" s="71"/>
      <c r="D58" s="71"/>
      <c r="E58" s="67"/>
      <c r="F58" s="67"/>
      <c r="G58" s="71"/>
      <c r="H58" s="71"/>
      <c r="I58" s="71"/>
      <c r="J58" s="71"/>
      <c r="K58" s="71"/>
      <c r="L58" s="67"/>
      <c r="M58" s="62"/>
      <c r="N58" s="67"/>
      <c r="O58" s="67"/>
      <c r="P58" s="67"/>
    </row>
    <row r="59" spans="1:16" s="29" customFormat="1" ht="15" customHeight="1">
      <c r="A59" s="31" t="str">
        <f>IF(ISBLANK(Inventory!A59),"",Inventory!A59)</f>
        <v>Cinzano Bianco</v>
      </c>
      <c r="B59" s="31" t="str">
        <f>IF(ISBLANK(Inventory!A59),"",Inventory!C59)</f>
        <v>75cl</v>
      </c>
      <c r="C59" s="187"/>
      <c r="D59" s="192"/>
      <c r="E59" s="187">
        <v>2</v>
      </c>
      <c r="F59" s="187">
        <v>0.5</v>
      </c>
      <c r="G59" s="187"/>
      <c r="H59" s="37">
        <f>IF(ISBLANK(Inventory!A59),0,C59+SUM('Week 1'!E59:G59)-SUM(E59:G59))</f>
        <v>0</v>
      </c>
      <c r="I59" s="35" t="str">
        <f>IF(OR(ISBLANK(J59),J59=0),"",Settings!$B$14)</f>
        <v/>
      </c>
      <c r="J59" s="30">
        <f>IF(ISBLANK(C59),0,C59*Inventory!F59)</f>
        <v>0</v>
      </c>
      <c r="K59" s="35" t="str">
        <f>IF(OR(ISBLANK(L59),L59=0),"",Settings!$B$14)</f>
        <v>$</v>
      </c>
      <c r="L59" s="30">
        <f>IF(ISBLANK(Inventory!A59),0,SUM(E59:G59)*Inventory!F59)</f>
        <v>33.6</v>
      </c>
      <c r="M59" s="35" t="str">
        <f>IF(OR(ISBLANK(N59),N59=0),"",Settings!$B$14)</f>
        <v>$</v>
      </c>
      <c r="N59" s="30">
        <f>IF(ISBLANK(Inventory!A59),0,SUM(E59:G59)*Inventory!L59)</f>
        <v>70.875</v>
      </c>
      <c r="O59" s="35" t="str">
        <f>IF(OR(ISBLANK(P59),P59=0),"",Settings!$B$14)</f>
        <v/>
      </c>
      <c r="P59" s="30">
        <f>IF(ISBLANK(Inventory!A59),0,H59*Inventory!L59)</f>
        <v>0</v>
      </c>
    </row>
    <row r="60" spans="1:16" s="29" customFormat="1" ht="15" customHeight="1">
      <c r="A60" s="31" t="str">
        <f>IF(ISBLANK(Inventory!A60),"",Inventory!A60)</f>
        <v>Martini Dry</v>
      </c>
      <c r="B60" s="31" t="str">
        <f>IF(ISBLANK(Inventory!A60),"",Inventory!C60)</f>
        <v>75cl</v>
      </c>
      <c r="C60" s="187"/>
      <c r="D60" s="192"/>
      <c r="E60" s="187"/>
      <c r="F60" s="187"/>
      <c r="G60" s="187"/>
      <c r="H60" s="37">
        <f>IF(ISBLANK(Inventory!A60),0,C60+SUM('Week 1'!E60:G60)-SUM(E60:G60))</f>
        <v>0</v>
      </c>
      <c r="I60" s="35" t="str">
        <f>IF(OR(ISBLANK(J60),J60=0),"",Settings!$B$14)</f>
        <v/>
      </c>
      <c r="J60" s="30">
        <f>IF(ISBLANK(C60),0,C60*Inventory!F60)</f>
        <v>0</v>
      </c>
      <c r="K60" s="35" t="str">
        <f>IF(OR(ISBLANK(L60),L60=0),"",Settings!$B$14)</f>
        <v/>
      </c>
      <c r="L60" s="30">
        <f>IF(ISBLANK(Inventory!A60),0,SUM(E60:G60)*Inventory!F60)</f>
        <v>0</v>
      </c>
      <c r="M60" s="35" t="str">
        <f>IF(OR(ISBLANK(N60),N60=0),"",Settings!$B$14)</f>
        <v/>
      </c>
      <c r="N60" s="30">
        <f>IF(ISBLANK(Inventory!A60),0,SUM(E60:G60)*Inventory!L60)</f>
        <v>0</v>
      </c>
      <c r="O60" s="35" t="str">
        <f>IF(OR(ISBLANK(P60),P60=0),"",Settings!$B$14)</f>
        <v/>
      </c>
      <c r="P60" s="30">
        <f>IF(ISBLANK(Inventory!A60),0,H60*Inventory!L60)</f>
        <v>0</v>
      </c>
    </row>
    <row r="61" spans="1:16" s="29" customFormat="1" ht="15" customHeight="1">
      <c r="A61" s="31" t="str">
        <f>IF(ISBLANK(Inventory!A61),"",Inventory!A61)</f>
        <v>Martini Rosso</v>
      </c>
      <c r="B61" s="31" t="str">
        <f>IF(ISBLANK(Inventory!A61),"",Inventory!C61)</f>
        <v>75cl</v>
      </c>
      <c r="C61" s="187"/>
      <c r="D61" s="192"/>
      <c r="E61" s="187"/>
      <c r="F61" s="187"/>
      <c r="G61" s="187"/>
      <c r="H61" s="37">
        <f>IF(ISBLANK(Inventory!A61),0,C61+SUM('Week 1'!E61:G61)-SUM(E61:G61))</f>
        <v>0</v>
      </c>
      <c r="I61" s="35" t="str">
        <f>IF(OR(ISBLANK(J61),J61=0),"",Settings!$B$14)</f>
        <v/>
      </c>
      <c r="J61" s="30">
        <f>IF(ISBLANK(C61),0,C61*Inventory!F61)</f>
        <v>0</v>
      </c>
      <c r="K61" s="35" t="str">
        <f>IF(OR(ISBLANK(L61),L61=0),"",Settings!$B$14)</f>
        <v/>
      </c>
      <c r="L61" s="30">
        <f>IF(ISBLANK(Inventory!A61),0,SUM(E61:G61)*Inventory!F61)</f>
        <v>0</v>
      </c>
      <c r="M61" s="35" t="str">
        <f>IF(OR(ISBLANK(N61),N61=0),"",Settings!$B$14)</f>
        <v/>
      </c>
      <c r="N61" s="30">
        <f>IF(ISBLANK(Inventory!A61),0,SUM(E61:G61)*Inventory!L61)</f>
        <v>0</v>
      </c>
      <c r="O61" s="35" t="str">
        <f>IF(OR(ISBLANK(P61),P61=0),"",Settings!$B$14)</f>
        <v/>
      </c>
      <c r="P61" s="30">
        <f>IF(ISBLANK(Inventory!A61),0,H61*Inventory!L61)</f>
        <v>0</v>
      </c>
    </row>
    <row r="62" spans="1:16" s="29" customFormat="1" ht="15" customHeight="1">
      <c r="A62" s="31" t="str">
        <f>IF(ISBLANK(Inventory!A62),"",Inventory!A62)</f>
        <v>Campari</v>
      </c>
      <c r="B62" s="31" t="str">
        <f>IF(ISBLANK(Inventory!A62),"",Inventory!C62)</f>
        <v>75cl</v>
      </c>
      <c r="C62" s="187"/>
      <c r="D62" s="192"/>
      <c r="E62" s="187"/>
      <c r="F62" s="187"/>
      <c r="G62" s="187"/>
      <c r="H62" s="37">
        <f>IF(ISBLANK(Inventory!A62),0,C62+SUM('Week 1'!E62:G62)-SUM(E62:G62))</f>
        <v>0</v>
      </c>
      <c r="I62" s="35" t="str">
        <f>IF(OR(ISBLANK(J62),J62=0),"",Settings!$B$14)</f>
        <v/>
      </c>
      <c r="J62" s="30">
        <f>IF(ISBLANK(C62),0,C62*Inventory!F62)</f>
        <v>0</v>
      </c>
      <c r="K62" s="35" t="str">
        <f>IF(OR(ISBLANK(L62),L62=0),"",Settings!$B$14)</f>
        <v/>
      </c>
      <c r="L62" s="30">
        <f>IF(ISBLANK(Inventory!A62),0,SUM(E62:G62)*Inventory!F62)</f>
        <v>0</v>
      </c>
      <c r="M62" s="35" t="str">
        <f>IF(OR(ISBLANK(N62),N62=0),"",Settings!$B$14)</f>
        <v/>
      </c>
      <c r="N62" s="30">
        <f>IF(ISBLANK(Inventory!A62),0,SUM(E62:G62)*Inventory!L62)</f>
        <v>0</v>
      </c>
      <c r="O62" s="35" t="str">
        <f>IF(OR(ISBLANK(P62),P62=0),"",Settings!$B$14)</f>
        <v/>
      </c>
      <c r="P62" s="30">
        <f>IF(ISBLANK(Inventory!A62),0,H62*Inventory!L62)</f>
        <v>0</v>
      </c>
    </row>
    <row r="63" spans="1:16" s="29" customFormat="1" ht="15" customHeight="1">
      <c r="A63" s="31" t="str">
        <f>IF(ISBLANK(Inventory!A63),"",Inventory!A63)</f>
        <v>Cockburns Ruby</v>
      </c>
      <c r="B63" s="31" t="str">
        <f>IF(ISBLANK(Inventory!A63),"",Inventory!C63)</f>
        <v>75cl</v>
      </c>
      <c r="C63" s="187"/>
      <c r="D63" s="192"/>
      <c r="E63" s="187"/>
      <c r="F63" s="187"/>
      <c r="G63" s="187"/>
      <c r="H63" s="37">
        <f>IF(ISBLANK(Inventory!A63),0,C63+SUM('Week 1'!E63:G63)-SUM(E63:G63))</f>
        <v>0</v>
      </c>
      <c r="I63" s="35" t="str">
        <f>IF(OR(ISBLANK(J63),J63=0),"",Settings!$B$14)</f>
        <v/>
      </c>
      <c r="J63" s="30">
        <f>IF(ISBLANK(C63),0,C63*Inventory!F63)</f>
        <v>0</v>
      </c>
      <c r="K63" s="35" t="str">
        <f>IF(OR(ISBLANK(L63),L63=0),"",Settings!$B$14)</f>
        <v/>
      </c>
      <c r="L63" s="30">
        <f>IF(ISBLANK(Inventory!A63),0,SUM(E63:G63)*Inventory!F63)</f>
        <v>0</v>
      </c>
      <c r="M63" s="35" t="str">
        <f>IF(OR(ISBLANK(N63),N63=0),"",Settings!$B$14)</f>
        <v/>
      </c>
      <c r="N63" s="30">
        <f>IF(ISBLANK(Inventory!A63),0,SUM(E63:G63)*Inventory!L63)</f>
        <v>0</v>
      </c>
      <c r="O63" s="35" t="str">
        <f>IF(OR(ISBLANK(P63),P63=0),"",Settings!$B$14)</f>
        <v/>
      </c>
      <c r="P63" s="30">
        <f>IF(ISBLANK(Inventory!A63),0,H63*Inventory!L63)</f>
        <v>0</v>
      </c>
    </row>
    <row r="64" spans="1:16" s="29" customFormat="1" ht="15" customHeight="1">
      <c r="A64" s="31" t="str">
        <f>IF(ISBLANK(Inventory!A64),"",Inventory!A64)</f>
        <v>Bristol Cream</v>
      </c>
      <c r="B64" s="31" t="str">
        <f>IF(ISBLANK(Inventory!A64),"",Inventory!C64)</f>
        <v>75cl</v>
      </c>
      <c r="C64" s="187"/>
      <c r="D64" s="192"/>
      <c r="E64" s="187"/>
      <c r="F64" s="187"/>
      <c r="G64" s="187"/>
      <c r="H64" s="37">
        <f>IF(ISBLANK(Inventory!A64),0,C64+SUM('Week 1'!E64:G64)-SUM(E64:G64))</f>
        <v>0</v>
      </c>
      <c r="I64" s="35" t="str">
        <f>IF(OR(ISBLANK(J64),J64=0),"",Settings!$B$14)</f>
        <v/>
      </c>
      <c r="J64" s="30">
        <f>IF(ISBLANK(C64),0,C64*Inventory!F64)</f>
        <v>0</v>
      </c>
      <c r="K64" s="35" t="str">
        <f>IF(OR(ISBLANK(L64),L64=0),"",Settings!$B$14)</f>
        <v/>
      </c>
      <c r="L64" s="30">
        <f>IF(ISBLANK(Inventory!A64),0,SUM(E64:G64)*Inventory!F64)</f>
        <v>0</v>
      </c>
      <c r="M64" s="35" t="str">
        <f>IF(OR(ISBLANK(N64),N64=0),"",Settings!$B$14)</f>
        <v/>
      </c>
      <c r="N64" s="30">
        <f>IF(ISBLANK(Inventory!A64),0,SUM(E64:G64)*Inventory!L64)</f>
        <v>0</v>
      </c>
      <c r="O64" s="35" t="str">
        <f>IF(OR(ISBLANK(P64),P64=0),"",Settings!$B$14)</f>
        <v/>
      </c>
      <c r="P64" s="30">
        <f>IF(ISBLANK(Inventory!A64),0,H64*Inventory!L64)</f>
        <v>0</v>
      </c>
    </row>
    <row r="65" spans="1:16" s="29" customFormat="1" ht="15" customHeight="1">
      <c r="A65" s="31" t="str">
        <f>IF(ISBLANK(Inventory!A65),"",Inventory!A65)</f>
        <v>Club Classic</v>
      </c>
      <c r="B65" s="31" t="str">
        <f>IF(ISBLANK(Inventory!A65),"",Inventory!C65)</f>
        <v>75cl</v>
      </c>
      <c r="C65" s="187"/>
      <c r="D65" s="192"/>
      <c r="E65" s="187"/>
      <c r="F65" s="187"/>
      <c r="G65" s="187"/>
      <c r="H65" s="37">
        <f>IF(ISBLANK(Inventory!A65),0,C65+SUM('Week 1'!E65:G65)-SUM(E65:G65))</f>
        <v>0</v>
      </c>
      <c r="I65" s="35" t="str">
        <f>IF(OR(ISBLANK(J65),J65=0),"",Settings!$B$14)</f>
        <v/>
      </c>
      <c r="J65" s="30">
        <f>IF(ISBLANK(C65),0,C65*Inventory!F65)</f>
        <v>0</v>
      </c>
      <c r="K65" s="35" t="str">
        <f>IF(OR(ISBLANK(L65),L65=0),"",Settings!$B$14)</f>
        <v/>
      </c>
      <c r="L65" s="30">
        <f>IF(ISBLANK(Inventory!A65),0,SUM(E65:G65)*Inventory!F65)</f>
        <v>0</v>
      </c>
      <c r="M65" s="35" t="str">
        <f>IF(OR(ISBLANK(N65),N65=0),"",Settings!$B$14)</f>
        <v/>
      </c>
      <c r="N65" s="30">
        <f>IF(ISBLANK(Inventory!A65),0,SUM(E65:G65)*Inventory!L65)</f>
        <v>0</v>
      </c>
      <c r="O65" s="35" t="str">
        <f>IF(OR(ISBLANK(P65),P65=0),"",Settings!$B$14)</f>
        <v/>
      </c>
      <c r="P65" s="30">
        <f>IF(ISBLANK(Inventory!A65),0,H65*Inventory!L65)</f>
        <v>0</v>
      </c>
    </row>
    <row r="66" spans="1:16" s="29" customFormat="1" ht="15" customHeight="1">
      <c r="A66" s="31" t="str">
        <f>IF(ISBLANK(Inventory!A66),"",Inventory!A66)</f>
        <v>Harveys Dune</v>
      </c>
      <c r="B66" s="31" t="str">
        <f>IF(ISBLANK(Inventory!A66),"",Inventory!C66)</f>
        <v>75cl</v>
      </c>
      <c r="C66" s="187"/>
      <c r="D66" s="192"/>
      <c r="E66" s="187"/>
      <c r="F66" s="187"/>
      <c r="G66" s="187"/>
      <c r="H66" s="37">
        <f>IF(ISBLANK(Inventory!A66),0,C66+SUM('Week 1'!E66:G66)-SUM(E66:G66))</f>
        <v>0</v>
      </c>
      <c r="I66" s="35" t="str">
        <f>IF(OR(ISBLANK(J66),J66=0),"",Settings!$B$14)</f>
        <v/>
      </c>
      <c r="J66" s="30">
        <f>IF(ISBLANK(C66),0,C66*Inventory!F66)</f>
        <v>0</v>
      </c>
      <c r="K66" s="35" t="str">
        <f>IF(OR(ISBLANK(L66),L66=0),"",Settings!$B$14)</f>
        <v/>
      </c>
      <c r="L66" s="30">
        <f>IF(ISBLANK(Inventory!A66),0,SUM(E66:G66)*Inventory!F66)</f>
        <v>0</v>
      </c>
      <c r="M66" s="35" t="str">
        <f>IF(OR(ISBLANK(N66),N66=0),"",Settings!$B$14)</f>
        <v/>
      </c>
      <c r="N66" s="30">
        <f>IF(ISBLANK(Inventory!A66),0,SUM(E66:G66)*Inventory!L66)</f>
        <v>0</v>
      </c>
      <c r="O66" s="35" t="str">
        <f>IF(OR(ISBLANK(P66),P66=0),"",Settings!$B$14)</f>
        <v/>
      </c>
      <c r="P66" s="30">
        <f>IF(ISBLANK(Inventory!A66),0,H66*Inventory!L66)</f>
        <v>0</v>
      </c>
    </row>
    <row r="67" spans="1:16" s="29" customFormat="1" ht="15" customHeight="1">
      <c r="A67" s="31" t="str">
        <f>IF(ISBLANK(Inventory!A67),"",Inventory!A67)</f>
        <v/>
      </c>
      <c r="B67" s="31" t="str">
        <f>IF(ISBLANK(Inventory!A67),"",Inventory!C67)</f>
        <v/>
      </c>
      <c r="C67" s="187"/>
      <c r="D67" s="192"/>
      <c r="E67" s="187"/>
      <c r="F67" s="187"/>
      <c r="G67" s="187"/>
      <c r="H67" s="37">
        <f>IF(ISBLANK(Inventory!A67),0,C67+SUM('Week 1'!E67:G67)-SUM(E67:G67))</f>
        <v>0</v>
      </c>
      <c r="I67" s="35" t="str">
        <f>IF(OR(ISBLANK(J67),J67=0),"",Settings!$B$14)</f>
        <v/>
      </c>
      <c r="J67" s="30">
        <f>IF(ISBLANK(C67),0,C67*Inventory!F67)</f>
        <v>0</v>
      </c>
      <c r="K67" s="35" t="str">
        <f>IF(OR(ISBLANK(L67),L67=0),"",Settings!$B$14)</f>
        <v/>
      </c>
      <c r="L67" s="30">
        <f>IF(ISBLANK(Inventory!A67),0,SUM(E67:G67)*Inventory!F67)</f>
        <v>0</v>
      </c>
      <c r="M67" s="35" t="str">
        <f>IF(OR(ISBLANK(N67),N67=0),"",Settings!$B$14)</f>
        <v/>
      </c>
      <c r="N67" s="30">
        <f>IF(ISBLANK(Inventory!A67),0,SUM(E67:G67)*Inventory!L67)</f>
        <v>0</v>
      </c>
      <c r="O67" s="35" t="str">
        <f>IF(OR(ISBLANK(P67),P67=0),"",Settings!$B$14)</f>
        <v/>
      </c>
      <c r="P67" s="30">
        <f>IF(ISBLANK(Inventory!A67),0,H67*Inventory!L67)</f>
        <v>0</v>
      </c>
    </row>
    <row r="68" spans="1:16" s="29" customFormat="1" ht="15" customHeight="1">
      <c r="A68" s="31" t="str">
        <f>IF(ISBLANK(Inventory!A68),"",Inventory!A68)</f>
        <v/>
      </c>
      <c r="B68" s="31" t="str">
        <f>IF(ISBLANK(Inventory!A68),"",Inventory!C68)</f>
        <v/>
      </c>
      <c r="C68" s="187"/>
      <c r="D68" s="192"/>
      <c r="E68" s="187"/>
      <c r="F68" s="187"/>
      <c r="G68" s="187"/>
      <c r="H68" s="37">
        <f>IF(ISBLANK(Inventory!A68),0,C68+SUM('Week 1'!E68:G68)-SUM(E68:G68))</f>
        <v>0</v>
      </c>
      <c r="I68" s="35" t="str">
        <f>IF(OR(ISBLANK(J68),J68=0),"",Settings!$B$14)</f>
        <v/>
      </c>
      <c r="J68" s="30">
        <f>IF(ISBLANK(C68),0,C68*Inventory!F68)</f>
        <v>0</v>
      </c>
      <c r="K68" s="35" t="str">
        <f>IF(OR(ISBLANK(L68),L68=0),"",Settings!$B$14)</f>
        <v/>
      </c>
      <c r="L68" s="30">
        <f>IF(ISBLANK(Inventory!A68),0,SUM(E68:G68)*Inventory!F68)</f>
        <v>0</v>
      </c>
      <c r="M68" s="35" t="str">
        <f>IF(OR(ISBLANK(N68),N68=0),"",Settings!$B$14)</f>
        <v/>
      </c>
      <c r="N68" s="30">
        <f>IF(ISBLANK(Inventory!A68),0,SUM(E68:G68)*Inventory!L68)</f>
        <v>0</v>
      </c>
      <c r="O68" s="35" t="str">
        <f>IF(OR(ISBLANK(P68),P68=0),"",Settings!$B$14)</f>
        <v/>
      </c>
      <c r="P68" s="30">
        <f>IF(ISBLANK(Inventory!A68),0,H68*Inventory!L68)</f>
        <v>0</v>
      </c>
    </row>
    <row r="69" spans="1:16" s="29" customFormat="1" ht="15" customHeight="1">
      <c r="A69" s="31" t="str">
        <f>IF(ISBLANK(Inventory!A69),"",Inventory!A69)</f>
        <v/>
      </c>
      <c r="B69" s="31" t="str">
        <f>IF(ISBLANK(Inventory!A69),"",Inventory!C69)</f>
        <v/>
      </c>
      <c r="C69" s="187"/>
      <c r="D69" s="192"/>
      <c r="E69" s="187"/>
      <c r="F69" s="187"/>
      <c r="G69" s="187"/>
      <c r="H69" s="37">
        <f>IF(ISBLANK(Inventory!A69),0,C69+SUM('Week 1'!E69:G69)-SUM(E69:G69))</f>
        <v>0</v>
      </c>
      <c r="I69" s="35" t="str">
        <f>IF(OR(ISBLANK(J69),J69=0),"",Settings!$B$14)</f>
        <v/>
      </c>
      <c r="J69" s="30">
        <f>IF(ISBLANK(C69),0,C69*Inventory!F69)</f>
        <v>0</v>
      </c>
      <c r="K69" s="35" t="str">
        <f>IF(OR(ISBLANK(L69),L69=0),"",Settings!$B$14)</f>
        <v/>
      </c>
      <c r="L69" s="30">
        <f>IF(ISBLANK(Inventory!A69),0,SUM(E69:G69)*Inventory!F69)</f>
        <v>0</v>
      </c>
      <c r="M69" s="35" t="str">
        <f>IF(OR(ISBLANK(N69),N69=0),"",Settings!$B$14)</f>
        <v/>
      </c>
      <c r="N69" s="30">
        <f>IF(ISBLANK(Inventory!A69),0,SUM(E69:G69)*Inventory!L69)</f>
        <v>0</v>
      </c>
      <c r="O69" s="35" t="str">
        <f>IF(OR(ISBLANK(P69),P69=0),"",Settings!$B$14)</f>
        <v/>
      </c>
      <c r="P69" s="30">
        <f>IF(ISBLANK(Inventory!A69),0,H69*Inventory!L69)</f>
        <v>0</v>
      </c>
    </row>
    <row r="70" spans="1:16" s="29" customFormat="1" ht="15" customHeight="1">
      <c r="A70" s="31" t="str">
        <f>IF(ISBLANK(Inventory!A70),"",Inventory!A70)</f>
        <v/>
      </c>
      <c r="B70" s="31" t="str">
        <f>IF(ISBLANK(Inventory!A70),"",Inventory!C70)</f>
        <v/>
      </c>
      <c r="C70" s="187"/>
      <c r="D70" s="192"/>
      <c r="E70" s="187"/>
      <c r="F70" s="187"/>
      <c r="G70" s="187"/>
      <c r="H70" s="37">
        <f>IF(ISBLANK(Inventory!A70),0,C70+SUM('Week 1'!E70:G70)-SUM(E70:G70))</f>
        <v>0</v>
      </c>
      <c r="I70" s="35" t="str">
        <f>IF(OR(ISBLANK(J70),J70=0),"",Settings!$B$14)</f>
        <v/>
      </c>
      <c r="J70" s="30">
        <f>IF(ISBLANK(C70),0,C70*Inventory!F70)</f>
        <v>0</v>
      </c>
      <c r="K70" s="35" t="str">
        <f>IF(OR(ISBLANK(L70),L70=0),"",Settings!$B$14)</f>
        <v/>
      </c>
      <c r="L70" s="30">
        <f>IF(ISBLANK(Inventory!A70),0,SUM(E70:G70)*Inventory!F70)</f>
        <v>0</v>
      </c>
      <c r="M70" s="35" t="str">
        <f>IF(OR(ISBLANK(N70),N70=0),"",Settings!$B$14)</f>
        <v/>
      </c>
      <c r="N70" s="30">
        <f>IF(ISBLANK(Inventory!A70),0,SUM(E70:G70)*Inventory!L70)</f>
        <v>0</v>
      </c>
      <c r="O70" s="35" t="str">
        <f>IF(OR(ISBLANK(P70),P70=0),"",Settings!$B$14)</f>
        <v/>
      </c>
      <c r="P70" s="30">
        <f>IF(ISBLANK(Inventory!A70),0,H70*Inventory!L70)</f>
        <v>0</v>
      </c>
    </row>
    <row r="71" spans="1:16" s="29" customFormat="1" ht="15" customHeight="1">
      <c r="A71" s="31" t="str">
        <f>IF(ISBLANK(Inventory!A71),"",Inventory!A71)</f>
        <v/>
      </c>
      <c r="B71" s="31" t="str">
        <f>IF(ISBLANK(Inventory!A71),"",Inventory!C71)</f>
        <v/>
      </c>
      <c r="C71" s="187"/>
      <c r="D71" s="192"/>
      <c r="E71" s="187"/>
      <c r="F71" s="187"/>
      <c r="G71" s="187"/>
      <c r="H71" s="37">
        <f>IF(ISBLANK(Inventory!A71),0,C71+SUM('Week 1'!E71:G71)-SUM(E71:G71))</f>
        <v>0</v>
      </c>
      <c r="I71" s="35" t="str">
        <f>IF(OR(ISBLANK(J71),J71=0),"",Settings!$B$14)</f>
        <v/>
      </c>
      <c r="J71" s="30">
        <f>IF(ISBLANK(C71),0,C71*Inventory!F71)</f>
        <v>0</v>
      </c>
      <c r="K71" s="35" t="str">
        <f>IF(OR(ISBLANK(L71),L71=0),"",Settings!$B$14)</f>
        <v/>
      </c>
      <c r="L71" s="30">
        <f>IF(ISBLANK(Inventory!A71),0,SUM(E71:G71)*Inventory!F71)</f>
        <v>0</v>
      </c>
      <c r="M71" s="35" t="str">
        <f>IF(OR(ISBLANK(N71),N71=0),"",Settings!$B$14)</f>
        <v/>
      </c>
      <c r="N71" s="30">
        <f>IF(ISBLANK(Inventory!A71),0,SUM(E71:G71)*Inventory!L71)</f>
        <v>0</v>
      </c>
      <c r="O71" s="35" t="str">
        <f>IF(OR(ISBLANK(P71),P71=0),"",Settings!$B$14)</f>
        <v/>
      </c>
      <c r="P71" s="30">
        <f>IF(ISBLANK(Inventory!A71),0,H71*Inventory!L71)</f>
        <v>0</v>
      </c>
    </row>
    <row r="72" spans="1:16" s="29" customFormat="1" ht="15" customHeight="1">
      <c r="A72" s="31" t="str">
        <f>IF(ISBLANK(Inventory!A72),"",Inventory!A72)</f>
        <v/>
      </c>
      <c r="B72" s="31" t="str">
        <f>IF(ISBLANK(Inventory!A72),"",Inventory!C72)</f>
        <v/>
      </c>
      <c r="C72" s="187"/>
      <c r="D72" s="192"/>
      <c r="E72" s="187"/>
      <c r="F72" s="187"/>
      <c r="G72" s="187"/>
      <c r="H72" s="37">
        <f>IF(ISBLANK(Inventory!A72),0,C72+SUM('Week 1'!E72:G72)-SUM(E72:G72))</f>
        <v>0</v>
      </c>
      <c r="I72" s="35" t="str">
        <f>IF(OR(ISBLANK(J72),J72=0),"",Settings!$B$14)</f>
        <v/>
      </c>
      <c r="J72" s="30">
        <f>IF(ISBLANK(C72),0,C72*Inventory!F72)</f>
        <v>0</v>
      </c>
      <c r="K72" s="35" t="str">
        <f>IF(OR(ISBLANK(L72),L72=0),"",Settings!$B$14)</f>
        <v/>
      </c>
      <c r="L72" s="30">
        <f>IF(ISBLANK(Inventory!A72),0,SUM(E72:G72)*Inventory!F72)</f>
        <v>0</v>
      </c>
      <c r="M72" s="35" t="str">
        <f>IF(OR(ISBLANK(N72),N72=0),"",Settings!$B$14)</f>
        <v/>
      </c>
      <c r="N72" s="30">
        <f>IF(ISBLANK(Inventory!A72),0,SUM(E72:G72)*Inventory!L72)</f>
        <v>0</v>
      </c>
      <c r="O72" s="35" t="str">
        <f>IF(OR(ISBLANK(P72),P72=0),"",Settings!$B$14)</f>
        <v/>
      </c>
      <c r="P72" s="30">
        <f>IF(ISBLANK(Inventory!A72),0,H72*Inventory!L72)</f>
        <v>0</v>
      </c>
    </row>
    <row r="73" spans="1:16" ht="6.95" customHeight="1">
      <c r="A73" s="24"/>
      <c r="B73" s="24"/>
      <c r="C73" s="69"/>
      <c r="D73" s="69"/>
      <c r="E73" s="69"/>
      <c r="F73" s="69"/>
      <c r="G73" s="69"/>
      <c r="H73" s="69"/>
      <c r="I73" s="69"/>
      <c r="J73" s="69"/>
      <c r="K73" s="69"/>
      <c r="L73" s="25"/>
      <c r="M73" s="62"/>
      <c r="N73" s="160"/>
      <c r="O73" s="25"/>
      <c r="P73" s="160"/>
    </row>
    <row r="74" spans="1:16" s="45" customFormat="1" ht="18" customHeight="1" thickBot="1">
      <c r="A74" s="78" t="str">
        <f>Inventory!A74</f>
        <v>TABLE WINES</v>
      </c>
      <c r="B74" s="78" t="str">
        <f>Inventory!C74</f>
        <v>VOLUME</v>
      </c>
      <c r="C74" s="22" t="s">
        <v>187</v>
      </c>
      <c r="D74" s="22"/>
      <c r="E74" s="22" t="s">
        <v>101</v>
      </c>
      <c r="F74" s="22" t="s">
        <v>102</v>
      </c>
      <c r="G74" s="23" t="s">
        <v>108</v>
      </c>
      <c r="H74" s="79" t="s">
        <v>119</v>
      </c>
      <c r="I74" s="253" t="s">
        <v>190</v>
      </c>
      <c r="J74" s="253"/>
      <c r="K74" s="235" t="s">
        <v>30</v>
      </c>
      <c r="L74" s="235"/>
      <c r="M74" s="235" t="s">
        <v>31</v>
      </c>
      <c r="N74" s="235"/>
      <c r="O74" s="235" t="s">
        <v>189</v>
      </c>
      <c r="P74" s="235"/>
    </row>
    <row r="75" spans="1:16" ht="6.95" customHeight="1" thickTop="1">
      <c r="A75" s="193"/>
      <c r="B75" s="194"/>
      <c r="C75" s="71"/>
      <c r="D75" s="71"/>
      <c r="E75" s="67"/>
      <c r="F75" s="67"/>
      <c r="G75" s="71"/>
      <c r="H75" s="71"/>
      <c r="I75" s="71"/>
      <c r="J75" s="71"/>
      <c r="K75" s="71"/>
      <c r="L75" s="67"/>
      <c r="M75" s="62"/>
      <c r="N75" s="67"/>
      <c r="O75" s="67"/>
      <c r="P75" s="67"/>
    </row>
    <row r="76" spans="1:16" s="29" customFormat="1" ht="15" customHeight="1">
      <c r="A76" s="31" t="str">
        <f>IF(ISBLANK(Inventory!A76),"",Inventory!A76)</f>
        <v>35º South Red</v>
      </c>
      <c r="B76" s="31" t="str">
        <f>IF(ISBLANK(Inventory!A76),"",Inventory!C76)</f>
        <v>750ml</v>
      </c>
      <c r="C76" s="187"/>
      <c r="D76" s="192"/>
      <c r="E76" s="187"/>
      <c r="F76" s="187"/>
      <c r="G76" s="187"/>
      <c r="H76" s="37">
        <f>IF(ISBLANK(Inventory!A76),0,C76+SUM('Week 1'!E76:G76)-SUM(E76:G76))</f>
        <v>0</v>
      </c>
      <c r="I76" s="35" t="str">
        <f>IF(OR(ISBLANK(J76),J76=0),"",Settings!$B$14)</f>
        <v/>
      </c>
      <c r="J76" s="30">
        <f>IF(ISBLANK(C76),0,C76*Inventory!H76)</f>
        <v>0</v>
      </c>
      <c r="K76" s="35" t="str">
        <f>IF(OR(ISBLANK(L76),L76=0),"",Settings!$B$14)</f>
        <v/>
      </c>
      <c r="L76" s="30">
        <f>IF(ISBLANK(Inventory!A76),0,SUM(E76:G76)*Inventory!H76)</f>
        <v>0</v>
      </c>
      <c r="M76" s="35" t="str">
        <f>IF(OR(ISBLANK(N76),N76=0),"",Settings!$B$14)</f>
        <v/>
      </c>
      <c r="N76" s="30">
        <f>IF(ISBLANK(Inventory!A76),0,SUM(E76:G76)*Inventory!J76)</f>
        <v>0</v>
      </c>
      <c r="O76" s="35" t="str">
        <f>IF(OR(ISBLANK(P76),P76=0),"",Settings!$B$14)</f>
        <v/>
      </c>
      <c r="P76" s="30">
        <f>IF(ISBLANK(Inventory!A76),0,H76*Inventory!J76)</f>
        <v>0</v>
      </c>
    </row>
    <row r="77" spans="1:16" s="29" customFormat="1" ht="15" customHeight="1">
      <c r="A77" s="31" t="str">
        <f>IF(ISBLANK(Inventory!A77),"",Inventory!A77)</f>
        <v>Lindemans' Chardonnay</v>
      </c>
      <c r="B77" s="31" t="str">
        <f>IF(ISBLANK(Inventory!A77),"",Inventory!C77)</f>
        <v>750ml</v>
      </c>
      <c r="C77" s="187"/>
      <c r="D77" s="192"/>
      <c r="E77" s="187"/>
      <c r="F77" s="187"/>
      <c r="G77" s="187"/>
      <c r="H77" s="37">
        <f>IF(ISBLANK(Inventory!A77),0,C77+SUM('Week 1'!E77:G77)-SUM(E77:G77))</f>
        <v>0</v>
      </c>
      <c r="I77" s="35" t="str">
        <f>IF(OR(ISBLANK(J77),J77=0),"",Settings!$B$14)</f>
        <v/>
      </c>
      <c r="J77" s="30">
        <f>IF(ISBLANK(C77),0,C77*Inventory!H77)</f>
        <v>0</v>
      </c>
      <c r="K77" s="35" t="str">
        <f>IF(OR(ISBLANK(L77),L77=0),"",Settings!$B$14)</f>
        <v/>
      </c>
      <c r="L77" s="30">
        <f>IF(ISBLANK(Inventory!A77),0,SUM(E77:G77)*Inventory!H77)</f>
        <v>0</v>
      </c>
      <c r="M77" s="35" t="str">
        <f>IF(OR(ISBLANK(N77),N77=0),"",Settings!$B$14)</f>
        <v/>
      </c>
      <c r="N77" s="30">
        <f>IF(ISBLANK(Inventory!A77),0,SUM(E77:G77)*Inventory!J77)</f>
        <v>0</v>
      </c>
      <c r="O77" s="35" t="str">
        <f>IF(OR(ISBLANK(P77),P77=0),"",Settings!$B$14)</f>
        <v/>
      </c>
      <c r="P77" s="30">
        <f>IF(ISBLANK(Inventory!A77),0,H77*Inventory!J77)</f>
        <v>0</v>
      </c>
    </row>
    <row r="78" spans="1:16" s="29" customFormat="1" ht="15" customHeight="1">
      <c r="A78" s="31" t="str">
        <f>IF(ISBLANK(Inventory!A78),"",Inventory!A78)</f>
        <v>Arniston Bay</v>
      </c>
      <c r="B78" s="31" t="str">
        <f>IF(ISBLANK(Inventory!A78),"",Inventory!C78)</f>
        <v>750ml</v>
      </c>
      <c r="C78" s="187"/>
      <c r="D78" s="192"/>
      <c r="E78" s="187"/>
      <c r="F78" s="187"/>
      <c r="G78" s="187"/>
      <c r="H78" s="37">
        <f>IF(ISBLANK(Inventory!A78),0,C78+SUM('Week 1'!E78:G78)-SUM(E78:G78))</f>
        <v>0</v>
      </c>
      <c r="I78" s="35" t="str">
        <f>IF(OR(ISBLANK(J78),J78=0),"",Settings!$B$14)</f>
        <v/>
      </c>
      <c r="J78" s="30">
        <f>IF(ISBLANK(C78),0,C78*Inventory!H78)</f>
        <v>0</v>
      </c>
      <c r="K78" s="35" t="str">
        <f>IF(OR(ISBLANK(L78),L78=0),"",Settings!$B$14)</f>
        <v/>
      </c>
      <c r="L78" s="30">
        <f>IF(ISBLANK(Inventory!A78),0,SUM(E78:G78)*Inventory!H78)</f>
        <v>0</v>
      </c>
      <c r="M78" s="35" t="str">
        <f>IF(OR(ISBLANK(N78),N78=0),"",Settings!$B$14)</f>
        <v/>
      </c>
      <c r="N78" s="30">
        <f>IF(ISBLANK(Inventory!A78),0,SUM(E78:G78)*Inventory!J78)</f>
        <v>0</v>
      </c>
      <c r="O78" s="35" t="str">
        <f>IF(OR(ISBLANK(P78),P78=0),"",Settings!$B$14)</f>
        <v/>
      </c>
      <c r="P78" s="30">
        <f>IF(ISBLANK(Inventory!A78),0,H78*Inventory!J78)</f>
        <v>0</v>
      </c>
    </row>
    <row r="79" spans="1:16" s="29" customFormat="1" ht="15" customHeight="1">
      <c r="A79" s="31" t="str">
        <f>IF(ISBLANK(Inventory!A79),"",Inventory!A79)</f>
        <v>Côtes du Rhône</v>
      </c>
      <c r="B79" s="31" t="str">
        <f>IF(ISBLANK(Inventory!A79),"",Inventory!C79)</f>
        <v>750ml</v>
      </c>
      <c r="C79" s="187"/>
      <c r="D79" s="192"/>
      <c r="E79" s="187"/>
      <c r="F79" s="187"/>
      <c r="G79" s="187"/>
      <c r="H79" s="37">
        <f>IF(ISBLANK(Inventory!A79),0,C79+SUM('Week 1'!E79:G79)-SUM(E79:G79))</f>
        <v>0</v>
      </c>
      <c r="I79" s="35" t="str">
        <f>IF(OR(ISBLANK(J79),J79=0),"",Settings!$B$14)</f>
        <v/>
      </c>
      <c r="J79" s="30">
        <f>IF(ISBLANK(C79),0,C79*Inventory!H79)</f>
        <v>0</v>
      </c>
      <c r="K79" s="35" t="str">
        <f>IF(OR(ISBLANK(L79),L79=0),"",Settings!$B$14)</f>
        <v/>
      </c>
      <c r="L79" s="30">
        <f>IF(ISBLANK(Inventory!A79),0,SUM(E79:G79)*Inventory!H79)</f>
        <v>0</v>
      </c>
      <c r="M79" s="35" t="str">
        <f>IF(OR(ISBLANK(N79),N79=0),"",Settings!$B$14)</f>
        <v/>
      </c>
      <c r="N79" s="30">
        <f>IF(ISBLANK(Inventory!A79),0,SUM(E79:G79)*Inventory!J79)</f>
        <v>0</v>
      </c>
      <c r="O79" s="35" t="str">
        <f>IF(OR(ISBLANK(P79),P79=0),"",Settings!$B$14)</f>
        <v/>
      </c>
      <c r="P79" s="30">
        <f>IF(ISBLANK(Inventory!A79),0,H79*Inventory!J79)</f>
        <v>0</v>
      </c>
    </row>
    <row r="80" spans="1:16" s="29" customFormat="1" ht="15" customHeight="1">
      <c r="A80" s="31" t="str">
        <f>IF(ISBLANK(Inventory!A80),"",Inventory!A80)</f>
        <v>Jacobs Creek</v>
      </c>
      <c r="B80" s="31" t="str">
        <f>IF(ISBLANK(Inventory!A80),"",Inventory!C80)</f>
        <v>750ml</v>
      </c>
      <c r="C80" s="187"/>
      <c r="D80" s="192"/>
      <c r="E80" s="187"/>
      <c r="F80" s="187"/>
      <c r="G80" s="187"/>
      <c r="H80" s="37">
        <f>IF(ISBLANK(Inventory!A80),0,C80+SUM('Week 1'!E80:G80)-SUM(E80:G80))</f>
        <v>0</v>
      </c>
      <c r="I80" s="35" t="str">
        <f>IF(OR(ISBLANK(J80),J80=0),"",Settings!$B$14)</f>
        <v/>
      </c>
      <c r="J80" s="30">
        <f>IF(ISBLANK(C80),0,C80*Inventory!H80)</f>
        <v>0</v>
      </c>
      <c r="K80" s="35" t="str">
        <f>IF(OR(ISBLANK(L80),L80=0),"",Settings!$B$14)</f>
        <v/>
      </c>
      <c r="L80" s="30">
        <f>IF(ISBLANK(Inventory!A80),0,SUM(E80:G80)*Inventory!H80)</f>
        <v>0</v>
      </c>
      <c r="M80" s="35" t="str">
        <f>IF(OR(ISBLANK(N80),N80=0),"",Settings!$B$14)</f>
        <v/>
      </c>
      <c r="N80" s="30">
        <f>IF(ISBLANK(Inventory!A80),0,SUM(E80:G80)*Inventory!J80)</f>
        <v>0</v>
      </c>
      <c r="O80" s="35" t="str">
        <f>IF(OR(ISBLANK(P80),P80=0),"",Settings!$B$14)</f>
        <v/>
      </c>
      <c r="P80" s="30">
        <f>IF(ISBLANK(Inventory!A80),0,H80*Inventory!J80)</f>
        <v>0</v>
      </c>
    </row>
    <row r="81" spans="1:16" s="29" customFormat="1" ht="15" customHeight="1">
      <c r="A81" s="31" t="str">
        <f>IF(ISBLANK(Inventory!A81),"",Inventory!A81)</f>
        <v>Louis Raymond</v>
      </c>
      <c r="B81" s="31" t="str">
        <f>IF(ISBLANK(Inventory!A81),"",Inventory!C81)</f>
        <v>375ml</v>
      </c>
      <c r="C81" s="187"/>
      <c r="D81" s="192"/>
      <c r="E81" s="187"/>
      <c r="F81" s="187"/>
      <c r="G81" s="187"/>
      <c r="H81" s="37">
        <f>IF(ISBLANK(Inventory!A81),0,C81+SUM('Week 1'!E81:G81)-SUM(E81:G81))</f>
        <v>0</v>
      </c>
      <c r="I81" s="35" t="str">
        <f>IF(OR(ISBLANK(J81),J81=0),"",Settings!$B$14)</f>
        <v/>
      </c>
      <c r="J81" s="30">
        <f>IF(ISBLANK(C81),0,C81*Inventory!H81)</f>
        <v>0</v>
      </c>
      <c r="K81" s="35" t="str">
        <f>IF(OR(ISBLANK(L81),L81=0),"",Settings!$B$14)</f>
        <v/>
      </c>
      <c r="L81" s="30">
        <f>IF(ISBLANK(Inventory!A81),0,SUM(E81:G81)*Inventory!H81)</f>
        <v>0</v>
      </c>
      <c r="M81" s="35" t="str">
        <f>IF(OR(ISBLANK(N81),N81=0),"",Settings!$B$14)</f>
        <v/>
      </c>
      <c r="N81" s="30">
        <f>IF(ISBLANK(Inventory!A81),0,SUM(E81:G81)*Inventory!J81)</f>
        <v>0</v>
      </c>
      <c r="O81" s="35" t="str">
        <f>IF(OR(ISBLANK(P81),P81=0),"",Settings!$B$14)</f>
        <v/>
      </c>
      <c r="P81" s="30">
        <f>IF(ISBLANK(Inventory!A81),0,H81*Inventory!J81)</f>
        <v>0</v>
      </c>
    </row>
    <row r="82" spans="1:16" s="29" customFormat="1" ht="15" customHeight="1">
      <c r="A82" s="31" t="str">
        <f>IF(ISBLANK(Inventory!A82),"",Inventory!A82)</f>
        <v>Castletorre</v>
      </c>
      <c r="B82" s="31" t="str">
        <f>IF(ISBLANK(Inventory!A82),"",Inventory!C82)</f>
        <v>375ml</v>
      </c>
      <c r="C82" s="187"/>
      <c r="D82" s="192"/>
      <c r="E82" s="187"/>
      <c r="F82" s="187"/>
      <c r="G82" s="187"/>
      <c r="H82" s="37">
        <f>IF(ISBLANK(Inventory!A82),0,C82+SUM('Week 1'!E82:G82)-SUM(E82:G82))</f>
        <v>0</v>
      </c>
      <c r="I82" s="35" t="str">
        <f>IF(OR(ISBLANK(J82),J82=0),"",Settings!$B$14)</f>
        <v/>
      </c>
      <c r="J82" s="30">
        <f>IF(ISBLANK(C82),0,C82*Inventory!H82)</f>
        <v>0</v>
      </c>
      <c r="K82" s="35" t="str">
        <f>IF(OR(ISBLANK(L82),L82=0),"",Settings!$B$14)</f>
        <v/>
      </c>
      <c r="L82" s="30">
        <f>IF(ISBLANK(Inventory!A82),0,SUM(E82:G82)*Inventory!H82)</f>
        <v>0</v>
      </c>
      <c r="M82" s="35" t="str">
        <f>IF(OR(ISBLANK(N82),N82=0),"",Settings!$B$14)</f>
        <v/>
      </c>
      <c r="N82" s="30">
        <f>IF(ISBLANK(Inventory!A82),0,SUM(E82:G82)*Inventory!J82)</f>
        <v>0</v>
      </c>
      <c r="O82" s="35" t="str">
        <f>IF(OR(ISBLANK(P82),P82=0),"",Settings!$B$14)</f>
        <v/>
      </c>
      <c r="P82" s="30">
        <f>IF(ISBLANK(Inventory!A82),0,H82*Inventory!J82)</f>
        <v>0</v>
      </c>
    </row>
    <row r="83" spans="1:16" s="29" customFormat="1" ht="15" customHeight="1">
      <c r="A83" s="31" t="str">
        <f>IF(ISBLANK(Inventory!A83),"",Inventory!A83)</f>
        <v>Muscadet</v>
      </c>
      <c r="B83" s="31" t="str">
        <f>IF(ISBLANK(Inventory!A83),"",Inventory!C83)</f>
        <v>750ml</v>
      </c>
      <c r="C83" s="187"/>
      <c r="D83" s="192"/>
      <c r="E83" s="187"/>
      <c r="F83" s="187"/>
      <c r="G83" s="187"/>
      <c r="H83" s="37">
        <f>IF(ISBLANK(Inventory!A83),0,C83+SUM('Week 1'!E83:G83)-SUM(E83:G83))</f>
        <v>0</v>
      </c>
      <c r="I83" s="35" t="str">
        <f>IF(OR(ISBLANK(J83),J83=0),"",Settings!$B$14)</f>
        <v/>
      </c>
      <c r="J83" s="30">
        <f>IF(ISBLANK(C83),0,C83*Inventory!H83)</f>
        <v>0</v>
      </c>
      <c r="K83" s="35" t="str">
        <f>IF(OR(ISBLANK(L83),L83=0),"",Settings!$B$14)</f>
        <v/>
      </c>
      <c r="L83" s="30">
        <f>IF(ISBLANK(Inventory!A83),0,SUM(E83:G83)*Inventory!H83)</f>
        <v>0</v>
      </c>
      <c r="M83" s="35" t="str">
        <f>IF(OR(ISBLANK(N83),N83=0),"",Settings!$B$14)</f>
        <v/>
      </c>
      <c r="N83" s="30">
        <f>IF(ISBLANK(Inventory!A83),0,SUM(E83:G83)*Inventory!J83)</f>
        <v>0</v>
      </c>
      <c r="O83" s="35" t="str">
        <f>IF(OR(ISBLANK(P83),P83=0),"",Settings!$B$14)</f>
        <v/>
      </c>
      <c r="P83" s="30">
        <f>IF(ISBLANK(Inventory!A83),0,H83*Inventory!J83)</f>
        <v>0</v>
      </c>
    </row>
    <row r="84" spans="1:16" s="29" customFormat="1" ht="15" customHeight="1">
      <c r="A84" s="31" t="str">
        <f>IF(ISBLANK(Inventory!A84),"",Inventory!A84)</f>
        <v>Piesporter</v>
      </c>
      <c r="B84" s="31" t="str">
        <f>IF(ISBLANK(Inventory!A84),"",Inventory!C84)</f>
        <v>750ml</v>
      </c>
      <c r="C84" s="187"/>
      <c r="D84" s="192"/>
      <c r="E84" s="187"/>
      <c r="F84" s="187"/>
      <c r="G84" s="187"/>
      <c r="H84" s="37">
        <f>IF(ISBLANK(Inventory!A84),0,C84+SUM('Week 1'!E84:G84)-SUM(E84:G84))</f>
        <v>0</v>
      </c>
      <c r="I84" s="35" t="str">
        <f>IF(OR(ISBLANK(J84),J84=0),"",Settings!$B$14)</f>
        <v/>
      </c>
      <c r="J84" s="30">
        <f>IF(ISBLANK(C84),0,C84*Inventory!H84)</f>
        <v>0</v>
      </c>
      <c r="K84" s="35" t="str">
        <f>IF(OR(ISBLANK(L84),L84=0),"",Settings!$B$14)</f>
        <v/>
      </c>
      <c r="L84" s="30">
        <f>IF(ISBLANK(Inventory!A84),0,SUM(E84:G84)*Inventory!H84)</f>
        <v>0</v>
      </c>
      <c r="M84" s="35" t="str">
        <f>IF(OR(ISBLANK(N84),N84=0),"",Settings!$B$14)</f>
        <v/>
      </c>
      <c r="N84" s="30">
        <f>IF(ISBLANK(Inventory!A84),0,SUM(E84:G84)*Inventory!J84)</f>
        <v>0</v>
      </c>
      <c r="O84" s="35" t="str">
        <f>IF(OR(ISBLANK(P84),P84=0),"",Settings!$B$14)</f>
        <v/>
      </c>
      <c r="P84" s="30">
        <f>IF(ISBLANK(Inventory!A84),0,H84*Inventory!J84)</f>
        <v>0</v>
      </c>
    </row>
    <row r="85" spans="1:16" s="29" customFormat="1" ht="15" customHeight="1">
      <c r="A85" s="31" t="str">
        <f>IF(ISBLANK(Inventory!A85),"",Inventory!A85)</f>
        <v>Piesporter (Small)</v>
      </c>
      <c r="B85" s="31" t="str">
        <f>IF(ISBLANK(Inventory!A85),"",Inventory!C85)</f>
        <v>375ml</v>
      </c>
      <c r="C85" s="187"/>
      <c r="D85" s="192"/>
      <c r="E85" s="187"/>
      <c r="F85" s="187"/>
      <c r="G85" s="187"/>
      <c r="H85" s="37">
        <f>IF(ISBLANK(Inventory!A85),0,C85+SUM('Week 1'!E85:G85)-SUM(E85:G85))</f>
        <v>0</v>
      </c>
      <c r="I85" s="35" t="str">
        <f>IF(OR(ISBLANK(J85),J85=0),"",Settings!$B$14)</f>
        <v/>
      </c>
      <c r="J85" s="30">
        <f>IF(ISBLANK(C85),0,C85*Inventory!H85)</f>
        <v>0</v>
      </c>
      <c r="K85" s="35" t="str">
        <f>IF(OR(ISBLANK(L85),L85=0),"",Settings!$B$14)</f>
        <v/>
      </c>
      <c r="L85" s="30">
        <f>IF(ISBLANK(Inventory!A85),0,SUM(E85:G85)*Inventory!H85)</f>
        <v>0</v>
      </c>
      <c r="M85" s="35" t="str">
        <f>IF(OR(ISBLANK(N85),N85=0),"",Settings!$B$14)</f>
        <v/>
      </c>
      <c r="N85" s="30">
        <f>IF(ISBLANK(Inventory!A85),0,SUM(E85:G85)*Inventory!J85)</f>
        <v>0</v>
      </c>
      <c r="O85" s="35" t="str">
        <f>IF(OR(ISBLANK(P85),P85=0),"",Settings!$B$14)</f>
        <v/>
      </c>
      <c r="P85" s="30">
        <f>IF(ISBLANK(Inventory!A85),0,H85*Inventory!J85)</f>
        <v>0</v>
      </c>
    </row>
    <row r="86" spans="1:16" s="29" customFormat="1" ht="15" customHeight="1">
      <c r="A86" s="31" t="str">
        <f>IF(ISBLANK(Inventory!A86),"",Inventory!A86)</f>
        <v>Pinot Grigio</v>
      </c>
      <c r="B86" s="31" t="str">
        <f>IF(ISBLANK(Inventory!A86),"",Inventory!C86)</f>
        <v>750ml</v>
      </c>
      <c r="C86" s="187"/>
      <c r="D86" s="192"/>
      <c r="E86" s="187"/>
      <c r="F86" s="187"/>
      <c r="G86" s="187"/>
      <c r="H86" s="37">
        <f>IF(ISBLANK(Inventory!A86),0,C86+SUM('Week 1'!E86:G86)-SUM(E86:G86))</f>
        <v>0</v>
      </c>
      <c r="I86" s="35" t="str">
        <f>IF(OR(ISBLANK(J86),J86=0),"",Settings!$B$14)</f>
        <v/>
      </c>
      <c r="J86" s="30">
        <f>IF(ISBLANK(C86),0,C86*Inventory!H86)</f>
        <v>0</v>
      </c>
      <c r="K86" s="35" t="str">
        <f>IF(OR(ISBLANK(L86),L86=0),"",Settings!$B$14)</f>
        <v/>
      </c>
      <c r="L86" s="30">
        <f>IF(ISBLANK(Inventory!A86),0,SUM(E86:G86)*Inventory!H86)</f>
        <v>0</v>
      </c>
      <c r="M86" s="35" t="str">
        <f>IF(OR(ISBLANK(N86),N86=0),"",Settings!$B$14)</f>
        <v/>
      </c>
      <c r="N86" s="30">
        <f>IF(ISBLANK(Inventory!A86),0,SUM(E86:G86)*Inventory!J86)</f>
        <v>0</v>
      </c>
      <c r="O86" s="35" t="str">
        <f>IF(OR(ISBLANK(P86),P86=0),"",Settings!$B$14)</f>
        <v/>
      </c>
      <c r="P86" s="30">
        <f>IF(ISBLANK(Inventory!A86),0,H86*Inventory!J86)</f>
        <v>0</v>
      </c>
    </row>
    <row r="87" spans="1:16" s="29" customFormat="1" ht="15" customHeight="1">
      <c r="A87" s="31" t="str">
        <f>IF(ISBLANK(Inventory!A87),"",Inventory!A87)</f>
        <v>Faustino Crianza</v>
      </c>
      <c r="B87" s="31" t="str">
        <f>IF(ISBLANK(Inventory!A87),"",Inventory!C87)</f>
        <v>750ml</v>
      </c>
      <c r="C87" s="187"/>
      <c r="D87" s="192"/>
      <c r="E87" s="187"/>
      <c r="F87" s="187"/>
      <c r="G87" s="187"/>
      <c r="H87" s="37">
        <f>IF(ISBLANK(Inventory!A87),0,C87+SUM('Week 1'!E87:G87)-SUM(E87:G87))</f>
        <v>0</v>
      </c>
      <c r="I87" s="35" t="str">
        <f>IF(OR(ISBLANK(J87),J87=0),"",Settings!$B$14)</f>
        <v/>
      </c>
      <c r="J87" s="30">
        <f>IF(ISBLANK(C87),0,C87*Inventory!H87)</f>
        <v>0</v>
      </c>
      <c r="K87" s="35" t="str">
        <f>IF(OR(ISBLANK(L87),L87=0),"",Settings!$B$14)</f>
        <v/>
      </c>
      <c r="L87" s="30">
        <f>IF(ISBLANK(Inventory!A87),0,SUM(E87:G87)*Inventory!H87)</f>
        <v>0</v>
      </c>
      <c r="M87" s="35" t="str">
        <f>IF(OR(ISBLANK(N87),N87=0),"",Settings!$B$14)</f>
        <v/>
      </c>
      <c r="N87" s="30">
        <f>IF(ISBLANK(Inventory!A87),0,SUM(E87:G87)*Inventory!J87)</f>
        <v>0</v>
      </c>
      <c r="O87" s="35" t="str">
        <f>IF(OR(ISBLANK(P87),P87=0),"",Settings!$B$14)</f>
        <v/>
      </c>
      <c r="P87" s="30">
        <f>IF(ISBLANK(Inventory!A87),0,H87*Inventory!J87)</f>
        <v>0</v>
      </c>
    </row>
    <row r="88" spans="1:16" s="29" customFormat="1" ht="15" customHeight="1">
      <c r="A88" s="31" t="str">
        <f>IF(ISBLANK(Inventory!A88),"",Inventory!A88)</f>
        <v>35º South White</v>
      </c>
      <c r="B88" s="31" t="str">
        <f>IF(ISBLANK(Inventory!A88),"",Inventory!C88)</f>
        <v>750ml</v>
      </c>
      <c r="C88" s="187"/>
      <c r="D88" s="192"/>
      <c r="E88" s="187"/>
      <c r="F88" s="187"/>
      <c r="G88" s="187"/>
      <c r="H88" s="37">
        <f>IF(ISBLANK(Inventory!A88),0,C88+SUM('Week 1'!E88:G88)-SUM(E88:G88))</f>
        <v>0</v>
      </c>
      <c r="I88" s="35" t="str">
        <f>IF(OR(ISBLANK(J88),J88=0),"",Settings!$B$14)</f>
        <v/>
      </c>
      <c r="J88" s="30">
        <f>IF(ISBLANK(C88),0,C88*Inventory!H88)</f>
        <v>0</v>
      </c>
      <c r="K88" s="35" t="str">
        <f>IF(OR(ISBLANK(L88),L88=0),"",Settings!$B$14)</f>
        <v/>
      </c>
      <c r="L88" s="30">
        <f>IF(ISBLANK(Inventory!A88),0,SUM(E88:G88)*Inventory!H88)</f>
        <v>0</v>
      </c>
      <c r="M88" s="35" t="str">
        <f>IF(OR(ISBLANK(N88),N88=0),"",Settings!$B$14)</f>
        <v/>
      </c>
      <c r="N88" s="30">
        <f>IF(ISBLANK(Inventory!A88),0,SUM(E88:G88)*Inventory!J88)</f>
        <v>0</v>
      </c>
      <c r="O88" s="35" t="str">
        <f>IF(OR(ISBLANK(P88),P88=0),"",Settings!$B$14)</f>
        <v/>
      </c>
      <c r="P88" s="30">
        <f>IF(ISBLANK(Inventory!A88),0,H88*Inventory!J88)</f>
        <v>0</v>
      </c>
    </row>
    <row r="89" spans="1:16" s="29" customFormat="1" ht="15" customHeight="1">
      <c r="A89" s="31" t="str">
        <f>IF(ISBLANK(Inventory!A89),"",Inventory!A89)</f>
        <v/>
      </c>
      <c r="B89" s="31" t="str">
        <f>IF(ISBLANK(Inventory!A89),"",Inventory!C89)</f>
        <v/>
      </c>
      <c r="C89" s="187"/>
      <c r="D89" s="192"/>
      <c r="E89" s="187"/>
      <c r="F89" s="187"/>
      <c r="G89" s="187"/>
      <c r="H89" s="37">
        <f>IF(ISBLANK(Inventory!A89),0,C89+SUM('Week 1'!E89:G89)-SUM(E89:G89))</f>
        <v>0</v>
      </c>
      <c r="I89" s="35" t="str">
        <f>IF(OR(ISBLANK(J89),J89=0),"",Settings!$B$14)</f>
        <v/>
      </c>
      <c r="J89" s="30">
        <f>IF(ISBLANK(C89),0,C89*Inventory!H89)</f>
        <v>0</v>
      </c>
      <c r="K89" s="35" t="str">
        <f>IF(OR(ISBLANK(L89),L89=0),"",Settings!$B$14)</f>
        <v/>
      </c>
      <c r="L89" s="30">
        <f>IF(ISBLANK(Inventory!A89),0,SUM(E89:G89)*Inventory!H89)</f>
        <v>0</v>
      </c>
      <c r="M89" s="35" t="str">
        <f>IF(OR(ISBLANK(N89),N89=0),"",Settings!$B$14)</f>
        <v/>
      </c>
      <c r="N89" s="30">
        <f>IF(ISBLANK(Inventory!A89),0,SUM(E89:G89)*Inventory!J89)</f>
        <v>0</v>
      </c>
      <c r="O89" s="35" t="str">
        <f>IF(OR(ISBLANK(P89),P89=0),"",Settings!$B$14)</f>
        <v/>
      </c>
      <c r="P89" s="30">
        <f>IF(ISBLANK(Inventory!A89),0,H89*Inventory!J89)</f>
        <v>0</v>
      </c>
    </row>
    <row r="90" spans="1:16" s="29" customFormat="1" ht="15" customHeight="1">
      <c r="A90" s="31" t="str">
        <f>IF(ISBLANK(Inventory!A90),"",Inventory!A90)</f>
        <v/>
      </c>
      <c r="B90" s="31" t="str">
        <f>IF(ISBLANK(Inventory!A90),"",Inventory!C90)</f>
        <v/>
      </c>
      <c r="C90" s="187"/>
      <c r="D90" s="192"/>
      <c r="E90" s="187"/>
      <c r="F90" s="187"/>
      <c r="G90" s="187"/>
      <c r="H90" s="37">
        <f>IF(ISBLANK(Inventory!A90),0,C90+SUM('Week 1'!E90:G90)-SUM(E90:G90))</f>
        <v>0</v>
      </c>
      <c r="I90" s="35" t="str">
        <f>IF(OR(ISBLANK(J90),J90=0),"",Settings!$B$14)</f>
        <v/>
      </c>
      <c r="J90" s="30">
        <f>IF(ISBLANK(C90),0,C90*Inventory!H90)</f>
        <v>0</v>
      </c>
      <c r="K90" s="35" t="str">
        <f>IF(OR(ISBLANK(L90),L90=0),"",Settings!$B$14)</f>
        <v/>
      </c>
      <c r="L90" s="30">
        <f>IF(ISBLANK(Inventory!A90),0,SUM(E90:G90)*Inventory!H90)</f>
        <v>0</v>
      </c>
      <c r="M90" s="35" t="str">
        <f>IF(OR(ISBLANK(N90),N90=0),"",Settings!$B$14)</f>
        <v/>
      </c>
      <c r="N90" s="30">
        <f>IF(ISBLANK(Inventory!A90),0,SUM(E90:G90)*Inventory!J90)</f>
        <v>0</v>
      </c>
      <c r="O90" s="35" t="str">
        <f>IF(OR(ISBLANK(P90),P90=0),"",Settings!$B$14)</f>
        <v/>
      </c>
      <c r="P90" s="30">
        <f>IF(ISBLANK(Inventory!A90),0,H90*Inventory!J90)</f>
        <v>0</v>
      </c>
    </row>
    <row r="91" spans="1:16" s="29" customFormat="1" ht="15" customHeight="1">
      <c r="A91" s="31" t="str">
        <f>IF(ISBLANK(Inventory!A91),"",Inventory!A91)</f>
        <v/>
      </c>
      <c r="B91" s="31" t="str">
        <f>IF(ISBLANK(Inventory!A91),"",Inventory!C91)</f>
        <v/>
      </c>
      <c r="C91" s="187"/>
      <c r="D91" s="192"/>
      <c r="E91" s="187"/>
      <c r="F91" s="187"/>
      <c r="G91" s="187"/>
      <c r="H91" s="37">
        <f>IF(ISBLANK(Inventory!A91),0,C91+SUM('Week 1'!E91:G91)-SUM(E91:G91))</f>
        <v>0</v>
      </c>
      <c r="I91" s="35" t="str">
        <f>IF(OR(ISBLANK(J91),J91=0),"",Settings!$B$14)</f>
        <v/>
      </c>
      <c r="J91" s="30">
        <f>IF(ISBLANK(C91),0,C91*Inventory!H91)</f>
        <v>0</v>
      </c>
      <c r="K91" s="35" t="str">
        <f>IF(OR(ISBLANK(L91),L91=0),"",Settings!$B$14)</f>
        <v/>
      </c>
      <c r="L91" s="30">
        <f>IF(ISBLANK(Inventory!A91),0,SUM(E91:G91)*Inventory!H91)</f>
        <v>0</v>
      </c>
      <c r="M91" s="35" t="str">
        <f>IF(OR(ISBLANK(N91),N91=0),"",Settings!$B$14)</f>
        <v/>
      </c>
      <c r="N91" s="30">
        <f>IF(ISBLANK(Inventory!A91),0,SUM(E91:G91)*Inventory!J91)</f>
        <v>0</v>
      </c>
      <c r="O91" s="35" t="str">
        <f>IF(OR(ISBLANK(P91),P91=0),"",Settings!$B$14)</f>
        <v/>
      </c>
      <c r="P91" s="30">
        <f>IF(ISBLANK(Inventory!A91),0,H91*Inventory!J91)</f>
        <v>0</v>
      </c>
    </row>
    <row r="92" spans="1:16" s="29" customFormat="1" ht="15" customHeight="1">
      <c r="A92" s="31" t="str">
        <f>IF(ISBLANK(Inventory!A92),"",Inventory!A92)</f>
        <v/>
      </c>
      <c r="B92" s="31" t="str">
        <f>IF(ISBLANK(Inventory!A92),"",Inventory!C92)</f>
        <v/>
      </c>
      <c r="C92" s="187"/>
      <c r="D92" s="192"/>
      <c r="E92" s="187"/>
      <c r="F92" s="187"/>
      <c r="G92" s="187"/>
      <c r="H92" s="37">
        <f>IF(ISBLANK(Inventory!A92),0,C92+SUM('Week 1'!E92:G92)-SUM(E92:G92))</f>
        <v>0</v>
      </c>
      <c r="I92" s="35" t="str">
        <f>IF(OR(ISBLANK(J92),J92=0),"",Settings!$B$14)</f>
        <v/>
      </c>
      <c r="J92" s="30">
        <f>IF(ISBLANK(C92),0,C92*Inventory!H92)</f>
        <v>0</v>
      </c>
      <c r="K92" s="35" t="str">
        <f>IF(OR(ISBLANK(L92),L92=0),"",Settings!$B$14)</f>
        <v/>
      </c>
      <c r="L92" s="30">
        <f>IF(ISBLANK(Inventory!A92),0,SUM(E92:G92)*Inventory!H92)</f>
        <v>0</v>
      </c>
      <c r="M92" s="35" t="str">
        <f>IF(OR(ISBLANK(N92),N92=0),"",Settings!$B$14)</f>
        <v/>
      </c>
      <c r="N92" s="30">
        <f>IF(ISBLANK(Inventory!A92),0,SUM(E92:G92)*Inventory!J92)</f>
        <v>0</v>
      </c>
      <c r="O92" s="35" t="str">
        <f>IF(OR(ISBLANK(P92),P92=0),"",Settings!$B$14)</f>
        <v/>
      </c>
      <c r="P92" s="30">
        <f>IF(ISBLANK(Inventory!A92),0,H92*Inventory!J92)</f>
        <v>0</v>
      </c>
    </row>
    <row r="93" spans="1:16" s="29" customFormat="1" ht="15" customHeight="1">
      <c r="A93" s="31" t="str">
        <f>IF(ISBLANK(Inventory!A93),"",Inventory!A93)</f>
        <v/>
      </c>
      <c r="B93" s="31" t="str">
        <f>IF(ISBLANK(Inventory!A93),"",Inventory!C93)</f>
        <v/>
      </c>
      <c r="C93" s="187"/>
      <c r="D93" s="192"/>
      <c r="E93" s="187"/>
      <c r="F93" s="187"/>
      <c r="G93" s="187"/>
      <c r="H93" s="37">
        <f>IF(ISBLANK(Inventory!A93),0,C93+SUM('Week 1'!E93:G93)-SUM(E93:G93))</f>
        <v>0</v>
      </c>
      <c r="I93" s="35" t="str">
        <f>IF(OR(ISBLANK(J93),J93=0),"",Settings!$B$14)</f>
        <v/>
      </c>
      <c r="J93" s="30">
        <f>IF(ISBLANK(C93),0,C93*Inventory!H93)</f>
        <v>0</v>
      </c>
      <c r="K93" s="35" t="str">
        <f>IF(OR(ISBLANK(L93),L93=0),"",Settings!$B$14)</f>
        <v/>
      </c>
      <c r="L93" s="30">
        <f>IF(ISBLANK(Inventory!A93),0,SUM(E93:G93)*Inventory!H93)</f>
        <v>0</v>
      </c>
      <c r="M93" s="35" t="str">
        <f>IF(OR(ISBLANK(N93),N93=0),"",Settings!$B$14)</f>
        <v/>
      </c>
      <c r="N93" s="30">
        <f>IF(ISBLANK(Inventory!A93),0,SUM(E93:G93)*Inventory!J93)</f>
        <v>0</v>
      </c>
      <c r="O93" s="35" t="str">
        <f>IF(OR(ISBLANK(P93),P93=0),"",Settings!$B$14)</f>
        <v/>
      </c>
      <c r="P93" s="30">
        <f>IF(ISBLANK(Inventory!A93),0,H93*Inventory!J93)</f>
        <v>0</v>
      </c>
    </row>
    <row r="94" spans="1:16" s="29" customFormat="1" ht="15" customHeight="1">
      <c r="A94" s="31" t="str">
        <f>IF(ISBLANK(Inventory!A94),"",Inventory!A94)</f>
        <v/>
      </c>
      <c r="B94" s="31" t="str">
        <f>IF(ISBLANK(Inventory!A94),"",Inventory!C94)</f>
        <v/>
      </c>
      <c r="C94" s="187"/>
      <c r="D94" s="192"/>
      <c r="E94" s="187"/>
      <c r="F94" s="187"/>
      <c r="G94" s="187"/>
      <c r="H94" s="37">
        <f>IF(ISBLANK(Inventory!A94),0,C94+SUM('Week 1'!E94:G94)-SUM(E94:G94))</f>
        <v>0</v>
      </c>
      <c r="I94" s="35" t="str">
        <f>IF(OR(ISBLANK(J94),J94=0),"",Settings!$B$14)</f>
        <v/>
      </c>
      <c r="J94" s="30">
        <f>IF(ISBLANK(C94),0,C94*Inventory!H94)</f>
        <v>0</v>
      </c>
      <c r="K94" s="35" t="str">
        <f>IF(OR(ISBLANK(L94),L94=0),"",Settings!$B$14)</f>
        <v/>
      </c>
      <c r="L94" s="30">
        <f>IF(ISBLANK(Inventory!A94),0,SUM(E94:G94)*Inventory!H94)</f>
        <v>0</v>
      </c>
      <c r="M94" s="35" t="str">
        <f>IF(OR(ISBLANK(N94),N94=0),"",Settings!$B$14)</f>
        <v/>
      </c>
      <c r="N94" s="30">
        <f>IF(ISBLANK(Inventory!A94),0,SUM(E94:G94)*Inventory!J94)</f>
        <v>0</v>
      </c>
      <c r="O94" s="35" t="str">
        <f>IF(OR(ISBLANK(P94),P94=0),"",Settings!$B$14)</f>
        <v/>
      </c>
      <c r="P94" s="30">
        <f>IF(ISBLANK(Inventory!A94),0,H94*Inventory!J94)</f>
        <v>0</v>
      </c>
    </row>
    <row r="95" spans="1:16" s="29" customFormat="1" ht="15" customHeight="1">
      <c r="A95" s="31" t="str">
        <f>IF(ISBLANK(Inventory!A95),"",Inventory!A95)</f>
        <v/>
      </c>
      <c r="B95" s="31" t="str">
        <f>IF(ISBLANK(Inventory!A95),"",Inventory!C95)</f>
        <v/>
      </c>
      <c r="C95" s="187"/>
      <c r="D95" s="192"/>
      <c r="E95" s="187"/>
      <c r="F95" s="187"/>
      <c r="G95" s="187"/>
      <c r="H95" s="37">
        <f>IF(ISBLANK(Inventory!A95),0,C95+SUM('Week 1'!E95:G95)-SUM(E95:G95))</f>
        <v>0</v>
      </c>
      <c r="I95" s="35" t="str">
        <f>IF(OR(ISBLANK(J95),J95=0),"",Settings!$B$14)</f>
        <v/>
      </c>
      <c r="J95" s="30">
        <f>IF(ISBLANK(C95),0,C95*Inventory!H95)</f>
        <v>0</v>
      </c>
      <c r="K95" s="35" t="str">
        <f>IF(OR(ISBLANK(L95),L95=0),"",Settings!$B$14)</f>
        <v/>
      </c>
      <c r="L95" s="30">
        <f>IF(ISBLANK(Inventory!A95),0,SUM(E95:G95)*Inventory!H95)</f>
        <v>0</v>
      </c>
      <c r="M95" s="35" t="str">
        <f>IF(OR(ISBLANK(N95),N95=0),"",Settings!$B$14)</f>
        <v/>
      </c>
      <c r="N95" s="30">
        <f>IF(ISBLANK(Inventory!A95),0,SUM(E95:G95)*Inventory!J95)</f>
        <v>0</v>
      </c>
      <c r="O95" s="35" t="str">
        <f>IF(OR(ISBLANK(P95),P95=0),"",Settings!$B$14)</f>
        <v/>
      </c>
      <c r="P95" s="30">
        <f>IF(ISBLANK(Inventory!A95),0,H95*Inventory!J95)</f>
        <v>0</v>
      </c>
    </row>
    <row r="96" spans="1:16" s="29" customFormat="1" ht="15" customHeight="1">
      <c r="A96" s="31" t="str">
        <f>IF(ISBLANK(Inventory!A96),"",Inventory!A96)</f>
        <v/>
      </c>
      <c r="B96" s="31" t="str">
        <f>IF(ISBLANK(Inventory!A96),"",Inventory!C96)</f>
        <v/>
      </c>
      <c r="C96" s="187"/>
      <c r="D96" s="192"/>
      <c r="E96" s="187"/>
      <c r="F96" s="187"/>
      <c r="G96" s="187"/>
      <c r="H96" s="37">
        <f>IF(ISBLANK(Inventory!A96),0,C96+SUM('Week 1'!E96:G96)-SUM(E96:G96))</f>
        <v>0</v>
      </c>
      <c r="I96" s="35" t="str">
        <f>IF(OR(ISBLANK(J96),J96=0),"",Settings!$B$14)</f>
        <v/>
      </c>
      <c r="J96" s="30">
        <f>IF(ISBLANK(C96),0,C96*Inventory!H96)</f>
        <v>0</v>
      </c>
      <c r="K96" s="35" t="str">
        <f>IF(OR(ISBLANK(L96),L96=0),"",Settings!$B$14)</f>
        <v/>
      </c>
      <c r="L96" s="30">
        <f>IF(ISBLANK(Inventory!A96),0,SUM(E96:G96)*Inventory!H96)</f>
        <v>0</v>
      </c>
      <c r="M96" s="35" t="str">
        <f>IF(OR(ISBLANK(N96),N96=0),"",Settings!$B$14)</f>
        <v/>
      </c>
      <c r="N96" s="30">
        <f>IF(ISBLANK(Inventory!A96),0,SUM(E96:G96)*Inventory!J96)</f>
        <v>0</v>
      </c>
      <c r="O96" s="35" t="str">
        <f>IF(OR(ISBLANK(P96),P96=0),"",Settings!$B$14)</f>
        <v/>
      </c>
      <c r="P96" s="30">
        <f>IF(ISBLANK(Inventory!A96),0,H96*Inventory!J96)</f>
        <v>0</v>
      </c>
    </row>
    <row r="97" spans="1:16" s="29" customFormat="1" ht="15" customHeight="1">
      <c r="A97" s="31" t="str">
        <f>IF(ISBLANK(Inventory!A97),"",Inventory!A97)</f>
        <v/>
      </c>
      <c r="B97" s="31" t="str">
        <f>IF(ISBLANK(Inventory!A97),"",Inventory!C97)</f>
        <v/>
      </c>
      <c r="C97" s="187"/>
      <c r="D97" s="192"/>
      <c r="E97" s="187"/>
      <c r="F97" s="187"/>
      <c r="G97" s="187"/>
      <c r="H97" s="37">
        <f>IF(ISBLANK(Inventory!A97),0,C97+SUM('Week 1'!E97:G97)-SUM(E97:G97))</f>
        <v>0</v>
      </c>
      <c r="I97" s="35" t="str">
        <f>IF(OR(ISBLANK(J97),J97=0),"",Settings!$B$14)</f>
        <v/>
      </c>
      <c r="J97" s="30">
        <f>IF(ISBLANK(C97),0,C97*Inventory!H97)</f>
        <v>0</v>
      </c>
      <c r="K97" s="35" t="str">
        <f>IF(OR(ISBLANK(L97),L97=0),"",Settings!$B$14)</f>
        <v/>
      </c>
      <c r="L97" s="30">
        <f>IF(ISBLANK(Inventory!A97),0,SUM(E97:G97)*Inventory!H97)</f>
        <v>0</v>
      </c>
      <c r="M97" s="35" t="str">
        <f>IF(OR(ISBLANK(N97),N97=0),"",Settings!$B$14)</f>
        <v/>
      </c>
      <c r="N97" s="30">
        <f>IF(ISBLANK(Inventory!A97),0,SUM(E97:G97)*Inventory!J97)</f>
        <v>0</v>
      </c>
      <c r="O97" s="35" t="str">
        <f>IF(OR(ISBLANK(P97),P97=0),"",Settings!$B$14)</f>
        <v/>
      </c>
      <c r="P97" s="30">
        <f>IF(ISBLANK(Inventory!A97),0,H97*Inventory!J97)</f>
        <v>0</v>
      </c>
    </row>
    <row r="98" spans="1:16" ht="6.95" customHeight="1">
      <c r="A98" s="24"/>
      <c r="B98" s="24"/>
      <c r="C98" s="69"/>
      <c r="D98" s="69"/>
      <c r="E98" s="69"/>
      <c r="F98" s="69"/>
      <c r="G98" s="69"/>
      <c r="H98" s="69"/>
      <c r="I98" s="69"/>
      <c r="J98" s="69"/>
      <c r="K98" s="69"/>
      <c r="L98" s="25"/>
      <c r="M98" s="62"/>
      <c r="N98" s="160"/>
      <c r="O98" s="25"/>
      <c r="P98" s="160"/>
    </row>
    <row r="99" spans="1:16" s="45" customFormat="1" ht="18" customHeight="1" thickBot="1">
      <c r="A99" s="78" t="str">
        <f>Inventory!A99</f>
        <v>DRAUGHT BEER</v>
      </c>
      <c r="B99" s="78" t="str">
        <f>Inventory!C99</f>
        <v>VOLUME</v>
      </c>
      <c r="C99" s="22" t="s">
        <v>187</v>
      </c>
      <c r="D99" s="22"/>
      <c r="E99" s="22" t="s">
        <v>101</v>
      </c>
      <c r="F99" s="22"/>
      <c r="G99" s="23" t="s">
        <v>108</v>
      </c>
      <c r="H99" s="79" t="s">
        <v>119</v>
      </c>
      <c r="I99" s="253" t="s">
        <v>190</v>
      </c>
      <c r="J99" s="253"/>
      <c r="K99" s="235" t="s">
        <v>30</v>
      </c>
      <c r="L99" s="235"/>
      <c r="M99" s="235" t="s">
        <v>31</v>
      </c>
      <c r="N99" s="235"/>
      <c r="O99" s="235" t="s">
        <v>189</v>
      </c>
      <c r="P99" s="235"/>
    </row>
    <row r="100" spans="1:16" ht="6.95" customHeight="1" thickTop="1">
      <c r="A100" s="193"/>
      <c r="B100" s="194"/>
      <c r="C100" s="71"/>
      <c r="D100" s="71"/>
      <c r="E100" s="67"/>
      <c r="F100" s="67"/>
      <c r="G100" s="71"/>
      <c r="H100" s="71"/>
      <c r="I100" s="71"/>
      <c r="J100" s="71"/>
      <c r="K100" s="71"/>
      <c r="L100" s="67"/>
      <c r="M100" s="62"/>
      <c r="N100" s="67"/>
      <c r="O100" s="67"/>
      <c r="P100" s="67"/>
    </row>
    <row r="101" spans="1:16" s="29" customFormat="1" ht="15" customHeight="1">
      <c r="A101" s="31" t="str">
        <f>IF(ISBLANK(Inventory!A101),"",Inventory!A101)</f>
        <v>Boddingtons</v>
      </c>
      <c r="B101" s="31" t="str">
        <f>IF(ISBLANK(Inventory!A101),"",Inventory!C101)</f>
        <v>22 Gallon</v>
      </c>
      <c r="C101" s="187">
        <v>1</v>
      </c>
      <c r="D101" s="192"/>
      <c r="E101" s="187">
        <v>1</v>
      </c>
      <c r="F101" s="173"/>
      <c r="G101" s="187">
        <v>0.5</v>
      </c>
      <c r="H101" s="37">
        <f>IF(ISBLANK(Inventory!A101),0,C101+SUM('Week 1'!E101:G101)-SUM(E101:G101))</f>
        <v>1</v>
      </c>
      <c r="I101" s="35" t="str">
        <f>IF(OR(ISBLANK(J101),J101=0),"",Settings!$B$14)</f>
        <v>$</v>
      </c>
      <c r="J101" s="30">
        <f>IF(ISBLANK(C101),0,C101*Inventory!F101)</f>
        <v>95.38</v>
      </c>
      <c r="K101" s="35" t="str">
        <f>IF(OR(ISBLANK(L101),L101=0),"",Settings!$B$14)</f>
        <v>$</v>
      </c>
      <c r="L101" s="30">
        <f>IF(ISBLANK(Inventory!A101),0,SUM(E101:G101)*Inventory!F101)</f>
        <v>143.07</v>
      </c>
      <c r="M101" s="35" t="str">
        <f>IF(OR(ISBLANK(N101),N101=0),"",Settings!$B$14)</f>
        <v>$</v>
      </c>
      <c r="N101" s="30">
        <f>IF(ISBLANK(Inventory!A101),0,SUM(E101:G101)*Inventory!L101)</f>
        <v>707.52</v>
      </c>
      <c r="O101" s="35" t="str">
        <f>IF(OR(ISBLANK(P101),P101=0),"",Settings!$B$14)</f>
        <v>$</v>
      </c>
      <c r="P101" s="30">
        <f>IF(ISBLANK(Inventory!A101),0,H101*Inventory!L101)</f>
        <v>471.68</v>
      </c>
    </row>
    <row r="102" spans="1:16" s="29" customFormat="1" ht="15" customHeight="1">
      <c r="A102" s="31" t="str">
        <f>IF(ISBLANK(Inventory!A102),"",Inventory!A102)</f>
        <v>Murphy's</v>
      </c>
      <c r="B102" s="31" t="str">
        <f>IF(ISBLANK(Inventory!A102),"",Inventory!C102)</f>
        <v>10 Gallon</v>
      </c>
      <c r="C102" s="187">
        <v>1</v>
      </c>
      <c r="D102" s="192"/>
      <c r="E102" s="187">
        <v>1</v>
      </c>
      <c r="F102" s="173"/>
      <c r="G102" s="187">
        <v>0.1</v>
      </c>
      <c r="H102" s="37">
        <f>IF(ISBLANK(Inventory!A102),0,C102+SUM('Week 1'!E102:G102)-SUM(E102:G102))</f>
        <v>0.19999999999999996</v>
      </c>
      <c r="I102" s="35" t="str">
        <f>IF(OR(ISBLANK(J102),J102=0),"",Settings!$B$14)</f>
        <v>$</v>
      </c>
      <c r="J102" s="30">
        <f>IF(ISBLANK(C102),0,C102*Inventory!F102)</f>
        <v>53.25</v>
      </c>
      <c r="K102" s="35" t="str">
        <f>IF(OR(ISBLANK(L102),L102=0),"",Settings!$B$14)</f>
        <v>$</v>
      </c>
      <c r="L102" s="30">
        <f>IF(ISBLANK(Inventory!A102),0,SUM(E102:G102)*Inventory!F102)</f>
        <v>58.575000000000003</v>
      </c>
      <c r="M102" s="35" t="str">
        <f>IF(OR(ISBLANK(N102),N102=0),"",Settings!$B$14)</f>
        <v>$</v>
      </c>
      <c r="N102" s="30">
        <f>IF(ISBLANK(Inventory!A102),0,SUM(E102:G102)*Inventory!L102)</f>
        <v>256.96000000000004</v>
      </c>
      <c r="O102" s="35" t="str">
        <f>IF(OR(ISBLANK(P102),P102=0),"",Settings!$B$14)</f>
        <v>$</v>
      </c>
      <c r="P102" s="30">
        <f>IF(ISBLANK(Inventory!A102),0,H102*Inventory!L102)</f>
        <v>46.719999999999992</v>
      </c>
    </row>
    <row r="103" spans="1:16" s="29" customFormat="1" ht="15" customHeight="1">
      <c r="A103" s="31" t="str">
        <f>IF(ISBLANK(Inventory!A103),"",Inventory!A103)</f>
        <v/>
      </c>
      <c r="B103" s="31" t="str">
        <f>IF(ISBLANK(Inventory!A103),"",Inventory!C103)</f>
        <v/>
      </c>
      <c r="C103" s="187"/>
      <c r="D103" s="192"/>
      <c r="E103" s="187"/>
      <c r="F103" s="173"/>
      <c r="G103" s="187"/>
      <c r="H103" s="37">
        <f>IF(ISBLANK(Inventory!A103),0,C103+SUM('Week 1'!E103:G103)-SUM(E103:G103))</f>
        <v>0</v>
      </c>
      <c r="I103" s="35" t="str">
        <f>IF(OR(ISBLANK(J103),J103=0),"",Settings!$B$14)</f>
        <v/>
      </c>
      <c r="J103" s="30">
        <f>IF(ISBLANK(C103),0,C103*Inventory!F103)</f>
        <v>0</v>
      </c>
      <c r="K103" s="35" t="str">
        <f>IF(OR(ISBLANK(L103),L103=0),"",Settings!$B$14)</f>
        <v/>
      </c>
      <c r="L103" s="30">
        <f>IF(ISBLANK(Inventory!A103),0,SUM(E103:G103)*Inventory!F103)</f>
        <v>0</v>
      </c>
      <c r="M103" s="35" t="str">
        <f>IF(OR(ISBLANK(N103),N103=0),"",Settings!$B$14)</f>
        <v/>
      </c>
      <c r="N103" s="30">
        <f>IF(ISBLANK(Inventory!A103),0,SUM(E103:G103)*Inventory!L103)</f>
        <v>0</v>
      </c>
      <c r="O103" s="35" t="str">
        <f>IF(OR(ISBLANK(P103),P103=0),"",Settings!$B$14)</f>
        <v/>
      </c>
      <c r="P103" s="30">
        <f>IF(ISBLANK(Inventory!A103),0,H103*Inventory!L103)</f>
        <v>0</v>
      </c>
    </row>
    <row r="104" spans="1:16" s="29" customFormat="1" ht="15" customHeight="1">
      <c r="A104" s="31" t="str">
        <f>IF(ISBLANK(Inventory!A104),"",Inventory!A104)</f>
        <v/>
      </c>
      <c r="B104" s="31" t="str">
        <f>IF(ISBLANK(Inventory!A104),"",Inventory!C104)</f>
        <v/>
      </c>
      <c r="C104" s="187"/>
      <c r="D104" s="192"/>
      <c r="E104" s="187"/>
      <c r="F104" s="173"/>
      <c r="G104" s="187"/>
      <c r="H104" s="37">
        <f>IF(ISBLANK(Inventory!A104),0,C104+SUM('Week 1'!E104:G104)-SUM(E104:G104))</f>
        <v>0</v>
      </c>
      <c r="I104" s="35" t="str">
        <f>IF(OR(ISBLANK(J104),J104=0),"",Settings!$B$14)</f>
        <v/>
      </c>
      <c r="J104" s="30">
        <f>IF(ISBLANK(C104),0,C104*Inventory!F104)</f>
        <v>0</v>
      </c>
      <c r="K104" s="35" t="str">
        <f>IF(OR(ISBLANK(L104),L104=0),"",Settings!$B$14)</f>
        <v/>
      </c>
      <c r="L104" s="30">
        <f>IF(ISBLANK(Inventory!A104),0,SUM(E104:G104)*Inventory!F104)</f>
        <v>0</v>
      </c>
      <c r="M104" s="35" t="str">
        <f>IF(OR(ISBLANK(N104),N104=0),"",Settings!$B$14)</f>
        <v/>
      </c>
      <c r="N104" s="30">
        <f>IF(ISBLANK(Inventory!A104),0,SUM(E104:G104)*Inventory!L104)</f>
        <v>0</v>
      </c>
      <c r="O104" s="35" t="str">
        <f>IF(OR(ISBLANK(P104),P104=0),"",Settings!$B$14)</f>
        <v/>
      </c>
      <c r="P104" s="30">
        <f>IF(ISBLANK(Inventory!A104),0,H104*Inventory!L104)</f>
        <v>0</v>
      </c>
    </row>
    <row r="105" spans="1:16" s="29" customFormat="1" ht="15" customHeight="1">
      <c r="A105" s="31" t="str">
        <f>IF(ISBLANK(Inventory!A105),"",Inventory!A105)</f>
        <v/>
      </c>
      <c r="B105" s="31" t="str">
        <f>IF(ISBLANK(Inventory!A105),"",Inventory!C105)</f>
        <v/>
      </c>
      <c r="C105" s="187"/>
      <c r="D105" s="192"/>
      <c r="E105" s="187"/>
      <c r="F105" s="173"/>
      <c r="G105" s="187"/>
      <c r="H105" s="37">
        <f>IF(ISBLANK(Inventory!A105),0,C105+SUM('Week 1'!E105:G105)-SUM(E105:G105))</f>
        <v>0</v>
      </c>
      <c r="I105" s="35" t="str">
        <f>IF(OR(ISBLANK(J105),J105=0),"",Settings!$B$14)</f>
        <v/>
      </c>
      <c r="J105" s="30">
        <f>IF(ISBLANK(C105),0,C105*Inventory!F105)</f>
        <v>0</v>
      </c>
      <c r="K105" s="35" t="str">
        <f>IF(OR(ISBLANK(L105),L105=0),"",Settings!$B$14)</f>
        <v/>
      </c>
      <c r="L105" s="30">
        <f>IF(ISBLANK(Inventory!A105),0,SUM(E105:G105)*Inventory!F105)</f>
        <v>0</v>
      </c>
      <c r="M105" s="35" t="str">
        <f>IF(OR(ISBLANK(N105),N105=0),"",Settings!$B$14)</f>
        <v/>
      </c>
      <c r="N105" s="30">
        <f>IF(ISBLANK(Inventory!A105),0,SUM(E105:G105)*Inventory!L105)</f>
        <v>0</v>
      </c>
      <c r="O105" s="35" t="str">
        <f>IF(OR(ISBLANK(P105),P105=0),"",Settings!$B$14)</f>
        <v/>
      </c>
      <c r="P105" s="30">
        <f>IF(ISBLANK(Inventory!A105),0,H105*Inventory!L105)</f>
        <v>0</v>
      </c>
    </row>
    <row r="106" spans="1:16" s="29" customFormat="1" ht="15" customHeight="1">
      <c r="A106" s="31" t="str">
        <f>IF(ISBLANK(Inventory!A106),"",Inventory!A106)</f>
        <v/>
      </c>
      <c r="B106" s="31" t="str">
        <f>IF(ISBLANK(Inventory!A106),"",Inventory!C106)</f>
        <v/>
      </c>
      <c r="C106" s="187"/>
      <c r="D106" s="192"/>
      <c r="E106" s="187"/>
      <c r="F106" s="173"/>
      <c r="G106" s="187"/>
      <c r="H106" s="37">
        <f>IF(ISBLANK(Inventory!A106),0,C106+SUM('Week 1'!E106:G106)-SUM(E106:G106))</f>
        <v>0</v>
      </c>
      <c r="I106" s="35" t="str">
        <f>IF(OR(ISBLANK(J106),J106=0),"",Settings!$B$14)</f>
        <v/>
      </c>
      <c r="J106" s="30">
        <f>IF(ISBLANK(C106),0,C106*Inventory!F106)</f>
        <v>0</v>
      </c>
      <c r="K106" s="35" t="str">
        <f>IF(OR(ISBLANK(L106),L106=0),"",Settings!$B$14)</f>
        <v/>
      </c>
      <c r="L106" s="30">
        <f>IF(ISBLANK(Inventory!A106),0,SUM(E106:G106)*Inventory!F106)</f>
        <v>0</v>
      </c>
      <c r="M106" s="35" t="str">
        <f>IF(OR(ISBLANK(N106),N106=0),"",Settings!$B$14)</f>
        <v/>
      </c>
      <c r="N106" s="30">
        <f>IF(ISBLANK(Inventory!A106),0,SUM(E106:G106)*Inventory!L106)</f>
        <v>0</v>
      </c>
      <c r="O106" s="35" t="str">
        <f>IF(OR(ISBLANK(P106),P106=0),"",Settings!$B$14)</f>
        <v/>
      </c>
      <c r="P106" s="30">
        <f>IF(ISBLANK(Inventory!A106),0,H106*Inventory!L106)</f>
        <v>0</v>
      </c>
    </row>
    <row r="107" spans="1:16" ht="6.95" customHeight="1">
      <c r="A107" s="24"/>
      <c r="B107" s="24"/>
      <c r="C107" s="69"/>
      <c r="D107" s="69"/>
      <c r="E107" s="69"/>
      <c r="F107" s="69"/>
      <c r="G107" s="69"/>
      <c r="H107" s="69"/>
      <c r="I107" s="69"/>
      <c r="J107" s="69"/>
      <c r="K107" s="69"/>
      <c r="L107" s="25"/>
      <c r="M107" s="62"/>
      <c r="N107" s="160"/>
      <c r="O107" s="25"/>
      <c r="P107" s="160"/>
    </row>
    <row r="108" spans="1:16" s="45" customFormat="1" ht="18" customHeight="1" thickBot="1">
      <c r="A108" s="78" t="str">
        <f>Inventory!A108</f>
        <v>DRAUGHT LAGER</v>
      </c>
      <c r="B108" s="78" t="str">
        <f>Inventory!C108</f>
        <v>VOLUME</v>
      </c>
      <c r="C108" s="22" t="s">
        <v>187</v>
      </c>
      <c r="D108" s="22"/>
      <c r="E108" s="22" t="s">
        <v>101</v>
      </c>
      <c r="F108" s="22"/>
      <c r="G108" s="23" t="s">
        <v>108</v>
      </c>
      <c r="H108" s="79" t="s">
        <v>119</v>
      </c>
      <c r="I108" s="253" t="s">
        <v>190</v>
      </c>
      <c r="J108" s="253"/>
      <c r="K108" s="235" t="s">
        <v>30</v>
      </c>
      <c r="L108" s="235"/>
      <c r="M108" s="235" t="s">
        <v>31</v>
      </c>
      <c r="N108" s="235"/>
      <c r="O108" s="235" t="s">
        <v>189</v>
      </c>
      <c r="P108" s="235"/>
    </row>
    <row r="109" spans="1:16" ht="6.95" customHeight="1" thickTop="1">
      <c r="A109" s="193"/>
      <c r="B109" s="194"/>
      <c r="C109" s="71"/>
      <c r="D109" s="71"/>
      <c r="E109" s="67"/>
      <c r="F109" s="67"/>
      <c r="G109" s="71"/>
      <c r="H109" s="71"/>
      <c r="I109" s="71"/>
      <c r="J109" s="71"/>
      <c r="K109" s="71"/>
      <c r="L109" s="67"/>
      <c r="M109" s="62"/>
      <c r="N109" s="67"/>
      <c r="O109" s="67"/>
      <c r="P109" s="67"/>
    </row>
    <row r="110" spans="1:16" s="29" customFormat="1" ht="15" customHeight="1">
      <c r="A110" s="31" t="str">
        <f>IF(ISBLANK(Inventory!A110),"",Inventory!A110)</f>
        <v>Hoegaarden</v>
      </c>
      <c r="B110" s="31" t="str">
        <f>IF(ISBLANK(Inventory!A110),"",Inventory!C110)</f>
        <v>7.1 Gallon</v>
      </c>
      <c r="C110" s="187"/>
      <c r="D110" s="192"/>
      <c r="E110" s="187">
        <v>1</v>
      </c>
      <c r="F110" s="173"/>
      <c r="G110" s="187">
        <v>0.8</v>
      </c>
      <c r="H110" s="37">
        <f>IF(ISBLANK(Inventory!A110),0,C110+SUM('Week 1'!E110:G110)-SUM(E110:G110))</f>
        <v>0</v>
      </c>
      <c r="I110" s="35" t="str">
        <f>IF(OR(ISBLANK(J110),J110=0),"",Settings!$B$14)</f>
        <v/>
      </c>
      <c r="J110" s="30">
        <f>IF(ISBLANK(C110),0,C110*Inventory!F110)</f>
        <v>0</v>
      </c>
      <c r="K110" s="35" t="str">
        <f>IF(OR(ISBLANK(L110),L110=0),"",Settings!$B$14)</f>
        <v>$</v>
      </c>
      <c r="L110" s="30">
        <f>IF(ISBLANK(Inventory!A110),0,SUM(E110:G110)*Inventory!F110)</f>
        <v>63</v>
      </c>
      <c r="M110" s="35" t="str">
        <f>IF(OR(ISBLANK(N110),N110=0),"",Settings!$B$14)</f>
        <v>$</v>
      </c>
      <c r="N110" s="30">
        <f>IF(ISBLANK(Inventory!A110),0,SUM(E110:G110)*Inventory!L110)</f>
        <v>260.71199999999999</v>
      </c>
      <c r="O110" s="35" t="str">
        <f>IF(OR(ISBLANK(P110),P110=0),"",Settings!$B$14)</f>
        <v/>
      </c>
      <c r="P110" s="30">
        <f>IF(ISBLANK(Inventory!A110),0,H110*Inventory!L110)</f>
        <v>0</v>
      </c>
    </row>
    <row r="111" spans="1:16" s="29" customFormat="1" ht="15" customHeight="1">
      <c r="A111" s="31" t="str">
        <f>IF(ISBLANK(Inventory!A111),"",Inventory!A111)</f>
        <v>Stella Artois</v>
      </c>
      <c r="B111" s="31" t="str">
        <f>IF(ISBLANK(Inventory!A111),"",Inventory!C111)</f>
        <v>22 Gallon</v>
      </c>
      <c r="C111" s="187"/>
      <c r="D111" s="192"/>
      <c r="E111" s="187"/>
      <c r="F111" s="173"/>
      <c r="G111" s="187"/>
      <c r="H111" s="37">
        <f>IF(ISBLANK(Inventory!A111),0,C111+SUM('Week 1'!E111:G111)-SUM(E111:G111))</f>
        <v>0</v>
      </c>
      <c r="I111" s="35" t="str">
        <f>IF(OR(ISBLANK(J111),J111=0),"",Settings!$B$14)</f>
        <v/>
      </c>
      <c r="J111" s="30">
        <f>IF(ISBLANK(C111),0,C111*Inventory!F111)</f>
        <v>0</v>
      </c>
      <c r="K111" s="35" t="str">
        <f>IF(OR(ISBLANK(L111),L111=0),"",Settings!$B$14)</f>
        <v/>
      </c>
      <c r="L111" s="30">
        <f>IF(ISBLANK(Inventory!A111),0,SUM(E111:G111)*Inventory!F111)</f>
        <v>0</v>
      </c>
      <c r="M111" s="35" t="str">
        <f>IF(OR(ISBLANK(N111),N111=0),"",Settings!$B$14)</f>
        <v/>
      </c>
      <c r="N111" s="30">
        <f>IF(ISBLANK(Inventory!A111),0,SUM(E111:G111)*Inventory!L111)</f>
        <v>0</v>
      </c>
      <c r="O111" s="35" t="str">
        <f>IF(OR(ISBLANK(P111),P111=0),"",Settings!$B$14)</f>
        <v/>
      </c>
      <c r="P111" s="30">
        <f>IF(ISBLANK(Inventory!A111),0,H111*Inventory!L111)</f>
        <v>0</v>
      </c>
    </row>
    <row r="112" spans="1:16" s="29" customFormat="1" ht="15" customHeight="1">
      <c r="A112" s="31" t="str">
        <f>IF(ISBLANK(Inventory!A112),"",Inventory!A112)</f>
        <v>Stella Artois</v>
      </c>
      <c r="B112" s="31" t="str">
        <f>IF(ISBLANK(Inventory!A112),"",Inventory!C112)</f>
        <v>10 Gallon</v>
      </c>
      <c r="C112" s="187"/>
      <c r="D112" s="192"/>
      <c r="E112" s="187"/>
      <c r="F112" s="173"/>
      <c r="G112" s="187"/>
      <c r="H112" s="37">
        <f>IF(ISBLANK(Inventory!A112),0,C112+SUM('Week 1'!E112:G112)-SUM(E112:G112))</f>
        <v>0</v>
      </c>
      <c r="I112" s="35" t="str">
        <f>IF(OR(ISBLANK(J112),J112=0),"",Settings!$B$14)</f>
        <v/>
      </c>
      <c r="J112" s="30">
        <f>IF(ISBLANK(C112),0,C112*Inventory!F112)</f>
        <v>0</v>
      </c>
      <c r="K112" s="35" t="str">
        <f>IF(OR(ISBLANK(L112),L112=0),"",Settings!$B$14)</f>
        <v/>
      </c>
      <c r="L112" s="30">
        <f>IF(ISBLANK(Inventory!A112),0,SUM(E112:G112)*Inventory!F112)</f>
        <v>0</v>
      </c>
      <c r="M112" s="35" t="str">
        <f>IF(OR(ISBLANK(N112),N112=0),"",Settings!$B$14)</f>
        <v/>
      </c>
      <c r="N112" s="30">
        <f>IF(ISBLANK(Inventory!A112),0,SUM(E112:G112)*Inventory!L112)</f>
        <v>0</v>
      </c>
      <c r="O112" s="35" t="str">
        <f>IF(OR(ISBLANK(P112),P112=0),"",Settings!$B$14)</f>
        <v/>
      </c>
      <c r="P112" s="30">
        <f>IF(ISBLANK(Inventory!A112),0,H112*Inventory!L112)</f>
        <v>0</v>
      </c>
    </row>
    <row r="113" spans="1:16" s="29" customFormat="1" ht="15" customHeight="1">
      <c r="A113" s="31" t="str">
        <f>IF(ISBLANK(Inventory!A113),"",Inventory!A113)</f>
        <v/>
      </c>
      <c r="B113" s="31" t="str">
        <f>IF(ISBLANK(Inventory!A113),"",Inventory!C113)</f>
        <v/>
      </c>
      <c r="C113" s="187"/>
      <c r="D113" s="192"/>
      <c r="E113" s="187"/>
      <c r="F113" s="173"/>
      <c r="G113" s="187"/>
      <c r="H113" s="37">
        <f>IF(ISBLANK(Inventory!A113),0,C113+SUM('Week 1'!E113:G113)-SUM(E113:G113))</f>
        <v>0</v>
      </c>
      <c r="I113" s="35" t="str">
        <f>IF(OR(ISBLANK(J113),J113=0),"",Settings!$B$14)</f>
        <v/>
      </c>
      <c r="J113" s="30">
        <f>IF(ISBLANK(C113),0,C113*Inventory!F113)</f>
        <v>0</v>
      </c>
      <c r="K113" s="35" t="str">
        <f>IF(OR(ISBLANK(L113),L113=0),"",Settings!$B$14)</f>
        <v/>
      </c>
      <c r="L113" s="30">
        <f>IF(ISBLANK(Inventory!A113),0,SUM(E113:G113)*Inventory!F113)</f>
        <v>0</v>
      </c>
      <c r="M113" s="35" t="str">
        <f>IF(OR(ISBLANK(N113),N113=0),"",Settings!$B$14)</f>
        <v/>
      </c>
      <c r="N113" s="30">
        <f>IF(ISBLANK(Inventory!A113),0,SUM(E113:G113)*Inventory!L113)</f>
        <v>0</v>
      </c>
      <c r="O113" s="35" t="str">
        <f>IF(OR(ISBLANK(P113),P113=0),"",Settings!$B$14)</f>
        <v/>
      </c>
      <c r="P113" s="30">
        <f>IF(ISBLANK(Inventory!A113),0,H113*Inventory!L113)</f>
        <v>0</v>
      </c>
    </row>
    <row r="114" spans="1:16" s="29" customFormat="1" ht="15" customHeight="1">
      <c r="A114" s="31" t="str">
        <f>IF(ISBLANK(Inventory!A114),"",Inventory!A114)</f>
        <v/>
      </c>
      <c r="B114" s="31" t="str">
        <f>IF(ISBLANK(Inventory!A114),"",Inventory!C114)</f>
        <v/>
      </c>
      <c r="C114" s="187"/>
      <c r="D114" s="192"/>
      <c r="E114" s="187"/>
      <c r="F114" s="173"/>
      <c r="G114" s="187"/>
      <c r="H114" s="37">
        <f>IF(ISBLANK(Inventory!A114),0,C114+SUM('Week 1'!E114:G114)-SUM(E114:G114))</f>
        <v>0</v>
      </c>
      <c r="I114" s="35" t="str">
        <f>IF(OR(ISBLANK(J114),J114=0),"",Settings!$B$14)</f>
        <v/>
      </c>
      <c r="J114" s="30">
        <f>IF(ISBLANK(C114),0,C114*Inventory!F114)</f>
        <v>0</v>
      </c>
      <c r="K114" s="35" t="str">
        <f>IF(OR(ISBLANK(L114),L114=0),"",Settings!$B$14)</f>
        <v/>
      </c>
      <c r="L114" s="30">
        <f>IF(ISBLANK(Inventory!A114),0,SUM(E114:G114)*Inventory!F114)</f>
        <v>0</v>
      </c>
      <c r="M114" s="35" t="str">
        <f>IF(OR(ISBLANK(N114),N114=0),"",Settings!$B$14)</f>
        <v/>
      </c>
      <c r="N114" s="30">
        <f>IF(ISBLANK(Inventory!A114),0,SUM(E114:G114)*Inventory!L114)</f>
        <v>0</v>
      </c>
      <c r="O114" s="35" t="str">
        <f>IF(OR(ISBLANK(P114),P114=0),"",Settings!$B$14)</f>
        <v/>
      </c>
      <c r="P114" s="30">
        <f>IF(ISBLANK(Inventory!A114),0,H114*Inventory!L114)</f>
        <v>0</v>
      </c>
    </row>
    <row r="115" spans="1:16" s="29" customFormat="1" ht="15" customHeight="1">
      <c r="A115" s="31" t="str">
        <f>IF(ISBLANK(Inventory!A115),"",Inventory!A115)</f>
        <v/>
      </c>
      <c r="B115" s="31" t="str">
        <f>IF(ISBLANK(Inventory!A115),"",Inventory!C115)</f>
        <v/>
      </c>
      <c r="C115" s="187"/>
      <c r="D115" s="192"/>
      <c r="E115" s="187"/>
      <c r="F115" s="173"/>
      <c r="G115" s="187"/>
      <c r="H115" s="37">
        <f>IF(ISBLANK(Inventory!A115),0,C115+SUM('Week 1'!E115:G115)-SUM(E115:G115))</f>
        <v>0</v>
      </c>
      <c r="I115" s="35" t="str">
        <f>IF(OR(ISBLANK(J115),J115=0),"",Settings!$B$14)</f>
        <v/>
      </c>
      <c r="J115" s="30">
        <f>IF(ISBLANK(C115),0,C115*Inventory!F115)</f>
        <v>0</v>
      </c>
      <c r="K115" s="35" t="str">
        <f>IF(OR(ISBLANK(L115),L115=0),"",Settings!$B$14)</f>
        <v/>
      </c>
      <c r="L115" s="30">
        <f>IF(ISBLANK(Inventory!A115),0,SUM(E115:G115)*Inventory!F115)</f>
        <v>0</v>
      </c>
      <c r="M115" s="35" t="str">
        <f>IF(OR(ISBLANK(N115),N115=0),"",Settings!$B$14)</f>
        <v/>
      </c>
      <c r="N115" s="30">
        <f>IF(ISBLANK(Inventory!A115),0,SUM(E115:G115)*Inventory!L115)</f>
        <v>0</v>
      </c>
      <c r="O115" s="35" t="str">
        <f>IF(OR(ISBLANK(P115),P115=0),"",Settings!$B$14)</f>
        <v/>
      </c>
      <c r="P115" s="30">
        <f>IF(ISBLANK(Inventory!A115),0,H115*Inventory!L115)</f>
        <v>0</v>
      </c>
    </row>
    <row r="116" spans="1:16" ht="6.95" customHeight="1">
      <c r="A116" s="24"/>
      <c r="B116" s="24"/>
      <c r="C116" s="69"/>
      <c r="D116" s="69"/>
      <c r="E116" s="69"/>
      <c r="F116" s="69"/>
      <c r="G116" s="69"/>
      <c r="H116" s="69"/>
      <c r="I116" s="69"/>
      <c r="J116" s="69"/>
      <c r="K116" s="69"/>
      <c r="L116" s="25"/>
      <c r="M116" s="62"/>
      <c r="N116" s="160"/>
      <c r="O116" s="25"/>
      <c r="P116" s="160"/>
    </row>
    <row r="117" spans="1:16" s="45" customFormat="1" ht="18" customHeight="1" thickBot="1">
      <c r="A117" s="78" t="str">
        <f>Inventory!A117</f>
        <v>BOTTLED BEER</v>
      </c>
      <c r="B117" s="78" t="str">
        <f>Inventory!C117</f>
        <v>VOLUME</v>
      </c>
      <c r="C117" s="22" t="s">
        <v>187</v>
      </c>
      <c r="D117" s="22"/>
      <c r="E117" s="22" t="s">
        <v>101</v>
      </c>
      <c r="F117" s="22" t="s">
        <v>102</v>
      </c>
      <c r="G117" s="23"/>
      <c r="H117" s="79" t="s">
        <v>119</v>
      </c>
      <c r="I117" s="253" t="s">
        <v>190</v>
      </c>
      <c r="J117" s="253"/>
      <c r="K117" s="235" t="s">
        <v>30</v>
      </c>
      <c r="L117" s="235"/>
      <c r="M117" s="235" t="s">
        <v>31</v>
      </c>
      <c r="N117" s="235"/>
      <c r="O117" s="235" t="s">
        <v>189</v>
      </c>
      <c r="P117" s="235"/>
    </row>
    <row r="118" spans="1:16" ht="6.95" customHeight="1" thickTop="1">
      <c r="A118" s="193"/>
      <c r="B118" s="194"/>
      <c r="C118" s="71"/>
      <c r="D118" s="71"/>
      <c r="E118" s="67"/>
      <c r="F118" s="67"/>
      <c r="G118" s="71"/>
      <c r="H118" s="71"/>
      <c r="I118" s="71"/>
      <c r="J118" s="71"/>
      <c r="K118" s="71"/>
      <c r="L118" s="67"/>
      <c r="M118" s="62"/>
      <c r="N118" s="67"/>
      <c r="O118" s="67"/>
      <c r="P118" s="67"/>
    </row>
    <row r="119" spans="1:16" s="29" customFormat="1" ht="15" customHeight="1">
      <c r="A119" s="31" t="str">
        <f>IF(ISBLANK(Inventory!A119),"",Inventory!A119)</f>
        <v>Labatt Ice</v>
      </c>
      <c r="B119" s="31" t="str">
        <f>IF(ISBLANK(Inventory!A119),"",Inventory!C119)</f>
        <v>330ml</v>
      </c>
      <c r="C119" s="187"/>
      <c r="D119" s="192"/>
      <c r="E119" s="187">
        <v>20</v>
      </c>
      <c r="F119" s="187"/>
      <c r="G119" s="173"/>
      <c r="H119" s="37">
        <f>IF(ISBLANK(Inventory!A119),0,C119+SUM('Week 1'!E119:G119)-SUM(E119:G119))</f>
        <v>6</v>
      </c>
      <c r="I119" s="35" t="str">
        <f>IF(OR(ISBLANK(J119),J119=0),"",Settings!$B$14)</f>
        <v/>
      </c>
      <c r="J119" s="30">
        <f>IF(ISBLANK(C119),0,C119*Inventory!H119)</f>
        <v>0</v>
      </c>
      <c r="K119" s="35" t="str">
        <f>IF(OR(ISBLANK(L119),L119=0),"",Settings!$B$14)</f>
        <v>$</v>
      </c>
      <c r="L119" s="30">
        <f>IF(ISBLANK(Inventory!A119),0,SUM(E119:G119)*Inventory!H119)</f>
        <v>11.100000000000001</v>
      </c>
      <c r="M119" s="35" t="str">
        <f>IF(OR(ISBLANK(N119),N119=0),"",Settings!$B$14)</f>
        <v>$</v>
      </c>
      <c r="N119" s="30">
        <f>IF(ISBLANK(Inventory!A119),0,SUM(E119:G119)*Inventory!J119)</f>
        <v>54.400000000000006</v>
      </c>
      <c r="O119" s="35" t="str">
        <f>IF(OR(ISBLANK(P119),P119=0),"",Settings!$B$14)</f>
        <v>$</v>
      </c>
      <c r="P119" s="30">
        <f>IF(ISBLANK(Inventory!A119),0,H119*Inventory!J119)</f>
        <v>16.32</v>
      </c>
    </row>
    <row r="120" spans="1:16" s="29" customFormat="1" ht="15" customHeight="1">
      <c r="A120" s="31" t="str">
        <f>IF(ISBLANK(Inventory!A120),"",Inventory!A120)</f>
        <v>Stella Artois</v>
      </c>
      <c r="B120" s="31" t="str">
        <f>IF(ISBLANK(Inventory!A120),"",Inventory!C120)</f>
        <v>330ml</v>
      </c>
      <c r="C120" s="187"/>
      <c r="D120" s="192"/>
      <c r="E120" s="187"/>
      <c r="F120" s="187"/>
      <c r="G120" s="173"/>
      <c r="H120" s="37">
        <f>IF(ISBLANK(Inventory!A120),0,C120+SUM('Week 1'!E120:G120)-SUM(E120:G120))</f>
        <v>0</v>
      </c>
      <c r="I120" s="35" t="str">
        <f>IF(OR(ISBLANK(J120),J120=0),"",Settings!$B$14)</f>
        <v/>
      </c>
      <c r="J120" s="30">
        <f>IF(ISBLANK(C120),0,C120*Inventory!H120)</f>
        <v>0</v>
      </c>
      <c r="K120" s="35" t="str">
        <f>IF(OR(ISBLANK(L120),L120=0),"",Settings!$B$14)</f>
        <v/>
      </c>
      <c r="L120" s="30">
        <f>IF(ISBLANK(Inventory!A120),0,SUM(E120:G120)*Inventory!H120)</f>
        <v>0</v>
      </c>
      <c r="M120" s="35" t="str">
        <f>IF(OR(ISBLANK(N120),N120=0),"",Settings!$B$14)</f>
        <v/>
      </c>
      <c r="N120" s="30">
        <f>IF(ISBLANK(Inventory!A120),0,SUM(E120:G120)*Inventory!J120)</f>
        <v>0</v>
      </c>
      <c r="O120" s="35" t="str">
        <f>IF(OR(ISBLANK(P120),P120=0),"",Settings!$B$14)</f>
        <v/>
      </c>
      <c r="P120" s="30">
        <f>IF(ISBLANK(Inventory!A120),0,H120*Inventory!J120)</f>
        <v>0</v>
      </c>
    </row>
    <row r="121" spans="1:16" s="29" customFormat="1" ht="15" customHeight="1">
      <c r="A121" s="31" t="str">
        <f>IF(ISBLANK(Inventory!A121),"",Inventory!A121)</f>
        <v>Budweiser</v>
      </c>
      <c r="B121" s="31" t="str">
        <f>IF(ISBLANK(Inventory!A121),"",Inventory!C121)</f>
        <v>330ml</v>
      </c>
      <c r="C121" s="187"/>
      <c r="D121" s="192"/>
      <c r="E121" s="187"/>
      <c r="F121" s="187"/>
      <c r="G121" s="173"/>
      <c r="H121" s="37">
        <f>IF(ISBLANK(Inventory!A121),0,C121+SUM('Week 1'!E121:G121)-SUM(E121:G121))</f>
        <v>0</v>
      </c>
      <c r="I121" s="35" t="str">
        <f>IF(OR(ISBLANK(J121),J121=0),"",Settings!$B$14)</f>
        <v/>
      </c>
      <c r="J121" s="30">
        <f>IF(ISBLANK(C121),0,C121*Inventory!H121)</f>
        <v>0</v>
      </c>
      <c r="K121" s="35" t="str">
        <f>IF(OR(ISBLANK(L121),L121=0),"",Settings!$B$14)</f>
        <v/>
      </c>
      <c r="L121" s="30">
        <f>IF(ISBLANK(Inventory!A121),0,SUM(E121:G121)*Inventory!H121)</f>
        <v>0</v>
      </c>
      <c r="M121" s="35" t="str">
        <f>IF(OR(ISBLANK(N121),N121=0),"",Settings!$B$14)</f>
        <v/>
      </c>
      <c r="N121" s="30">
        <f>IF(ISBLANK(Inventory!A121),0,SUM(E121:G121)*Inventory!J121)</f>
        <v>0</v>
      </c>
      <c r="O121" s="35" t="str">
        <f>IF(OR(ISBLANK(P121),P121=0),"",Settings!$B$14)</f>
        <v/>
      </c>
      <c r="P121" s="30">
        <f>IF(ISBLANK(Inventory!A121),0,H121*Inventory!J121)</f>
        <v>0</v>
      </c>
    </row>
    <row r="122" spans="1:16" s="29" customFormat="1" ht="15" customHeight="1">
      <c r="A122" s="31" t="str">
        <f>IF(ISBLANK(Inventory!A122),"",Inventory!A122)</f>
        <v>Becks</v>
      </c>
      <c r="B122" s="31" t="str">
        <f>IF(ISBLANK(Inventory!A122),"",Inventory!C122)</f>
        <v>275ml</v>
      </c>
      <c r="C122" s="187"/>
      <c r="D122" s="192"/>
      <c r="E122" s="187"/>
      <c r="F122" s="187"/>
      <c r="G122" s="173"/>
      <c r="H122" s="37">
        <f>IF(ISBLANK(Inventory!A122),0,C122+SUM('Week 1'!E122:G122)-SUM(E122:G122))</f>
        <v>0</v>
      </c>
      <c r="I122" s="35" t="str">
        <f>IF(OR(ISBLANK(J122),J122=0),"",Settings!$B$14)</f>
        <v/>
      </c>
      <c r="J122" s="30">
        <f>IF(ISBLANK(C122),0,C122*Inventory!H122)</f>
        <v>0</v>
      </c>
      <c r="K122" s="35" t="str">
        <f>IF(OR(ISBLANK(L122),L122=0),"",Settings!$B$14)</f>
        <v/>
      </c>
      <c r="L122" s="30">
        <f>IF(ISBLANK(Inventory!A122),0,SUM(E122:G122)*Inventory!H122)</f>
        <v>0</v>
      </c>
      <c r="M122" s="35" t="str">
        <f>IF(OR(ISBLANK(N122),N122=0),"",Settings!$B$14)</f>
        <v/>
      </c>
      <c r="N122" s="30">
        <f>IF(ISBLANK(Inventory!A122),0,SUM(E122:G122)*Inventory!J122)</f>
        <v>0</v>
      </c>
      <c r="O122" s="35" t="str">
        <f>IF(OR(ISBLANK(P122),P122=0),"",Settings!$B$14)</f>
        <v/>
      </c>
      <c r="P122" s="30">
        <f>IF(ISBLANK(Inventory!A122),0,H122*Inventory!J122)</f>
        <v>0</v>
      </c>
    </row>
    <row r="123" spans="1:16" s="29" customFormat="1" ht="15" customHeight="1">
      <c r="A123" s="31" t="str">
        <f>IF(ISBLANK(Inventory!A123),"",Inventory!A123)</f>
        <v>Old Speckled Hen</v>
      </c>
      <c r="B123" s="31" t="str">
        <f>IF(ISBLANK(Inventory!A123),"",Inventory!C123)</f>
        <v>500ml</v>
      </c>
      <c r="C123" s="187"/>
      <c r="D123" s="192"/>
      <c r="E123" s="187"/>
      <c r="F123" s="187"/>
      <c r="G123" s="173"/>
      <c r="H123" s="37">
        <f>IF(ISBLANK(Inventory!A123),0,C123+SUM('Week 1'!E123:G123)-SUM(E123:G123))</f>
        <v>0</v>
      </c>
      <c r="I123" s="35" t="str">
        <f>IF(OR(ISBLANK(J123),J123=0),"",Settings!$B$14)</f>
        <v/>
      </c>
      <c r="J123" s="30">
        <f>IF(ISBLANK(C123),0,C123*Inventory!H123)</f>
        <v>0</v>
      </c>
      <c r="K123" s="35" t="str">
        <f>IF(OR(ISBLANK(L123),L123=0),"",Settings!$B$14)</f>
        <v/>
      </c>
      <c r="L123" s="30">
        <f>IF(ISBLANK(Inventory!A123),0,SUM(E123:G123)*Inventory!H123)</f>
        <v>0</v>
      </c>
      <c r="M123" s="35" t="str">
        <f>IF(OR(ISBLANK(N123),N123=0),"",Settings!$B$14)</f>
        <v/>
      </c>
      <c r="N123" s="30">
        <f>IF(ISBLANK(Inventory!A123),0,SUM(E123:G123)*Inventory!J123)</f>
        <v>0</v>
      </c>
      <c r="O123" s="35" t="str">
        <f>IF(OR(ISBLANK(P123),P123=0),"",Settings!$B$14)</f>
        <v/>
      </c>
      <c r="P123" s="30">
        <f>IF(ISBLANK(Inventory!A123),0,H123*Inventory!J123)</f>
        <v>0</v>
      </c>
    </row>
    <row r="124" spans="1:16" s="29" customFormat="1" ht="15" customHeight="1">
      <c r="A124" s="31" t="str">
        <f>IF(ISBLANK(Inventory!A124),"",Inventory!A124)</f>
        <v>Bacardi Breezer</v>
      </c>
      <c r="B124" s="31" t="str">
        <f>IF(ISBLANK(Inventory!A124),"",Inventory!C124)</f>
        <v>275ml</v>
      </c>
      <c r="C124" s="187"/>
      <c r="D124" s="192"/>
      <c r="E124" s="187"/>
      <c r="F124" s="187"/>
      <c r="G124" s="173"/>
      <c r="H124" s="37">
        <f>IF(ISBLANK(Inventory!A124),0,C124+SUM('Week 1'!E124:G124)-SUM(E124:G124))</f>
        <v>0</v>
      </c>
      <c r="I124" s="35" t="str">
        <f>IF(OR(ISBLANK(J124),J124=0),"",Settings!$B$14)</f>
        <v/>
      </c>
      <c r="J124" s="30">
        <f>IF(ISBLANK(C124),0,C124*Inventory!H124)</f>
        <v>0</v>
      </c>
      <c r="K124" s="35" t="str">
        <f>IF(OR(ISBLANK(L124),L124=0),"",Settings!$B$14)</f>
        <v/>
      </c>
      <c r="L124" s="30">
        <f>IF(ISBLANK(Inventory!A124),0,SUM(E124:G124)*Inventory!H124)</f>
        <v>0</v>
      </c>
      <c r="M124" s="35" t="str">
        <f>IF(OR(ISBLANK(N124),N124=0),"",Settings!$B$14)</f>
        <v/>
      </c>
      <c r="N124" s="30">
        <f>IF(ISBLANK(Inventory!A124),0,SUM(E124:G124)*Inventory!J124)</f>
        <v>0</v>
      </c>
      <c r="O124" s="35" t="str">
        <f>IF(OR(ISBLANK(P124),P124=0),"",Settings!$B$14)</f>
        <v/>
      </c>
      <c r="P124" s="30">
        <f>IF(ISBLANK(Inventory!A124),0,H124*Inventory!J124)</f>
        <v>0</v>
      </c>
    </row>
    <row r="125" spans="1:16" s="29" customFormat="1" ht="15" customHeight="1">
      <c r="A125" s="31" t="str">
        <f>IF(ISBLANK(Inventory!A125),"",Inventory!A125)</f>
        <v>WKD Blue/Iron Brew</v>
      </c>
      <c r="B125" s="31" t="str">
        <f>IF(ISBLANK(Inventory!A125),"",Inventory!C125)</f>
        <v>275ml</v>
      </c>
      <c r="C125" s="187"/>
      <c r="D125" s="192"/>
      <c r="E125" s="187"/>
      <c r="F125" s="187"/>
      <c r="G125" s="173"/>
      <c r="H125" s="37">
        <f>IF(ISBLANK(Inventory!A125),0,C125+SUM('Week 1'!E125:G125)-SUM(E125:G125))</f>
        <v>0</v>
      </c>
      <c r="I125" s="35" t="str">
        <f>IF(OR(ISBLANK(J125),J125=0),"",Settings!$B$14)</f>
        <v/>
      </c>
      <c r="J125" s="30">
        <f>IF(ISBLANK(C125),0,C125*Inventory!H125)</f>
        <v>0</v>
      </c>
      <c r="K125" s="35" t="str">
        <f>IF(OR(ISBLANK(L125),L125=0),"",Settings!$B$14)</f>
        <v/>
      </c>
      <c r="L125" s="30">
        <f>IF(ISBLANK(Inventory!A125),0,SUM(E125:G125)*Inventory!H125)</f>
        <v>0</v>
      </c>
      <c r="M125" s="35" t="str">
        <f>IF(OR(ISBLANK(N125),N125=0),"",Settings!$B$14)</f>
        <v/>
      </c>
      <c r="N125" s="30">
        <f>IF(ISBLANK(Inventory!A125),0,SUM(E125:G125)*Inventory!J125)</f>
        <v>0</v>
      </c>
      <c r="O125" s="35" t="str">
        <f>IF(OR(ISBLANK(P125),P125=0),"",Settings!$B$14)</f>
        <v/>
      </c>
      <c r="P125" s="30">
        <f>IF(ISBLANK(Inventory!A125),0,H125*Inventory!J125)</f>
        <v>0</v>
      </c>
    </row>
    <row r="126" spans="1:16" s="29" customFormat="1" ht="15" customHeight="1">
      <c r="A126" s="31" t="str">
        <f>IF(ISBLANK(Inventory!A126),"",Inventory!A126)</f>
        <v>Smirnoff Ice/Black Ice</v>
      </c>
      <c r="B126" s="31" t="str">
        <f>IF(ISBLANK(Inventory!A126),"",Inventory!C126)</f>
        <v>275ml</v>
      </c>
      <c r="C126" s="187"/>
      <c r="D126" s="192"/>
      <c r="E126" s="187"/>
      <c r="F126" s="187"/>
      <c r="G126" s="173"/>
      <c r="H126" s="37">
        <f>IF(ISBLANK(Inventory!A126),0,C126+SUM('Week 1'!E126:G126)-SUM(E126:G126))</f>
        <v>0</v>
      </c>
      <c r="I126" s="35" t="str">
        <f>IF(OR(ISBLANK(J126),J126=0),"",Settings!$B$14)</f>
        <v/>
      </c>
      <c r="J126" s="30">
        <f>IF(ISBLANK(C126),0,C126*Inventory!H126)</f>
        <v>0</v>
      </c>
      <c r="K126" s="35" t="str">
        <f>IF(OR(ISBLANK(L126),L126=0),"",Settings!$B$14)</f>
        <v/>
      </c>
      <c r="L126" s="30">
        <f>IF(ISBLANK(Inventory!A126),0,SUM(E126:G126)*Inventory!H126)</f>
        <v>0</v>
      </c>
      <c r="M126" s="35" t="str">
        <f>IF(OR(ISBLANK(N126),N126=0),"",Settings!$B$14)</f>
        <v/>
      </c>
      <c r="N126" s="30">
        <f>IF(ISBLANK(Inventory!A126),0,SUM(E126:G126)*Inventory!J126)</f>
        <v>0</v>
      </c>
      <c r="O126" s="35" t="str">
        <f>IF(OR(ISBLANK(P126),P126=0),"",Settings!$B$14)</f>
        <v/>
      </c>
      <c r="P126" s="30">
        <f>IF(ISBLANK(Inventory!A126),0,H126*Inventory!J126)</f>
        <v>0</v>
      </c>
    </row>
    <row r="127" spans="1:16" s="29" customFormat="1" ht="15" customHeight="1">
      <c r="A127" s="31" t="str">
        <f>IF(ISBLANK(Inventory!A127),"",Inventory!A127)</f>
        <v/>
      </c>
      <c r="B127" s="31" t="str">
        <f>IF(ISBLANK(Inventory!A127),"",Inventory!C127)</f>
        <v/>
      </c>
      <c r="C127" s="187"/>
      <c r="D127" s="192"/>
      <c r="E127" s="187"/>
      <c r="F127" s="187"/>
      <c r="G127" s="173"/>
      <c r="H127" s="37">
        <f>IF(ISBLANK(Inventory!A127),0,C127+SUM('Week 1'!E127:G127)-SUM(E127:G127))</f>
        <v>0</v>
      </c>
      <c r="I127" s="35" t="str">
        <f>IF(OR(ISBLANK(J127),J127=0),"",Settings!$B$14)</f>
        <v/>
      </c>
      <c r="J127" s="30">
        <f>IF(ISBLANK(C127),0,C127*Inventory!H127)</f>
        <v>0</v>
      </c>
      <c r="K127" s="35" t="str">
        <f>IF(OR(ISBLANK(L127),L127=0),"",Settings!$B$14)</f>
        <v/>
      </c>
      <c r="L127" s="30">
        <f>IF(ISBLANK(Inventory!A127),0,SUM(E127:G127)*Inventory!H127)</f>
        <v>0</v>
      </c>
      <c r="M127" s="35" t="str">
        <f>IF(OR(ISBLANK(N127),N127=0),"",Settings!$B$14)</f>
        <v/>
      </c>
      <c r="N127" s="30">
        <f>IF(ISBLANK(Inventory!A127),0,SUM(E127:G127)*Inventory!J127)</f>
        <v>0</v>
      </c>
      <c r="O127" s="35" t="str">
        <f>IF(OR(ISBLANK(P127),P127=0),"",Settings!$B$14)</f>
        <v/>
      </c>
      <c r="P127" s="30">
        <f>IF(ISBLANK(Inventory!A127),0,H127*Inventory!J127)</f>
        <v>0</v>
      </c>
    </row>
    <row r="128" spans="1:16" s="29" customFormat="1" ht="15" customHeight="1">
      <c r="A128" s="31" t="str">
        <f>IF(ISBLANK(Inventory!A128),"",Inventory!A128)</f>
        <v/>
      </c>
      <c r="B128" s="31" t="str">
        <f>IF(ISBLANK(Inventory!A128),"",Inventory!C128)</f>
        <v/>
      </c>
      <c r="C128" s="187"/>
      <c r="D128" s="192"/>
      <c r="E128" s="187"/>
      <c r="F128" s="187"/>
      <c r="G128" s="173"/>
      <c r="H128" s="37">
        <f>IF(ISBLANK(Inventory!A128),0,C128+SUM('Week 1'!E128:G128)-SUM(E128:G128))</f>
        <v>0</v>
      </c>
      <c r="I128" s="35" t="str">
        <f>IF(OR(ISBLANK(J128),J128=0),"",Settings!$B$14)</f>
        <v/>
      </c>
      <c r="J128" s="30">
        <f>IF(ISBLANK(C128),0,C128*Inventory!H128)</f>
        <v>0</v>
      </c>
      <c r="K128" s="35" t="str">
        <f>IF(OR(ISBLANK(L128),L128=0),"",Settings!$B$14)</f>
        <v/>
      </c>
      <c r="L128" s="30">
        <f>IF(ISBLANK(Inventory!A128),0,SUM(E128:G128)*Inventory!H128)</f>
        <v>0</v>
      </c>
      <c r="M128" s="35" t="str">
        <f>IF(OR(ISBLANK(N128),N128=0),"",Settings!$B$14)</f>
        <v/>
      </c>
      <c r="N128" s="30">
        <f>IF(ISBLANK(Inventory!A128),0,SUM(E128:G128)*Inventory!J128)</f>
        <v>0</v>
      </c>
      <c r="O128" s="35" t="str">
        <f>IF(OR(ISBLANK(P128),P128=0),"",Settings!$B$14)</f>
        <v/>
      </c>
      <c r="P128" s="30">
        <f>IF(ISBLANK(Inventory!A128),0,H128*Inventory!J128)</f>
        <v>0</v>
      </c>
    </row>
    <row r="129" spans="1:16" s="29" customFormat="1" ht="15" customHeight="1">
      <c r="A129" s="31" t="str">
        <f>IF(ISBLANK(Inventory!A129),"",Inventory!A129)</f>
        <v/>
      </c>
      <c r="B129" s="31" t="str">
        <f>IF(ISBLANK(Inventory!A129),"",Inventory!C129)</f>
        <v/>
      </c>
      <c r="C129" s="187"/>
      <c r="D129" s="192"/>
      <c r="E129" s="187"/>
      <c r="F129" s="187"/>
      <c r="G129" s="173"/>
      <c r="H129" s="37">
        <f>IF(ISBLANK(Inventory!A129),0,C129+SUM('Week 1'!E129:G129)-SUM(E129:G129))</f>
        <v>0</v>
      </c>
      <c r="I129" s="35" t="str">
        <f>IF(OR(ISBLANK(J129),J129=0),"",Settings!$B$14)</f>
        <v/>
      </c>
      <c r="J129" s="30">
        <f>IF(ISBLANK(C129),0,C129*Inventory!H129)</f>
        <v>0</v>
      </c>
      <c r="K129" s="35" t="str">
        <f>IF(OR(ISBLANK(L129),L129=0),"",Settings!$B$14)</f>
        <v/>
      </c>
      <c r="L129" s="30">
        <f>IF(ISBLANK(Inventory!A129),0,SUM(E129:G129)*Inventory!H129)</f>
        <v>0</v>
      </c>
      <c r="M129" s="35" t="str">
        <f>IF(OR(ISBLANK(N129),N129=0),"",Settings!$B$14)</f>
        <v/>
      </c>
      <c r="N129" s="30">
        <f>IF(ISBLANK(Inventory!A129),0,SUM(E129:G129)*Inventory!J129)</f>
        <v>0</v>
      </c>
      <c r="O129" s="35" t="str">
        <f>IF(OR(ISBLANK(P129),P129=0),"",Settings!$B$14)</f>
        <v/>
      </c>
      <c r="P129" s="30">
        <f>IF(ISBLANK(Inventory!A129),0,H129*Inventory!J129)</f>
        <v>0</v>
      </c>
    </row>
    <row r="130" spans="1:16" s="29" customFormat="1" ht="15" customHeight="1">
      <c r="A130" s="31" t="str">
        <f>IF(ISBLANK(Inventory!A130),"",Inventory!A130)</f>
        <v/>
      </c>
      <c r="B130" s="31" t="str">
        <f>IF(ISBLANK(Inventory!A130),"",Inventory!C130)</f>
        <v/>
      </c>
      <c r="C130" s="187"/>
      <c r="D130" s="192"/>
      <c r="E130" s="187"/>
      <c r="F130" s="187"/>
      <c r="G130" s="173"/>
      <c r="H130" s="37">
        <f>IF(ISBLANK(Inventory!A130),0,C130+SUM('Week 1'!E130:G130)-SUM(E130:G130))</f>
        <v>0</v>
      </c>
      <c r="I130" s="35" t="str">
        <f>IF(OR(ISBLANK(J130),J130=0),"",Settings!$B$14)</f>
        <v/>
      </c>
      <c r="J130" s="30">
        <f>IF(ISBLANK(C130),0,C130*Inventory!H130)</f>
        <v>0</v>
      </c>
      <c r="K130" s="35" t="str">
        <f>IF(OR(ISBLANK(L130),L130=0),"",Settings!$B$14)</f>
        <v/>
      </c>
      <c r="L130" s="30">
        <f>IF(ISBLANK(Inventory!A130),0,SUM(E130:G130)*Inventory!H130)</f>
        <v>0</v>
      </c>
      <c r="M130" s="35" t="str">
        <f>IF(OR(ISBLANK(N130),N130=0),"",Settings!$B$14)</f>
        <v/>
      </c>
      <c r="N130" s="30">
        <f>IF(ISBLANK(Inventory!A130),0,SUM(E130:G130)*Inventory!J130)</f>
        <v>0</v>
      </c>
      <c r="O130" s="35" t="str">
        <f>IF(OR(ISBLANK(P130),P130=0),"",Settings!$B$14)</f>
        <v/>
      </c>
      <c r="P130" s="30">
        <f>IF(ISBLANK(Inventory!A130),0,H130*Inventory!J130)</f>
        <v>0</v>
      </c>
    </row>
    <row r="131" spans="1:16" s="29" customFormat="1" ht="15" customHeight="1">
      <c r="A131" s="31" t="str">
        <f>IF(ISBLANK(Inventory!A131),"",Inventory!A131)</f>
        <v/>
      </c>
      <c r="B131" s="31" t="str">
        <f>IF(ISBLANK(Inventory!A131),"",Inventory!C131)</f>
        <v/>
      </c>
      <c r="C131" s="187"/>
      <c r="D131" s="192"/>
      <c r="E131" s="187"/>
      <c r="F131" s="187"/>
      <c r="G131" s="173"/>
      <c r="H131" s="37">
        <f>IF(ISBLANK(Inventory!A131),0,C131+SUM('Week 1'!E131:G131)-SUM(E131:G131))</f>
        <v>0</v>
      </c>
      <c r="I131" s="35" t="str">
        <f>IF(OR(ISBLANK(J131),J131=0),"",Settings!$B$14)</f>
        <v/>
      </c>
      <c r="J131" s="30">
        <f>IF(ISBLANK(C131),0,C131*Inventory!H131)</f>
        <v>0</v>
      </c>
      <c r="K131" s="35" t="str">
        <f>IF(OR(ISBLANK(L131),L131=0),"",Settings!$B$14)</f>
        <v/>
      </c>
      <c r="L131" s="30">
        <f>IF(ISBLANK(Inventory!A131),0,SUM(E131:G131)*Inventory!H131)</f>
        <v>0</v>
      </c>
      <c r="M131" s="35" t="str">
        <f>IF(OR(ISBLANK(N131),N131=0),"",Settings!$B$14)</f>
        <v/>
      </c>
      <c r="N131" s="30">
        <f>IF(ISBLANK(Inventory!A131),0,SUM(E131:G131)*Inventory!J131)</f>
        <v>0</v>
      </c>
      <c r="O131" s="35" t="str">
        <f>IF(OR(ISBLANK(P131),P131=0),"",Settings!$B$14)</f>
        <v/>
      </c>
      <c r="P131" s="30">
        <f>IF(ISBLANK(Inventory!A131),0,H131*Inventory!J131)</f>
        <v>0</v>
      </c>
    </row>
    <row r="132" spans="1:16" s="29" customFormat="1" ht="15" customHeight="1">
      <c r="A132" s="31" t="str">
        <f>IF(ISBLANK(Inventory!A132),"",Inventory!A132)</f>
        <v/>
      </c>
      <c r="B132" s="31" t="str">
        <f>IF(ISBLANK(Inventory!A132),"",Inventory!C132)</f>
        <v/>
      </c>
      <c r="C132" s="187"/>
      <c r="D132" s="192"/>
      <c r="E132" s="187"/>
      <c r="F132" s="187"/>
      <c r="G132" s="173"/>
      <c r="H132" s="37">
        <f>IF(ISBLANK(Inventory!A132),0,C132+SUM('Week 1'!E132:G132)-SUM(E132:G132))</f>
        <v>0</v>
      </c>
      <c r="I132" s="35" t="str">
        <f>IF(OR(ISBLANK(J132),J132=0),"",Settings!$B$14)</f>
        <v/>
      </c>
      <c r="J132" s="30">
        <f>IF(ISBLANK(C132),0,C132*Inventory!H132)</f>
        <v>0</v>
      </c>
      <c r="K132" s="35" t="str">
        <f>IF(OR(ISBLANK(L132),L132=0),"",Settings!$B$14)</f>
        <v/>
      </c>
      <c r="L132" s="30">
        <f>IF(ISBLANK(Inventory!A132),0,SUM(E132:G132)*Inventory!H132)</f>
        <v>0</v>
      </c>
      <c r="M132" s="35" t="str">
        <f>IF(OR(ISBLANK(N132),N132=0),"",Settings!$B$14)</f>
        <v/>
      </c>
      <c r="N132" s="30">
        <f>IF(ISBLANK(Inventory!A132),0,SUM(E132:G132)*Inventory!J132)</f>
        <v>0</v>
      </c>
      <c r="O132" s="35" t="str">
        <f>IF(OR(ISBLANK(P132),P132=0),"",Settings!$B$14)</f>
        <v/>
      </c>
      <c r="P132" s="30">
        <f>IF(ISBLANK(Inventory!A132),0,H132*Inventory!J132)</f>
        <v>0</v>
      </c>
    </row>
    <row r="133" spans="1:16" s="29" customFormat="1" ht="15" customHeight="1">
      <c r="A133" s="31" t="str">
        <f>IF(ISBLANK(Inventory!A133),"",Inventory!A133)</f>
        <v/>
      </c>
      <c r="B133" s="31" t="str">
        <f>IF(ISBLANK(Inventory!A133),"",Inventory!C133)</f>
        <v/>
      </c>
      <c r="C133" s="187"/>
      <c r="D133" s="192"/>
      <c r="E133" s="187"/>
      <c r="F133" s="187"/>
      <c r="G133" s="173"/>
      <c r="H133" s="37">
        <f>IF(ISBLANK(Inventory!A133),0,C133+SUM('Week 1'!E133:G133)-SUM(E133:G133))</f>
        <v>0</v>
      </c>
      <c r="I133" s="35" t="str">
        <f>IF(OR(ISBLANK(J133),J133=0),"",Settings!$B$14)</f>
        <v/>
      </c>
      <c r="J133" s="30">
        <f>IF(ISBLANK(C133),0,C133*Inventory!H133)</f>
        <v>0</v>
      </c>
      <c r="K133" s="35" t="str">
        <f>IF(OR(ISBLANK(L133),L133=0),"",Settings!$B$14)</f>
        <v/>
      </c>
      <c r="L133" s="30">
        <f>IF(ISBLANK(Inventory!A133),0,SUM(E133:G133)*Inventory!H133)</f>
        <v>0</v>
      </c>
      <c r="M133" s="35" t="str">
        <f>IF(OR(ISBLANK(N133),N133=0),"",Settings!$B$14)</f>
        <v/>
      </c>
      <c r="N133" s="30">
        <f>IF(ISBLANK(Inventory!A133),0,SUM(E133:G133)*Inventory!J133)</f>
        <v>0</v>
      </c>
      <c r="O133" s="35" t="str">
        <f>IF(OR(ISBLANK(P133),P133=0),"",Settings!$B$14)</f>
        <v/>
      </c>
      <c r="P133" s="30">
        <f>IF(ISBLANK(Inventory!A133),0,H133*Inventory!J133)</f>
        <v>0</v>
      </c>
    </row>
    <row r="134" spans="1:16" s="29" customFormat="1" ht="15" customHeight="1">
      <c r="A134" s="31" t="str">
        <f>IF(ISBLANK(Inventory!A134),"",Inventory!A134)</f>
        <v/>
      </c>
      <c r="B134" s="31" t="str">
        <f>IF(ISBLANK(Inventory!A134),"",Inventory!C134)</f>
        <v/>
      </c>
      <c r="C134" s="187"/>
      <c r="D134" s="192"/>
      <c r="E134" s="187"/>
      <c r="F134" s="187"/>
      <c r="G134" s="173"/>
      <c r="H134" s="37">
        <f>IF(ISBLANK(Inventory!A134),0,C134+SUM('Week 1'!E134:G134)-SUM(E134:G134))</f>
        <v>0</v>
      </c>
      <c r="I134" s="35" t="str">
        <f>IF(OR(ISBLANK(J134),J134=0),"",Settings!$B$14)</f>
        <v/>
      </c>
      <c r="J134" s="30">
        <f>IF(ISBLANK(C134),0,C134*Inventory!H134)</f>
        <v>0</v>
      </c>
      <c r="K134" s="35" t="str">
        <f>IF(OR(ISBLANK(L134),L134=0),"",Settings!$B$14)</f>
        <v/>
      </c>
      <c r="L134" s="30">
        <f>IF(ISBLANK(Inventory!A134),0,SUM(E134:G134)*Inventory!H134)</f>
        <v>0</v>
      </c>
      <c r="M134" s="35" t="str">
        <f>IF(OR(ISBLANK(N134),N134=0),"",Settings!$B$14)</f>
        <v/>
      </c>
      <c r="N134" s="30">
        <f>IF(ISBLANK(Inventory!A134),0,SUM(E134:G134)*Inventory!J134)</f>
        <v>0</v>
      </c>
      <c r="O134" s="35" t="str">
        <f>IF(OR(ISBLANK(P134),P134=0),"",Settings!$B$14)</f>
        <v/>
      </c>
      <c r="P134" s="30">
        <f>IF(ISBLANK(Inventory!A134),0,H134*Inventory!J134)</f>
        <v>0</v>
      </c>
    </row>
    <row r="135" spans="1:16" ht="6.95" customHeight="1">
      <c r="A135" s="24"/>
      <c r="B135" s="24"/>
      <c r="C135" s="69"/>
      <c r="D135" s="69"/>
      <c r="E135" s="69"/>
      <c r="F135" s="69"/>
      <c r="G135" s="69"/>
      <c r="H135" s="69"/>
      <c r="I135" s="69"/>
      <c r="J135" s="69"/>
      <c r="K135" s="69"/>
      <c r="L135" s="25"/>
      <c r="M135" s="62"/>
      <c r="N135" s="160"/>
      <c r="O135" s="25"/>
      <c r="P135" s="160"/>
    </row>
    <row r="136" spans="1:16" s="45" customFormat="1" ht="18" customHeight="1" thickBot="1">
      <c r="A136" s="78" t="str">
        <f>Inventory!A136</f>
        <v>CIDER</v>
      </c>
      <c r="B136" s="78" t="str">
        <f>Inventory!C136</f>
        <v>VOLUME</v>
      </c>
      <c r="C136" s="22" t="s">
        <v>187</v>
      </c>
      <c r="D136" s="22"/>
      <c r="E136" s="22" t="s">
        <v>101</v>
      </c>
      <c r="F136" s="22" t="s">
        <v>102</v>
      </c>
      <c r="G136" s="23"/>
      <c r="H136" s="79" t="s">
        <v>119</v>
      </c>
      <c r="I136" s="253" t="s">
        <v>190</v>
      </c>
      <c r="J136" s="253"/>
      <c r="K136" s="235" t="s">
        <v>30</v>
      </c>
      <c r="L136" s="235"/>
      <c r="M136" s="235" t="s">
        <v>31</v>
      </c>
      <c r="N136" s="235"/>
      <c r="O136" s="235" t="s">
        <v>189</v>
      </c>
      <c r="P136" s="235"/>
    </row>
    <row r="137" spans="1:16" ht="6.95" customHeight="1" thickTop="1">
      <c r="A137" s="193"/>
      <c r="B137" s="194"/>
      <c r="C137" s="71"/>
      <c r="D137" s="71"/>
      <c r="E137" s="67"/>
      <c r="F137" s="67"/>
      <c r="G137" s="71"/>
      <c r="H137" s="71"/>
      <c r="I137" s="71"/>
      <c r="J137" s="71"/>
      <c r="K137" s="71"/>
      <c r="L137" s="67"/>
      <c r="M137" s="62"/>
      <c r="N137" s="67"/>
      <c r="O137" s="67"/>
      <c r="P137" s="67"/>
    </row>
    <row r="138" spans="1:16" s="195" customFormat="1" ht="15" customHeight="1">
      <c r="A138" s="31" t="str">
        <f>IF(ISBLANK(Inventory!A138),"",Inventory!A138)</f>
        <v>Strongbow</v>
      </c>
      <c r="B138" s="31" t="str">
        <f>IF(ISBLANK(Inventory!A138),"",Inventory!C138)</f>
        <v>275ml</v>
      </c>
      <c r="C138" s="187"/>
      <c r="D138" s="192"/>
      <c r="E138" s="187"/>
      <c r="F138" s="187"/>
      <c r="G138" s="173"/>
      <c r="H138" s="37">
        <f>IF(ISBLANK(Inventory!A138),0,C138+SUM('Week 1'!E138:G138)-SUM(E138:G138))</f>
        <v>0</v>
      </c>
      <c r="I138" s="35" t="str">
        <f>IF(OR(ISBLANK(J138),J138=0),"",Settings!$B$14)</f>
        <v/>
      </c>
      <c r="J138" s="30">
        <f>IF(ISBLANK(C138),0,C138*Inventory!H138)</f>
        <v>0</v>
      </c>
      <c r="K138" s="35" t="str">
        <f>IF(OR(ISBLANK(L138),L138=0),"",Settings!$B$14)</f>
        <v/>
      </c>
      <c r="L138" s="30">
        <f>IF(ISBLANK(Inventory!A138),0,SUM(E138:G138)*Inventory!H138)</f>
        <v>0</v>
      </c>
      <c r="M138" s="35" t="str">
        <f>IF(OR(ISBLANK(N138),N138=0),"",Settings!$B$14)</f>
        <v/>
      </c>
      <c r="N138" s="30">
        <f>IF(ISBLANK(Inventory!A138),0,SUM(E138:G138)*Inventory!J138)</f>
        <v>0</v>
      </c>
      <c r="O138" s="35" t="str">
        <f>IF(OR(ISBLANK(P138),P138=0),"",Settings!$B$14)</f>
        <v/>
      </c>
      <c r="P138" s="30">
        <f>IF(ISBLANK(Inventory!A138),0,H138*Inventory!J138)</f>
        <v>0</v>
      </c>
    </row>
    <row r="139" spans="1:16" s="195" customFormat="1" ht="15" customHeight="1">
      <c r="A139" s="31" t="str">
        <f>IF(ISBLANK(Inventory!A139),"",Inventory!A139)</f>
        <v>Woodpecker</v>
      </c>
      <c r="B139" s="31" t="str">
        <f>IF(ISBLANK(Inventory!A139),"",Inventory!C139)</f>
        <v>275ml</v>
      </c>
      <c r="C139" s="187"/>
      <c r="D139" s="192"/>
      <c r="E139" s="187"/>
      <c r="F139" s="187"/>
      <c r="G139" s="173"/>
      <c r="H139" s="37">
        <f>IF(ISBLANK(Inventory!A139),0,C139+SUM('Week 1'!E139:G139)-SUM(E139:G139))</f>
        <v>0</v>
      </c>
      <c r="I139" s="35" t="str">
        <f>IF(OR(ISBLANK(J139),J139=0),"",Settings!$B$14)</f>
        <v/>
      </c>
      <c r="J139" s="30">
        <f>IF(ISBLANK(C139),0,C139*Inventory!H139)</f>
        <v>0</v>
      </c>
      <c r="K139" s="35" t="str">
        <f>IF(OR(ISBLANK(L139),L139=0),"",Settings!$B$14)</f>
        <v/>
      </c>
      <c r="L139" s="30">
        <f>IF(ISBLANK(Inventory!A139),0,SUM(E139:G139)*Inventory!H139)</f>
        <v>0</v>
      </c>
      <c r="M139" s="35" t="str">
        <f>IF(OR(ISBLANK(N139),N139=0),"",Settings!$B$14)</f>
        <v/>
      </c>
      <c r="N139" s="30">
        <f>IF(ISBLANK(Inventory!A139),0,SUM(E139:G139)*Inventory!J139)</f>
        <v>0</v>
      </c>
      <c r="O139" s="35" t="str">
        <f>IF(OR(ISBLANK(P139),P139=0),"",Settings!$B$14)</f>
        <v/>
      </c>
      <c r="P139" s="30">
        <f>IF(ISBLANK(Inventory!A139),0,H139*Inventory!J139)</f>
        <v>0</v>
      </c>
    </row>
    <row r="140" spans="1:16" s="195" customFormat="1" ht="15" customHeight="1">
      <c r="A140" s="31" t="str">
        <f>IF(ISBLANK(Inventory!A140),"",Inventory!A140)</f>
        <v/>
      </c>
      <c r="B140" s="31" t="str">
        <f>IF(ISBLANK(Inventory!A140),"",Inventory!C140)</f>
        <v/>
      </c>
      <c r="C140" s="187"/>
      <c r="D140" s="192"/>
      <c r="E140" s="187"/>
      <c r="F140" s="187"/>
      <c r="G140" s="173"/>
      <c r="H140" s="37">
        <f>IF(ISBLANK(Inventory!A140),0,C140+SUM('Week 1'!E140:G140)-SUM(E140:G140))</f>
        <v>0</v>
      </c>
      <c r="I140" s="35" t="str">
        <f>IF(OR(ISBLANK(J140),J140=0),"",Settings!$B$14)</f>
        <v/>
      </c>
      <c r="J140" s="30">
        <f>IF(ISBLANK(C140),0,C140*Inventory!H140)</f>
        <v>0</v>
      </c>
      <c r="K140" s="35" t="str">
        <f>IF(OR(ISBLANK(L140),L140=0),"",Settings!$B$14)</f>
        <v/>
      </c>
      <c r="L140" s="30">
        <f>IF(ISBLANK(Inventory!A140),0,SUM(E140:G140)*Inventory!H140)</f>
        <v>0</v>
      </c>
      <c r="M140" s="35" t="str">
        <f>IF(OR(ISBLANK(N140),N140=0),"",Settings!$B$14)</f>
        <v/>
      </c>
      <c r="N140" s="30">
        <f>IF(ISBLANK(Inventory!A140),0,SUM(E140:G140)*Inventory!J140)</f>
        <v>0</v>
      </c>
      <c r="O140" s="35" t="str">
        <f>IF(OR(ISBLANK(P140),P140=0),"",Settings!$B$14)</f>
        <v/>
      </c>
      <c r="P140" s="30">
        <f>IF(ISBLANK(Inventory!A140),0,H140*Inventory!J140)</f>
        <v>0</v>
      </c>
    </row>
    <row r="141" spans="1:16" s="195" customFormat="1" ht="15" customHeight="1">
      <c r="A141" s="31" t="str">
        <f>IF(ISBLANK(Inventory!A141),"",Inventory!A141)</f>
        <v/>
      </c>
      <c r="B141" s="31" t="str">
        <f>IF(ISBLANK(Inventory!A141),"",Inventory!C141)</f>
        <v/>
      </c>
      <c r="C141" s="187"/>
      <c r="D141" s="192"/>
      <c r="E141" s="187"/>
      <c r="F141" s="187"/>
      <c r="G141" s="173"/>
      <c r="H141" s="37">
        <f>IF(ISBLANK(Inventory!A141),0,C141+SUM('Week 1'!E141:G141)-SUM(E141:G141))</f>
        <v>0</v>
      </c>
      <c r="I141" s="35" t="str">
        <f>IF(OR(ISBLANK(J141),J141=0),"",Settings!$B$14)</f>
        <v/>
      </c>
      <c r="J141" s="30">
        <f>IF(ISBLANK(C141),0,C141*Inventory!H141)</f>
        <v>0</v>
      </c>
      <c r="K141" s="35" t="str">
        <f>IF(OR(ISBLANK(L141),L141=0),"",Settings!$B$14)</f>
        <v/>
      </c>
      <c r="L141" s="30">
        <f>IF(ISBLANK(Inventory!A141),0,SUM(E141:G141)*Inventory!H141)</f>
        <v>0</v>
      </c>
      <c r="M141" s="35" t="str">
        <f>IF(OR(ISBLANK(N141),N141=0),"",Settings!$B$14)</f>
        <v/>
      </c>
      <c r="N141" s="30">
        <f>IF(ISBLANK(Inventory!A141),0,SUM(E141:G141)*Inventory!J141)</f>
        <v>0</v>
      </c>
      <c r="O141" s="35" t="str">
        <f>IF(OR(ISBLANK(P141),P141=0),"",Settings!$B$14)</f>
        <v/>
      </c>
      <c r="P141" s="30">
        <f>IF(ISBLANK(Inventory!A141),0,H141*Inventory!J141)</f>
        <v>0</v>
      </c>
    </row>
    <row r="142" spans="1:16" s="195" customFormat="1" ht="15" customHeight="1">
      <c r="A142" s="31" t="str">
        <f>IF(ISBLANK(Inventory!A142),"",Inventory!A142)</f>
        <v/>
      </c>
      <c r="B142" s="31" t="str">
        <f>IF(ISBLANK(Inventory!A142),"",Inventory!C142)</f>
        <v/>
      </c>
      <c r="C142" s="187"/>
      <c r="D142" s="192"/>
      <c r="E142" s="187"/>
      <c r="F142" s="187"/>
      <c r="G142" s="173"/>
      <c r="H142" s="37">
        <f>IF(ISBLANK(Inventory!A142),0,C142+SUM('Week 1'!E142:G142)-SUM(E142:G142))</f>
        <v>0</v>
      </c>
      <c r="I142" s="35" t="str">
        <f>IF(OR(ISBLANK(J142),J142=0),"",Settings!$B$14)</f>
        <v/>
      </c>
      <c r="J142" s="30">
        <f>IF(ISBLANK(C142),0,C142*Inventory!H142)</f>
        <v>0</v>
      </c>
      <c r="K142" s="35" t="str">
        <f>IF(OR(ISBLANK(L142),L142=0),"",Settings!$B$14)</f>
        <v/>
      </c>
      <c r="L142" s="30">
        <f>IF(ISBLANK(Inventory!A142),0,SUM(E142:G142)*Inventory!H142)</f>
        <v>0</v>
      </c>
      <c r="M142" s="35" t="str">
        <f>IF(OR(ISBLANK(N142),N142=0),"",Settings!$B$14)</f>
        <v/>
      </c>
      <c r="N142" s="30">
        <f>IF(ISBLANK(Inventory!A142),0,SUM(E142:G142)*Inventory!J142)</f>
        <v>0</v>
      </c>
      <c r="O142" s="35" t="str">
        <f>IF(OR(ISBLANK(P142),P142=0),"",Settings!$B$14)</f>
        <v/>
      </c>
      <c r="P142" s="30">
        <f>IF(ISBLANK(Inventory!A142),0,H142*Inventory!J142)</f>
        <v>0</v>
      </c>
    </row>
    <row r="143" spans="1:16" s="195" customFormat="1" ht="15" customHeight="1">
      <c r="A143" s="31" t="str">
        <f>IF(ISBLANK(Inventory!A143),"",Inventory!A143)</f>
        <v/>
      </c>
      <c r="B143" s="31" t="str">
        <f>IF(ISBLANK(Inventory!A143),"",Inventory!C143)</f>
        <v/>
      </c>
      <c r="C143" s="187"/>
      <c r="D143" s="192"/>
      <c r="E143" s="187"/>
      <c r="F143" s="187"/>
      <c r="G143" s="173"/>
      <c r="H143" s="37">
        <f>IF(ISBLANK(Inventory!A143),0,C143+SUM('Week 1'!E143:G143)-SUM(E143:G143))</f>
        <v>0</v>
      </c>
      <c r="I143" s="35" t="str">
        <f>IF(OR(ISBLANK(J143),J143=0),"",Settings!$B$14)</f>
        <v/>
      </c>
      <c r="J143" s="30">
        <f>IF(ISBLANK(C143),0,C143*Inventory!H143)</f>
        <v>0</v>
      </c>
      <c r="K143" s="35" t="str">
        <f>IF(OR(ISBLANK(L143),L143=0),"",Settings!$B$14)</f>
        <v/>
      </c>
      <c r="L143" s="30">
        <f>IF(ISBLANK(Inventory!A143),0,SUM(E143:G143)*Inventory!H143)</f>
        <v>0</v>
      </c>
      <c r="M143" s="35" t="str">
        <f>IF(OR(ISBLANK(N143),N143=0),"",Settings!$B$14)</f>
        <v/>
      </c>
      <c r="N143" s="30">
        <f>IF(ISBLANK(Inventory!A143),0,SUM(E143:G143)*Inventory!J143)</f>
        <v>0</v>
      </c>
      <c r="O143" s="35" t="str">
        <f>IF(OR(ISBLANK(P143),P143=0),"",Settings!$B$14)</f>
        <v/>
      </c>
      <c r="P143" s="30">
        <f>IF(ISBLANK(Inventory!A143),0,H143*Inventory!J143)</f>
        <v>0</v>
      </c>
    </row>
    <row r="144" spans="1:16" s="195" customFormat="1" ht="15" customHeight="1">
      <c r="A144" s="31" t="str">
        <f>IF(ISBLANK(Inventory!A144),"",Inventory!A144)</f>
        <v/>
      </c>
      <c r="B144" s="31" t="str">
        <f>IF(ISBLANK(Inventory!A144),"",Inventory!C144)</f>
        <v/>
      </c>
      <c r="C144" s="187"/>
      <c r="D144" s="192"/>
      <c r="E144" s="187"/>
      <c r="F144" s="187"/>
      <c r="G144" s="173"/>
      <c r="H144" s="37">
        <f>IF(ISBLANK(Inventory!A144),0,C144+SUM('Week 1'!E144:G144)-SUM(E144:G144))</f>
        <v>0</v>
      </c>
      <c r="I144" s="35" t="str">
        <f>IF(OR(ISBLANK(J144),J144=0),"",Settings!$B$14)</f>
        <v/>
      </c>
      <c r="J144" s="30">
        <f>IF(ISBLANK(C144),0,C144*Inventory!H144)</f>
        <v>0</v>
      </c>
      <c r="K144" s="35" t="str">
        <f>IF(OR(ISBLANK(L144),L144=0),"",Settings!$B$14)</f>
        <v/>
      </c>
      <c r="L144" s="30">
        <f>IF(ISBLANK(Inventory!A144),0,SUM(E144:G144)*Inventory!H144)</f>
        <v>0</v>
      </c>
      <c r="M144" s="35" t="str">
        <f>IF(OR(ISBLANK(N144),N144=0),"",Settings!$B$14)</f>
        <v/>
      </c>
      <c r="N144" s="30">
        <f>IF(ISBLANK(Inventory!A144),0,SUM(E144:G144)*Inventory!J144)</f>
        <v>0</v>
      </c>
      <c r="O144" s="35" t="str">
        <f>IF(OR(ISBLANK(P144),P144=0),"",Settings!$B$14)</f>
        <v/>
      </c>
      <c r="P144" s="30">
        <f>IF(ISBLANK(Inventory!A144),0,H144*Inventory!J144)</f>
        <v>0</v>
      </c>
    </row>
    <row r="145" spans="1:16" s="195" customFormat="1" ht="15" customHeight="1">
      <c r="A145" s="31" t="str">
        <f>IF(ISBLANK(Inventory!A145),"",Inventory!A145)</f>
        <v/>
      </c>
      <c r="B145" s="31" t="str">
        <f>IF(ISBLANK(Inventory!A145),"",Inventory!C145)</f>
        <v/>
      </c>
      <c r="C145" s="187"/>
      <c r="D145" s="192"/>
      <c r="E145" s="187"/>
      <c r="F145" s="187"/>
      <c r="G145" s="173"/>
      <c r="H145" s="37">
        <f>IF(ISBLANK(Inventory!A145),0,C145+SUM('Week 1'!E145:G145)-SUM(E145:G145))</f>
        <v>0</v>
      </c>
      <c r="I145" s="35" t="str">
        <f>IF(OR(ISBLANK(J145),J145=0),"",Settings!$B$14)</f>
        <v/>
      </c>
      <c r="J145" s="30">
        <f>IF(ISBLANK(C145),0,C145*Inventory!H145)</f>
        <v>0</v>
      </c>
      <c r="K145" s="35" t="str">
        <f>IF(OR(ISBLANK(L145),L145=0),"",Settings!$B$14)</f>
        <v/>
      </c>
      <c r="L145" s="30">
        <f>IF(ISBLANK(Inventory!A145),0,SUM(E145:G145)*Inventory!H145)</f>
        <v>0</v>
      </c>
      <c r="M145" s="35" t="str">
        <f>IF(OR(ISBLANK(N145),N145=0),"",Settings!$B$14)</f>
        <v/>
      </c>
      <c r="N145" s="30">
        <f>IF(ISBLANK(Inventory!A145),0,SUM(E145:G145)*Inventory!J145)</f>
        <v>0</v>
      </c>
      <c r="O145" s="35" t="str">
        <f>IF(OR(ISBLANK(P145),P145=0),"",Settings!$B$14)</f>
        <v/>
      </c>
      <c r="P145" s="30">
        <f>IF(ISBLANK(Inventory!A145),0,H145*Inventory!J145)</f>
        <v>0</v>
      </c>
    </row>
    <row r="146" spans="1:16" s="195" customFormat="1" ht="15" customHeight="1">
      <c r="A146" s="31" t="str">
        <f>IF(ISBLANK(Inventory!A146),"",Inventory!A146)</f>
        <v/>
      </c>
      <c r="B146" s="31" t="str">
        <f>IF(ISBLANK(Inventory!A146),"",Inventory!C146)</f>
        <v/>
      </c>
      <c r="C146" s="187"/>
      <c r="D146" s="192"/>
      <c r="E146" s="187"/>
      <c r="F146" s="187"/>
      <c r="G146" s="173"/>
      <c r="H146" s="37">
        <f>IF(ISBLANK(Inventory!A146),0,C146+SUM('Week 1'!E146:G146)-SUM(E146:G146))</f>
        <v>0</v>
      </c>
      <c r="I146" s="35" t="str">
        <f>IF(OR(ISBLANK(J146),J146=0),"",Settings!$B$14)</f>
        <v/>
      </c>
      <c r="J146" s="30">
        <f>IF(ISBLANK(C146),0,C146*Inventory!H146)</f>
        <v>0</v>
      </c>
      <c r="K146" s="35" t="str">
        <f>IF(OR(ISBLANK(L146),L146=0),"",Settings!$B$14)</f>
        <v/>
      </c>
      <c r="L146" s="30">
        <f>IF(ISBLANK(Inventory!A146),0,SUM(E146:G146)*Inventory!H146)</f>
        <v>0</v>
      </c>
      <c r="M146" s="35" t="str">
        <f>IF(OR(ISBLANK(N146),N146=0),"",Settings!$B$14)</f>
        <v/>
      </c>
      <c r="N146" s="30">
        <f>IF(ISBLANK(Inventory!A146),0,SUM(E146:G146)*Inventory!J146)</f>
        <v>0</v>
      </c>
      <c r="O146" s="35" t="str">
        <f>IF(OR(ISBLANK(P146),P146=0),"",Settings!$B$14)</f>
        <v/>
      </c>
      <c r="P146" s="30">
        <f>IF(ISBLANK(Inventory!A146),0,H146*Inventory!J146)</f>
        <v>0</v>
      </c>
    </row>
    <row r="147" spans="1:16" ht="6.95" customHeight="1">
      <c r="A147" s="24"/>
      <c r="B147" s="24"/>
      <c r="C147" s="69"/>
      <c r="D147" s="69"/>
      <c r="E147" s="69"/>
      <c r="F147" s="69"/>
      <c r="G147" s="69"/>
      <c r="H147" s="69"/>
      <c r="I147" s="69"/>
      <c r="J147" s="69"/>
      <c r="K147" s="69"/>
      <c r="L147" s="25"/>
      <c r="M147" s="62"/>
      <c r="N147" s="160"/>
      <c r="O147" s="25"/>
      <c r="P147" s="160"/>
    </row>
    <row r="148" spans="1:16" s="45" customFormat="1" ht="18" customHeight="1" thickBot="1">
      <c r="A148" s="78" t="str">
        <f>Inventory!A148</f>
        <v>MINERALS/JUICES</v>
      </c>
      <c r="B148" s="78" t="str">
        <f>Inventory!C148</f>
        <v>VOLUME</v>
      </c>
      <c r="C148" s="22" t="s">
        <v>187</v>
      </c>
      <c r="D148" s="22"/>
      <c r="E148" s="22" t="s">
        <v>101</v>
      </c>
      <c r="F148" s="22" t="s">
        <v>102</v>
      </c>
      <c r="G148" s="23" t="s">
        <v>108</v>
      </c>
      <c r="H148" s="79" t="s">
        <v>119</v>
      </c>
      <c r="I148" s="253" t="s">
        <v>190</v>
      </c>
      <c r="J148" s="253"/>
      <c r="K148" s="235" t="s">
        <v>30</v>
      </c>
      <c r="L148" s="235"/>
      <c r="M148" s="235" t="s">
        <v>31</v>
      </c>
      <c r="N148" s="235"/>
      <c r="O148" s="235" t="s">
        <v>189</v>
      </c>
      <c r="P148" s="235"/>
    </row>
    <row r="149" spans="1:16" ht="6.95" customHeight="1" thickTop="1">
      <c r="A149" s="193"/>
      <c r="B149" s="194"/>
      <c r="C149" s="71"/>
      <c r="D149" s="71"/>
      <c r="E149" s="67"/>
      <c r="F149" s="67"/>
      <c r="G149" s="71"/>
      <c r="H149" s="71"/>
      <c r="I149" s="71"/>
      <c r="J149" s="71"/>
      <c r="K149" s="71"/>
      <c r="L149" s="67"/>
      <c r="M149" s="62"/>
      <c r="N149" s="67"/>
      <c r="O149" s="67"/>
      <c r="P149" s="67"/>
    </row>
    <row r="150" spans="1:16" s="29" customFormat="1" ht="15" customHeight="1">
      <c r="A150" s="31" t="str">
        <f>IF(ISBLANK(Inventory!A150),"",Inventory!A150)</f>
        <v>Britvic J20</v>
      </c>
      <c r="B150" s="31" t="str">
        <f>IF(ISBLANK(Inventory!A150),"",Inventory!C150)</f>
        <v>275ml</v>
      </c>
      <c r="C150" s="187"/>
      <c r="D150" s="192"/>
      <c r="E150" s="187"/>
      <c r="F150" s="187"/>
      <c r="G150" s="187"/>
      <c r="H150" s="37">
        <f>IF(ISBLANK(Inventory!A150),0,C150+SUM('Week 1'!E150:G150)-SUM(E150:G150))</f>
        <v>0</v>
      </c>
      <c r="I150" s="35" t="str">
        <f>IF(OR(ISBLANK(J150),J150=0),"",Settings!$B$14)</f>
        <v/>
      </c>
      <c r="J150" s="30">
        <f>IF(ISBLANK(C150),0,C150*Inventory!H150)</f>
        <v>0</v>
      </c>
      <c r="K150" s="35" t="str">
        <f>IF(OR(ISBLANK(L150),L150=0),"",Settings!$B$14)</f>
        <v/>
      </c>
      <c r="L150" s="30">
        <f>IF(ISBLANK(Inventory!A150),0,SUM(E150:G150)*Inventory!H150)</f>
        <v>0</v>
      </c>
      <c r="M150" s="35" t="str">
        <f>IF(OR(ISBLANK(N150),N150=0),"",Settings!$B$14)</f>
        <v/>
      </c>
      <c r="N150" s="30">
        <f>IF(ISBLANK(Inventory!A150),0,SUM(E150:G150)*Inventory!J150)</f>
        <v>0</v>
      </c>
      <c r="O150" s="35" t="str">
        <f>IF(OR(ISBLANK(P150),P150=0),"",Settings!$B$14)</f>
        <v/>
      </c>
      <c r="P150" s="30">
        <f>IF(ISBLANK(Inventory!A150),0,H150*Inventory!J150)</f>
        <v>0</v>
      </c>
    </row>
    <row r="151" spans="1:16" s="29" customFormat="1" ht="15" customHeight="1">
      <c r="A151" s="31" t="str">
        <f>IF(ISBLANK(Inventory!A151),"",Inventory!A151)</f>
        <v>Coke/Diet Coke</v>
      </c>
      <c r="B151" s="31" t="str">
        <f>IF(ISBLANK(Inventory!A151),"",Inventory!C151)</f>
        <v>330ml</v>
      </c>
      <c r="C151" s="187"/>
      <c r="D151" s="192"/>
      <c r="E151" s="187"/>
      <c r="F151" s="187"/>
      <c r="G151" s="187"/>
      <c r="H151" s="37">
        <f>IF(ISBLANK(Inventory!A151),0,C151+SUM('Week 1'!E151:G151)-SUM(E151:G151))</f>
        <v>0</v>
      </c>
      <c r="I151" s="35" t="str">
        <f>IF(OR(ISBLANK(J151),J151=0),"",Settings!$B$14)</f>
        <v/>
      </c>
      <c r="J151" s="30">
        <f>IF(ISBLANK(C151),0,C151*Inventory!H151)</f>
        <v>0</v>
      </c>
      <c r="K151" s="35" t="str">
        <f>IF(OR(ISBLANK(L151),L151=0),"",Settings!$B$14)</f>
        <v/>
      </c>
      <c r="L151" s="30">
        <f>IF(ISBLANK(Inventory!A151),0,SUM(E151:G151)*Inventory!H151)</f>
        <v>0</v>
      </c>
      <c r="M151" s="35" t="str">
        <f>IF(OR(ISBLANK(N151),N151=0),"",Settings!$B$14)</f>
        <v/>
      </c>
      <c r="N151" s="30">
        <f>IF(ISBLANK(Inventory!A151),0,SUM(E151:G151)*Inventory!J151)</f>
        <v>0</v>
      </c>
      <c r="O151" s="35" t="str">
        <f>IF(OR(ISBLANK(P151),P151=0),"",Settings!$B$14)</f>
        <v/>
      </c>
      <c r="P151" s="30">
        <f>IF(ISBLANK(Inventory!A151),0,H151*Inventory!J151)</f>
        <v>0</v>
      </c>
    </row>
    <row r="152" spans="1:16" s="29" customFormat="1" ht="15" customHeight="1">
      <c r="A152" s="31" t="str">
        <f>IF(ISBLANK(Inventory!A152),"",Inventory!A152)</f>
        <v>Fruit Juices</v>
      </c>
      <c r="B152" s="31" t="str">
        <f>IF(ISBLANK(Inventory!A152),"",Inventory!C152)</f>
        <v>180ml</v>
      </c>
      <c r="C152" s="187"/>
      <c r="D152" s="192"/>
      <c r="E152" s="187"/>
      <c r="F152" s="187"/>
      <c r="G152" s="187"/>
      <c r="H152" s="37">
        <f>IF(ISBLANK(Inventory!A152),0,C152+SUM('Week 1'!E152:G152)-SUM(E152:G152))</f>
        <v>0</v>
      </c>
      <c r="I152" s="35" t="str">
        <f>IF(OR(ISBLANK(J152),J152=0),"",Settings!$B$14)</f>
        <v/>
      </c>
      <c r="J152" s="30">
        <f>IF(ISBLANK(C152),0,C152*Inventory!H152)</f>
        <v>0</v>
      </c>
      <c r="K152" s="35" t="str">
        <f>IF(OR(ISBLANK(L152),L152=0),"",Settings!$B$14)</f>
        <v/>
      </c>
      <c r="L152" s="30">
        <f>IF(ISBLANK(Inventory!A152),0,SUM(E152:G152)*Inventory!H152)</f>
        <v>0</v>
      </c>
      <c r="M152" s="35" t="str">
        <f>IF(OR(ISBLANK(N152),N152=0),"",Settings!$B$14)</f>
        <v/>
      </c>
      <c r="N152" s="30">
        <f>IF(ISBLANK(Inventory!A152),0,SUM(E152:G152)*Inventory!J152)</f>
        <v>0</v>
      </c>
      <c r="O152" s="35" t="str">
        <f>IF(OR(ISBLANK(P152),P152=0),"",Settings!$B$14)</f>
        <v/>
      </c>
      <c r="P152" s="30">
        <f>IF(ISBLANK(Inventory!A152),0,H152*Inventory!J152)</f>
        <v>0</v>
      </c>
    </row>
    <row r="153" spans="1:16" s="29" customFormat="1" ht="15" customHeight="1">
      <c r="A153" s="31" t="str">
        <f>IF(ISBLANK(Inventory!A153),"",Inventory!A153)</f>
        <v>Fruit Juices</v>
      </c>
      <c r="B153" s="31" t="str">
        <f>IF(ISBLANK(Inventory!A153),"",Inventory!C153)</f>
        <v>113ml</v>
      </c>
      <c r="C153" s="187"/>
      <c r="D153" s="192"/>
      <c r="E153" s="187"/>
      <c r="F153" s="187"/>
      <c r="G153" s="187"/>
      <c r="H153" s="37">
        <f>IF(ISBLANK(Inventory!A153),0,C153+SUM('Week 1'!E153:G153)-SUM(E153:G153))</f>
        <v>0</v>
      </c>
      <c r="I153" s="35" t="str">
        <f>IF(OR(ISBLANK(J153),J153=0),"",Settings!$B$14)</f>
        <v/>
      </c>
      <c r="J153" s="30">
        <f>IF(ISBLANK(C153),0,C153*Inventory!H153)</f>
        <v>0</v>
      </c>
      <c r="K153" s="35" t="str">
        <f>IF(OR(ISBLANK(L153),L153=0),"",Settings!$B$14)</f>
        <v/>
      </c>
      <c r="L153" s="30">
        <f>IF(ISBLANK(Inventory!A153),0,SUM(E153:G153)*Inventory!H153)</f>
        <v>0</v>
      </c>
      <c r="M153" s="35" t="str">
        <f>IF(OR(ISBLANK(N153),N153=0),"",Settings!$B$14)</f>
        <v/>
      </c>
      <c r="N153" s="30">
        <f>IF(ISBLANK(Inventory!A153),0,SUM(E153:G153)*Inventory!J153)</f>
        <v>0</v>
      </c>
      <c r="O153" s="35" t="str">
        <f>IF(OR(ISBLANK(P153),P153=0),"",Settings!$B$14)</f>
        <v/>
      </c>
      <c r="P153" s="30">
        <f>IF(ISBLANK(Inventory!A153),0,H153*Inventory!J153)</f>
        <v>0</v>
      </c>
    </row>
    <row r="154" spans="1:16" s="29" customFormat="1" ht="15" customHeight="1">
      <c r="A154" s="31" t="str">
        <f>IF(ISBLANK(Inventory!A154),"",Inventory!A154)</f>
        <v>Minerals</v>
      </c>
      <c r="B154" s="31" t="str">
        <f>IF(ISBLANK(Inventory!A154),"",Inventory!C154)</f>
        <v>180ml</v>
      </c>
      <c r="C154" s="187"/>
      <c r="D154" s="192"/>
      <c r="E154" s="187"/>
      <c r="F154" s="187"/>
      <c r="G154" s="187"/>
      <c r="H154" s="37">
        <f>IF(ISBLANK(Inventory!A154),0,C154+SUM('Week 1'!E154:G154)-SUM(E154:G154))</f>
        <v>0</v>
      </c>
      <c r="I154" s="35" t="str">
        <f>IF(OR(ISBLANK(J154),J154=0),"",Settings!$B$14)</f>
        <v/>
      </c>
      <c r="J154" s="30">
        <f>IF(ISBLANK(C154),0,C154*Inventory!H154)</f>
        <v>0</v>
      </c>
      <c r="K154" s="35" t="str">
        <f>IF(OR(ISBLANK(L154),L154=0),"",Settings!$B$14)</f>
        <v/>
      </c>
      <c r="L154" s="30">
        <f>IF(ISBLANK(Inventory!A154),0,SUM(E154:G154)*Inventory!H154)</f>
        <v>0</v>
      </c>
      <c r="M154" s="35" t="str">
        <f>IF(OR(ISBLANK(N154),N154=0),"",Settings!$B$14)</f>
        <v/>
      </c>
      <c r="N154" s="30">
        <f>IF(ISBLANK(Inventory!A154),0,SUM(E154:G154)*Inventory!J154)</f>
        <v>0</v>
      </c>
      <c r="O154" s="35" t="str">
        <f>IF(OR(ISBLANK(P154),P154=0),"",Settings!$B$14)</f>
        <v/>
      </c>
      <c r="P154" s="30">
        <f>IF(ISBLANK(Inventory!A154),0,H154*Inventory!J154)</f>
        <v>0</v>
      </c>
    </row>
    <row r="155" spans="1:16" s="29" customFormat="1" ht="15" customHeight="1">
      <c r="A155" s="31" t="str">
        <f>IF(ISBLANK(Inventory!A155),"",Inventory!A155)</f>
        <v>Minerals</v>
      </c>
      <c r="B155" s="31" t="str">
        <f>IF(ISBLANK(Inventory!A155),"",Inventory!C155)</f>
        <v>113ml</v>
      </c>
      <c r="C155" s="187"/>
      <c r="D155" s="192"/>
      <c r="E155" s="187"/>
      <c r="F155" s="187"/>
      <c r="G155" s="187"/>
      <c r="H155" s="37">
        <f>IF(ISBLANK(Inventory!A155),0,C155+SUM('Week 1'!E155:G155)-SUM(E155:G155))</f>
        <v>0</v>
      </c>
      <c r="I155" s="35" t="str">
        <f>IF(OR(ISBLANK(J155),J155=0),"",Settings!$B$14)</f>
        <v/>
      </c>
      <c r="J155" s="30">
        <f>IF(ISBLANK(C155),0,C155*Inventory!H155)</f>
        <v>0</v>
      </c>
      <c r="K155" s="35" t="str">
        <f>IF(OR(ISBLANK(L155),L155=0),"",Settings!$B$14)</f>
        <v/>
      </c>
      <c r="L155" s="30">
        <f>IF(ISBLANK(Inventory!A155),0,SUM(E155:G155)*Inventory!H155)</f>
        <v>0</v>
      </c>
      <c r="M155" s="35" t="str">
        <f>IF(OR(ISBLANK(N155),N155=0),"",Settings!$B$14)</f>
        <v/>
      </c>
      <c r="N155" s="30">
        <f>IF(ISBLANK(Inventory!A155),0,SUM(E155:G155)*Inventory!J155)</f>
        <v>0</v>
      </c>
      <c r="O155" s="35" t="str">
        <f>IF(OR(ISBLANK(P155),P155=0),"",Settings!$B$14)</f>
        <v/>
      </c>
      <c r="P155" s="30">
        <f>IF(ISBLANK(Inventory!A155),0,H155*Inventory!J155)</f>
        <v>0</v>
      </c>
    </row>
    <row r="156" spans="1:16" s="29" customFormat="1" ht="15" customHeight="1">
      <c r="A156" s="31" t="str">
        <f>IF(ISBLANK(Inventory!A156),"",Inventory!A156)</f>
        <v>Tango Diet</v>
      </c>
      <c r="B156" s="31" t="str">
        <f>IF(ISBLANK(Inventory!A156),"",Inventory!C156)</f>
        <v>180ml</v>
      </c>
      <c r="C156" s="187"/>
      <c r="D156" s="192"/>
      <c r="E156" s="187"/>
      <c r="F156" s="187"/>
      <c r="G156" s="187"/>
      <c r="H156" s="37">
        <f>IF(ISBLANK(Inventory!A156),0,C156+SUM('Week 1'!E156:G156)-SUM(E156:G156))</f>
        <v>0</v>
      </c>
      <c r="I156" s="35" t="str">
        <f>IF(OR(ISBLANK(J156),J156=0),"",Settings!$B$14)</f>
        <v/>
      </c>
      <c r="J156" s="30">
        <f>IF(ISBLANK(C156),0,C156*Inventory!H156)</f>
        <v>0</v>
      </c>
      <c r="K156" s="35" t="str">
        <f>IF(OR(ISBLANK(L156),L156=0),"",Settings!$B$14)</f>
        <v/>
      </c>
      <c r="L156" s="30">
        <f>IF(ISBLANK(Inventory!A156),0,SUM(E156:G156)*Inventory!H156)</f>
        <v>0</v>
      </c>
      <c r="M156" s="35" t="str">
        <f>IF(OR(ISBLANK(N156),N156=0),"",Settings!$B$14)</f>
        <v/>
      </c>
      <c r="N156" s="30">
        <f>IF(ISBLANK(Inventory!A156),0,SUM(E156:G156)*Inventory!J156)</f>
        <v>0</v>
      </c>
      <c r="O156" s="35" t="str">
        <f>IF(OR(ISBLANK(P156),P156=0),"",Settings!$B$14)</f>
        <v/>
      </c>
      <c r="P156" s="30">
        <f>IF(ISBLANK(Inventory!A156),0,H156*Inventory!J156)</f>
        <v>0</v>
      </c>
    </row>
    <row r="157" spans="1:16" s="29" customFormat="1" ht="15" customHeight="1">
      <c r="A157" s="31" t="str">
        <f>IF(ISBLANK(Inventory!A157),"",Inventory!A157)</f>
        <v>Strathmore</v>
      </c>
      <c r="B157" s="31" t="str">
        <f>IF(ISBLANK(Inventory!A157),"",Inventory!C157)</f>
        <v>1Ltr</v>
      </c>
      <c r="C157" s="187"/>
      <c r="D157" s="192"/>
      <c r="E157" s="187"/>
      <c r="F157" s="187"/>
      <c r="G157" s="187"/>
      <c r="H157" s="37">
        <f>IF(ISBLANK(Inventory!A157),0,C157+SUM('Week 1'!E157:G157)-SUM(E157:G157))</f>
        <v>0</v>
      </c>
      <c r="I157" s="35" t="str">
        <f>IF(OR(ISBLANK(J157),J157=0),"",Settings!$B$14)</f>
        <v/>
      </c>
      <c r="J157" s="30">
        <f>IF(ISBLANK(C157),0,C157*Inventory!H157)</f>
        <v>0</v>
      </c>
      <c r="K157" s="35" t="str">
        <f>IF(OR(ISBLANK(L157),L157=0),"",Settings!$B$14)</f>
        <v/>
      </c>
      <c r="L157" s="30">
        <f>IF(ISBLANK(Inventory!A157),0,SUM(E157:G157)*Inventory!H157)</f>
        <v>0</v>
      </c>
      <c r="M157" s="35" t="str">
        <f>IF(OR(ISBLANK(N157),N157=0),"",Settings!$B$14)</f>
        <v/>
      </c>
      <c r="N157" s="30">
        <f>IF(ISBLANK(Inventory!A157),0,SUM(E157:G157)*Inventory!J157)</f>
        <v>0</v>
      </c>
      <c r="O157" s="35" t="str">
        <f>IF(OR(ISBLANK(P157),P157=0),"",Settings!$B$14)</f>
        <v/>
      </c>
      <c r="P157" s="30">
        <f>IF(ISBLANK(Inventory!A157),0,H157*Inventory!J157)</f>
        <v>0</v>
      </c>
    </row>
    <row r="158" spans="1:16" s="29" customFormat="1" ht="15" customHeight="1">
      <c r="A158" s="31" t="str">
        <f>IF(ISBLANK(Inventory!A158),"",Inventory!A158)</f>
        <v>Strathmore</v>
      </c>
      <c r="B158" s="31" t="str">
        <f>IF(ISBLANK(Inventory!A158),"",Inventory!C158)</f>
        <v>330ml</v>
      </c>
      <c r="C158" s="187"/>
      <c r="D158" s="192"/>
      <c r="E158" s="187"/>
      <c r="F158" s="187"/>
      <c r="G158" s="187"/>
      <c r="H158" s="37">
        <f>IF(ISBLANK(Inventory!A158),0,C158+SUM('Week 1'!E158:G158)-SUM(E158:G158))</f>
        <v>0</v>
      </c>
      <c r="I158" s="35" t="str">
        <f>IF(OR(ISBLANK(J158),J158=0),"",Settings!$B$14)</f>
        <v/>
      </c>
      <c r="J158" s="30">
        <f>IF(ISBLANK(C158),0,C158*Inventory!H158)</f>
        <v>0</v>
      </c>
      <c r="K158" s="35" t="str">
        <f>IF(OR(ISBLANK(L158),L158=0),"",Settings!$B$14)</f>
        <v/>
      </c>
      <c r="L158" s="30">
        <f>IF(ISBLANK(Inventory!A158),0,SUM(E158:G158)*Inventory!H158)</f>
        <v>0</v>
      </c>
      <c r="M158" s="35" t="str">
        <f>IF(OR(ISBLANK(N158),N158=0),"",Settings!$B$14)</f>
        <v/>
      </c>
      <c r="N158" s="30">
        <f>IF(ISBLANK(Inventory!A158),0,SUM(E158:G158)*Inventory!J158)</f>
        <v>0</v>
      </c>
      <c r="O158" s="35" t="str">
        <f>IF(OR(ISBLANK(P158),P158=0),"",Settings!$B$14)</f>
        <v/>
      </c>
      <c r="P158" s="30">
        <f>IF(ISBLANK(Inventory!A158),0,H158*Inventory!J158)</f>
        <v>0</v>
      </c>
    </row>
    <row r="159" spans="1:16" s="29" customFormat="1" ht="15" customHeight="1">
      <c r="A159" s="31" t="str">
        <f>IF(ISBLANK(Inventory!A159),"",Inventory!A159)</f>
        <v>Red Bull</v>
      </c>
      <c r="B159" s="31" t="str">
        <f>IF(ISBLANK(Inventory!A159),"",Inventory!C159)</f>
        <v>250ml</v>
      </c>
      <c r="C159" s="187"/>
      <c r="D159" s="192"/>
      <c r="E159" s="187"/>
      <c r="F159" s="187"/>
      <c r="G159" s="187"/>
      <c r="H159" s="37">
        <f>IF(ISBLANK(Inventory!A159),0,C159+SUM('Week 1'!E159:G159)-SUM(E159:G159))</f>
        <v>0</v>
      </c>
      <c r="I159" s="35" t="str">
        <f>IF(OR(ISBLANK(J159),J159=0),"",Settings!$B$14)</f>
        <v/>
      </c>
      <c r="J159" s="30">
        <f>IF(ISBLANK(C159),0,C159*Inventory!H159)</f>
        <v>0</v>
      </c>
      <c r="K159" s="35" t="str">
        <f>IF(OR(ISBLANK(L159),L159=0),"",Settings!$B$14)</f>
        <v/>
      </c>
      <c r="L159" s="30">
        <f>IF(ISBLANK(Inventory!A159),0,SUM(E159:G159)*Inventory!H159)</f>
        <v>0</v>
      </c>
      <c r="M159" s="35" t="str">
        <f>IF(OR(ISBLANK(N159),N159=0),"",Settings!$B$14)</f>
        <v/>
      </c>
      <c r="N159" s="30">
        <f>IF(ISBLANK(Inventory!A159),0,SUM(E159:G159)*Inventory!J159)</f>
        <v>0</v>
      </c>
      <c r="O159" s="35" t="str">
        <f>IF(OR(ISBLANK(P159),P159=0),"",Settings!$B$14)</f>
        <v/>
      </c>
      <c r="P159" s="30">
        <f>IF(ISBLANK(Inventory!A159),0,H159*Inventory!J159)</f>
        <v>0</v>
      </c>
    </row>
    <row r="160" spans="1:16" s="29" customFormat="1" ht="15" customHeight="1">
      <c r="A160" s="31" t="str">
        <f>IF(ISBLANK(Inventory!A160),"",Inventory!A160)</f>
        <v>Squash/Cordial</v>
      </c>
      <c r="B160" s="31" t="str">
        <f>IF(ISBLANK(Inventory!A160),"",Inventory!C160)</f>
        <v>1Ltr</v>
      </c>
      <c r="C160" s="187"/>
      <c r="D160" s="192"/>
      <c r="E160" s="187"/>
      <c r="F160" s="187"/>
      <c r="G160" s="187"/>
      <c r="H160" s="37">
        <f>IF(ISBLANK(Inventory!A160),0,C160+SUM('Week 1'!E160:G160)-SUM(E160:G160))</f>
        <v>0</v>
      </c>
      <c r="I160" s="35" t="str">
        <f>IF(OR(ISBLANK(J160),J160=0),"",Settings!$B$14)</f>
        <v/>
      </c>
      <c r="J160" s="30">
        <f>IF(ISBLANK(C160),0,C160*Inventory!H160)</f>
        <v>0</v>
      </c>
      <c r="K160" s="35" t="str">
        <f>IF(OR(ISBLANK(L160),L160=0),"",Settings!$B$14)</f>
        <v/>
      </c>
      <c r="L160" s="30">
        <f>IF(ISBLANK(Inventory!A160),0,SUM(E160:G160)*Inventory!H160)</f>
        <v>0</v>
      </c>
      <c r="M160" s="35" t="str">
        <f>IF(OR(ISBLANK(N160),N160=0),"",Settings!$B$14)</f>
        <v/>
      </c>
      <c r="N160" s="30">
        <f>IF(ISBLANK(Inventory!A160),0,SUM(E160:G160)*Inventory!J160)</f>
        <v>0</v>
      </c>
      <c r="O160" s="35" t="str">
        <f>IF(OR(ISBLANK(P160),P160=0),"",Settings!$B$14)</f>
        <v/>
      </c>
      <c r="P160" s="30">
        <f>IF(ISBLANK(Inventory!A160),0,H160*Inventory!J160)</f>
        <v>0</v>
      </c>
    </row>
    <row r="161" spans="1:16" s="29" customFormat="1" ht="15" customHeight="1">
      <c r="A161" s="31" t="str">
        <f>IF(ISBLANK(Inventory!A161),"",Inventory!A161)</f>
        <v>Lime Cordial</v>
      </c>
      <c r="B161" s="31" t="str">
        <f>IF(ISBLANK(Inventory!A161),"",Inventory!C161)</f>
        <v>1Ltr</v>
      </c>
      <c r="C161" s="187"/>
      <c r="D161" s="192"/>
      <c r="E161" s="187"/>
      <c r="F161" s="187"/>
      <c r="G161" s="187">
        <v>0.9</v>
      </c>
      <c r="H161" s="37">
        <f>IF(ISBLANK(Inventory!A161),0,C161+SUM('Week 1'!E161:G161)-SUM(E161:G161))</f>
        <v>9.9999999999999978E-2</v>
      </c>
      <c r="I161" s="35" t="str">
        <f>IF(OR(ISBLANK(J161),J161=0),"",Settings!$B$14)</f>
        <v/>
      </c>
      <c r="J161" s="30">
        <f>IF(ISBLANK(C161),0,C161*Inventory!H161)</f>
        <v>0</v>
      </c>
      <c r="K161" s="35" t="str">
        <f>IF(OR(ISBLANK(L161),L161=0),"",Settings!$B$14)</f>
        <v>$</v>
      </c>
      <c r="L161" s="30">
        <f>IF(ISBLANK(Inventory!A161),0,SUM(E161:G161)*Inventory!H161)</f>
        <v>1.0912500000000001</v>
      </c>
      <c r="M161" s="35" t="str">
        <f>IF(OR(ISBLANK(N161),N161=0),"",Settings!$B$14)</f>
        <v>$</v>
      </c>
      <c r="N161" s="30">
        <f>IF(ISBLANK(Inventory!A161),0,SUM(E161:G161)*Inventory!J161)</f>
        <v>5.67</v>
      </c>
      <c r="O161" s="35" t="str">
        <f>IF(OR(ISBLANK(P161),P161=0),"",Settings!$B$14)</f>
        <v>$</v>
      </c>
      <c r="P161" s="30">
        <f>IF(ISBLANK(Inventory!A161),0,H161*Inventory!J161)</f>
        <v>0.62999999999999989</v>
      </c>
    </row>
    <row r="162" spans="1:16" s="29" customFormat="1" ht="15" customHeight="1">
      <c r="A162" s="31" t="str">
        <f>IF(ISBLANK(Inventory!A162),"",Inventory!A162)</f>
        <v>Coke/Diet Coke (Cans)</v>
      </c>
      <c r="B162" s="31" t="str">
        <f>IF(ISBLANK(Inventory!A162),"",Inventory!C162)</f>
        <v>330ml</v>
      </c>
      <c r="C162" s="187"/>
      <c r="D162" s="192"/>
      <c r="E162" s="187"/>
      <c r="F162" s="187"/>
      <c r="G162" s="187"/>
      <c r="H162" s="37">
        <f>IF(ISBLANK(Inventory!A162),0,C162+SUM('Week 1'!E162:G162)-SUM(E162:G162))</f>
        <v>0</v>
      </c>
      <c r="I162" s="35" t="str">
        <f>IF(OR(ISBLANK(J162),J162=0),"",Settings!$B$14)</f>
        <v/>
      </c>
      <c r="J162" s="30">
        <f>IF(ISBLANK(C162),0,C162*Inventory!H162)</f>
        <v>0</v>
      </c>
      <c r="K162" s="35" t="str">
        <f>IF(OR(ISBLANK(L162),L162=0),"",Settings!$B$14)</f>
        <v/>
      </c>
      <c r="L162" s="30">
        <f>IF(ISBLANK(Inventory!A162),0,SUM(E162:G162)*Inventory!H162)</f>
        <v>0</v>
      </c>
      <c r="M162" s="35" t="str">
        <f>IF(OR(ISBLANK(N162),N162=0),"",Settings!$B$14)</f>
        <v/>
      </c>
      <c r="N162" s="30">
        <f>IF(ISBLANK(Inventory!A162),0,SUM(E162:G162)*Inventory!J162)</f>
        <v>0</v>
      </c>
      <c r="O162" s="35" t="str">
        <f>IF(OR(ISBLANK(P162),P162=0),"",Settings!$B$14)</f>
        <v/>
      </c>
      <c r="P162" s="30">
        <f>IF(ISBLANK(Inventory!A162),0,H162*Inventory!J162)</f>
        <v>0</v>
      </c>
    </row>
    <row r="163" spans="1:16" s="29" customFormat="1" ht="15" customHeight="1">
      <c r="A163" s="31" t="str">
        <f>IF(ISBLANK(Inventory!A163),"",Inventory!A163)</f>
        <v/>
      </c>
      <c r="B163" s="31" t="str">
        <f>IF(ISBLANK(Inventory!A163),"",Inventory!C163)</f>
        <v/>
      </c>
      <c r="C163" s="187"/>
      <c r="D163" s="192"/>
      <c r="E163" s="187"/>
      <c r="F163" s="187"/>
      <c r="G163" s="187"/>
      <c r="H163" s="37">
        <f>IF(ISBLANK(Inventory!A163),0,C163+SUM('Week 1'!E163:G163)-SUM(E163:G163))</f>
        <v>0</v>
      </c>
      <c r="I163" s="35" t="str">
        <f>IF(OR(ISBLANK(J163),J163=0),"",Settings!$B$14)</f>
        <v/>
      </c>
      <c r="J163" s="30">
        <f>IF(ISBLANK(C163),0,C163*Inventory!H163)</f>
        <v>0</v>
      </c>
      <c r="K163" s="35" t="str">
        <f>IF(OR(ISBLANK(L163),L163=0),"",Settings!$B$14)</f>
        <v/>
      </c>
      <c r="L163" s="30">
        <f>IF(ISBLANK(Inventory!A163),0,SUM(E163:G163)*Inventory!H163)</f>
        <v>0</v>
      </c>
      <c r="M163" s="35" t="str">
        <f>IF(OR(ISBLANK(N163),N163=0),"",Settings!$B$14)</f>
        <v/>
      </c>
      <c r="N163" s="30">
        <f>IF(ISBLANK(Inventory!A163),0,SUM(E163:G163)*Inventory!J163)</f>
        <v>0</v>
      </c>
      <c r="O163" s="35" t="str">
        <f>IF(OR(ISBLANK(P163),P163=0),"",Settings!$B$14)</f>
        <v/>
      </c>
      <c r="P163" s="30">
        <f>IF(ISBLANK(Inventory!A163),0,H163*Inventory!J163)</f>
        <v>0</v>
      </c>
    </row>
    <row r="164" spans="1:16" s="29" customFormat="1" ht="15" customHeight="1">
      <c r="A164" s="31" t="str">
        <f>IF(ISBLANK(Inventory!A164),"",Inventory!A164)</f>
        <v/>
      </c>
      <c r="B164" s="31" t="str">
        <f>IF(ISBLANK(Inventory!A164),"",Inventory!C164)</f>
        <v/>
      </c>
      <c r="C164" s="187"/>
      <c r="D164" s="192"/>
      <c r="E164" s="187"/>
      <c r="F164" s="187"/>
      <c r="G164" s="187"/>
      <c r="H164" s="37">
        <f>IF(ISBLANK(Inventory!A164),0,C164+SUM('Week 1'!E164:G164)-SUM(E164:G164))</f>
        <v>0</v>
      </c>
      <c r="I164" s="35" t="str">
        <f>IF(OR(ISBLANK(J164),J164=0),"",Settings!$B$14)</f>
        <v/>
      </c>
      <c r="J164" s="30">
        <f>IF(ISBLANK(C164),0,C164*Inventory!H164)</f>
        <v>0</v>
      </c>
      <c r="K164" s="35" t="str">
        <f>IF(OR(ISBLANK(L164),L164=0),"",Settings!$B$14)</f>
        <v/>
      </c>
      <c r="L164" s="30">
        <f>IF(ISBLANK(Inventory!A164),0,SUM(E164:G164)*Inventory!H164)</f>
        <v>0</v>
      </c>
      <c r="M164" s="35" t="str">
        <f>IF(OR(ISBLANK(N164),N164=0),"",Settings!$B$14)</f>
        <v/>
      </c>
      <c r="N164" s="30">
        <f>IF(ISBLANK(Inventory!A164),0,SUM(E164:G164)*Inventory!J164)</f>
        <v>0</v>
      </c>
      <c r="O164" s="35" t="str">
        <f>IF(OR(ISBLANK(P164),P164=0),"",Settings!$B$14)</f>
        <v/>
      </c>
      <c r="P164" s="30">
        <f>IF(ISBLANK(Inventory!A164),0,H164*Inventory!J164)</f>
        <v>0</v>
      </c>
    </row>
    <row r="165" spans="1:16" s="29" customFormat="1" ht="15" customHeight="1">
      <c r="A165" s="31" t="str">
        <f>IF(ISBLANK(Inventory!A165),"",Inventory!A165)</f>
        <v/>
      </c>
      <c r="B165" s="31" t="str">
        <f>IF(ISBLANK(Inventory!A165),"",Inventory!C165)</f>
        <v/>
      </c>
      <c r="C165" s="187"/>
      <c r="D165" s="192"/>
      <c r="E165" s="187"/>
      <c r="F165" s="187"/>
      <c r="G165" s="187"/>
      <c r="H165" s="37">
        <f>IF(ISBLANK(Inventory!A165),0,C165+SUM('Week 1'!E165:G165)-SUM(E165:G165))</f>
        <v>0</v>
      </c>
      <c r="I165" s="35" t="str">
        <f>IF(OR(ISBLANK(J165),J165=0),"",Settings!$B$14)</f>
        <v/>
      </c>
      <c r="J165" s="30">
        <f>IF(ISBLANK(C165),0,C165*Inventory!H165)</f>
        <v>0</v>
      </c>
      <c r="K165" s="35" t="str">
        <f>IF(OR(ISBLANK(L165),L165=0),"",Settings!$B$14)</f>
        <v/>
      </c>
      <c r="L165" s="30">
        <f>IF(ISBLANK(Inventory!A165),0,SUM(E165:G165)*Inventory!H165)</f>
        <v>0</v>
      </c>
      <c r="M165" s="35" t="str">
        <f>IF(OR(ISBLANK(N165),N165=0),"",Settings!$B$14)</f>
        <v/>
      </c>
      <c r="N165" s="30">
        <f>IF(ISBLANK(Inventory!A165),0,SUM(E165:G165)*Inventory!J165)</f>
        <v>0</v>
      </c>
      <c r="O165" s="35" t="str">
        <f>IF(OR(ISBLANK(P165),P165=0),"",Settings!$B$14)</f>
        <v/>
      </c>
      <c r="P165" s="30">
        <f>IF(ISBLANK(Inventory!A165),0,H165*Inventory!J165)</f>
        <v>0</v>
      </c>
    </row>
    <row r="166" spans="1:16" s="29" customFormat="1" ht="15" customHeight="1">
      <c r="A166" s="31" t="str">
        <f>IF(ISBLANK(Inventory!A166),"",Inventory!A166)</f>
        <v/>
      </c>
      <c r="B166" s="31" t="str">
        <f>IF(ISBLANK(Inventory!A166),"",Inventory!C166)</f>
        <v/>
      </c>
      <c r="C166" s="187"/>
      <c r="D166" s="192"/>
      <c r="E166" s="187"/>
      <c r="F166" s="187"/>
      <c r="G166" s="187"/>
      <c r="H166" s="37">
        <f>IF(ISBLANK(Inventory!A166),0,C166+SUM('Week 1'!E166:G166)-SUM(E166:G166))</f>
        <v>0</v>
      </c>
      <c r="I166" s="35" t="str">
        <f>IF(OR(ISBLANK(J166),J166=0),"",Settings!$B$14)</f>
        <v/>
      </c>
      <c r="J166" s="30">
        <f>IF(ISBLANK(C166),0,C166*Inventory!H166)</f>
        <v>0</v>
      </c>
      <c r="K166" s="35" t="str">
        <f>IF(OR(ISBLANK(L166),L166=0),"",Settings!$B$14)</f>
        <v/>
      </c>
      <c r="L166" s="30">
        <f>IF(ISBLANK(Inventory!A166),0,SUM(E166:G166)*Inventory!H166)</f>
        <v>0</v>
      </c>
      <c r="M166" s="35" t="str">
        <f>IF(OR(ISBLANK(N166),N166=0),"",Settings!$B$14)</f>
        <v/>
      </c>
      <c r="N166" s="30">
        <f>IF(ISBLANK(Inventory!A166),0,SUM(E166:G166)*Inventory!J166)</f>
        <v>0</v>
      </c>
      <c r="O166" s="35" t="str">
        <f>IF(OR(ISBLANK(P166),P166=0),"",Settings!$B$14)</f>
        <v/>
      </c>
      <c r="P166" s="30">
        <f>IF(ISBLANK(Inventory!A166),0,H166*Inventory!J166)</f>
        <v>0</v>
      </c>
    </row>
    <row r="167" spans="1:16" s="29" customFormat="1" ht="15" customHeight="1">
      <c r="A167" s="31" t="str">
        <f>IF(ISBLANK(Inventory!A167),"",Inventory!A167)</f>
        <v/>
      </c>
      <c r="B167" s="31" t="str">
        <f>IF(ISBLANK(Inventory!A167),"",Inventory!C167)</f>
        <v/>
      </c>
      <c r="C167" s="187"/>
      <c r="D167" s="192"/>
      <c r="E167" s="187"/>
      <c r="F167" s="187"/>
      <c r="G167" s="187"/>
      <c r="H167" s="37">
        <f>IF(ISBLANK(Inventory!A167),0,C167+SUM('Week 1'!E167:G167)-SUM(E167:G167))</f>
        <v>0</v>
      </c>
      <c r="I167" s="35" t="str">
        <f>IF(OR(ISBLANK(J167),J167=0),"",Settings!$B$14)</f>
        <v/>
      </c>
      <c r="J167" s="30">
        <f>IF(ISBLANK(C167),0,C167*Inventory!H167)</f>
        <v>0</v>
      </c>
      <c r="K167" s="35" t="str">
        <f>IF(OR(ISBLANK(L167),L167=0),"",Settings!$B$14)</f>
        <v/>
      </c>
      <c r="L167" s="30">
        <f>IF(ISBLANK(Inventory!A167),0,SUM(E167:G167)*Inventory!H167)</f>
        <v>0</v>
      </c>
      <c r="M167" s="35" t="str">
        <f>IF(OR(ISBLANK(N167),N167=0),"",Settings!$B$14)</f>
        <v/>
      </c>
      <c r="N167" s="30">
        <f>IF(ISBLANK(Inventory!A167),0,SUM(E167:G167)*Inventory!J167)</f>
        <v>0</v>
      </c>
      <c r="O167" s="35" t="str">
        <f>IF(OR(ISBLANK(P167),P167=0),"",Settings!$B$14)</f>
        <v/>
      </c>
      <c r="P167" s="30">
        <f>IF(ISBLANK(Inventory!A167),0,H167*Inventory!J167)</f>
        <v>0</v>
      </c>
    </row>
    <row r="168" spans="1:16" s="29" customFormat="1" ht="15" customHeight="1">
      <c r="A168" s="31" t="str">
        <f>IF(ISBLANK(Inventory!A168),"",Inventory!A168)</f>
        <v/>
      </c>
      <c r="B168" s="31" t="str">
        <f>IF(ISBLANK(Inventory!A168),"",Inventory!C168)</f>
        <v/>
      </c>
      <c r="C168" s="187"/>
      <c r="D168" s="192"/>
      <c r="E168" s="187"/>
      <c r="F168" s="187"/>
      <c r="G168" s="187"/>
      <c r="H168" s="37">
        <f>IF(ISBLANK(Inventory!A168),0,C168+SUM('Week 1'!E168:G168)-SUM(E168:G168))</f>
        <v>0</v>
      </c>
      <c r="I168" s="35" t="str">
        <f>IF(OR(ISBLANK(J168),J168=0),"",Settings!$B$14)</f>
        <v/>
      </c>
      <c r="J168" s="30">
        <f>IF(ISBLANK(C168),0,C168*Inventory!H168)</f>
        <v>0</v>
      </c>
      <c r="K168" s="35" t="str">
        <f>IF(OR(ISBLANK(L168),L168=0),"",Settings!$B$14)</f>
        <v/>
      </c>
      <c r="L168" s="30">
        <f>IF(ISBLANK(Inventory!A168),0,SUM(E168:G168)*Inventory!H168)</f>
        <v>0</v>
      </c>
      <c r="M168" s="35" t="str">
        <f>IF(OR(ISBLANK(N168),N168=0),"",Settings!$B$14)</f>
        <v/>
      </c>
      <c r="N168" s="30">
        <f>IF(ISBLANK(Inventory!A168),0,SUM(E168:G168)*Inventory!J168)</f>
        <v>0</v>
      </c>
      <c r="O168" s="35" t="str">
        <f>IF(OR(ISBLANK(P168),P168=0),"",Settings!$B$14)</f>
        <v/>
      </c>
      <c r="P168" s="30">
        <f>IF(ISBLANK(Inventory!A168),0,H168*Inventory!J168)</f>
        <v>0</v>
      </c>
    </row>
    <row r="169" spans="1:16" s="29" customFormat="1" ht="15" customHeight="1">
      <c r="A169" s="31" t="str">
        <f>IF(ISBLANK(Inventory!A169),"",Inventory!A169)</f>
        <v/>
      </c>
      <c r="B169" s="31" t="str">
        <f>IF(ISBLANK(Inventory!A169),"",Inventory!C169)</f>
        <v/>
      </c>
      <c r="C169" s="187"/>
      <c r="D169" s="192"/>
      <c r="E169" s="187"/>
      <c r="F169" s="187"/>
      <c r="G169" s="187"/>
      <c r="H169" s="37">
        <f>IF(ISBLANK(Inventory!A169),0,C169+SUM('Week 1'!E169:G169)-SUM(E169:G169))</f>
        <v>0</v>
      </c>
      <c r="I169" s="35" t="str">
        <f>IF(OR(ISBLANK(J169),J169=0),"",Settings!$B$14)</f>
        <v/>
      </c>
      <c r="J169" s="30">
        <f>IF(ISBLANK(C169),0,C169*Inventory!H169)</f>
        <v>0</v>
      </c>
      <c r="K169" s="35" t="str">
        <f>IF(OR(ISBLANK(L169),L169=0),"",Settings!$B$14)</f>
        <v/>
      </c>
      <c r="L169" s="30">
        <f>IF(ISBLANK(Inventory!A169),0,SUM(E169:G169)*Inventory!H169)</f>
        <v>0</v>
      </c>
      <c r="M169" s="35" t="str">
        <f>IF(OR(ISBLANK(N169),N169=0),"",Settings!$B$14)</f>
        <v/>
      </c>
      <c r="N169" s="30">
        <f>IF(ISBLANK(Inventory!A169),0,SUM(E169:G169)*Inventory!J169)</f>
        <v>0</v>
      </c>
      <c r="O169" s="35" t="str">
        <f>IF(OR(ISBLANK(P169),P169=0),"",Settings!$B$14)</f>
        <v/>
      </c>
      <c r="P169" s="30">
        <f>IF(ISBLANK(Inventory!A169),0,H169*Inventory!J169)</f>
        <v>0</v>
      </c>
    </row>
    <row r="170" spans="1:16" ht="6.95" customHeight="1">
      <c r="A170" s="24"/>
      <c r="B170" s="24"/>
      <c r="C170" s="69"/>
      <c r="D170" s="69"/>
      <c r="E170" s="69"/>
      <c r="F170" s="69"/>
      <c r="G170" s="69"/>
      <c r="H170" s="69"/>
      <c r="I170" s="69"/>
      <c r="J170" s="69"/>
      <c r="K170" s="69"/>
      <c r="L170" s="25"/>
      <c r="M170" s="62"/>
      <c r="N170" s="160"/>
      <c r="O170" s="25"/>
      <c r="P170" s="160"/>
    </row>
    <row r="171" spans="1:16" s="45" customFormat="1" ht="18" customHeight="1" thickBot="1">
      <c r="A171" s="78" t="str">
        <f>Inventory!A171</f>
        <v>POST-MIX DRINKS</v>
      </c>
      <c r="B171" s="78" t="str">
        <f>Inventory!C171</f>
        <v>VOLUME</v>
      </c>
      <c r="C171" s="22" t="s">
        <v>187</v>
      </c>
      <c r="D171" s="22"/>
      <c r="E171" s="22" t="s">
        <v>101</v>
      </c>
      <c r="F171" s="22"/>
      <c r="G171" s="23" t="s">
        <v>108</v>
      </c>
      <c r="H171" s="79" t="s">
        <v>119</v>
      </c>
      <c r="I171" s="253" t="s">
        <v>190</v>
      </c>
      <c r="J171" s="253"/>
      <c r="K171" s="235" t="s">
        <v>30</v>
      </c>
      <c r="L171" s="235"/>
      <c r="M171" s="235" t="s">
        <v>31</v>
      </c>
      <c r="N171" s="235"/>
      <c r="O171" s="235" t="s">
        <v>189</v>
      </c>
      <c r="P171" s="235"/>
    </row>
    <row r="172" spans="1:16" ht="6.95" customHeight="1" thickTop="1">
      <c r="A172" s="193"/>
      <c r="B172" s="194"/>
      <c r="C172" s="71"/>
      <c r="D172" s="71"/>
      <c r="E172" s="67"/>
      <c r="F172" s="67"/>
      <c r="G172" s="71"/>
      <c r="H172" s="71"/>
      <c r="I172" s="71"/>
      <c r="J172" s="71"/>
      <c r="K172" s="71"/>
      <c r="L172" s="67"/>
      <c r="M172" s="62"/>
      <c r="N172" s="67"/>
      <c r="O172" s="72"/>
      <c r="P172" s="67"/>
    </row>
    <row r="173" spans="1:16" ht="15" customHeight="1">
      <c r="A173" s="31" t="str">
        <f>IF(ISBLANK(Inventory!A173),"",Inventory!A173)</f>
        <v>Post-Mix Pepsi/Diet</v>
      </c>
      <c r="B173" s="31" t="str">
        <f>IF(ISBLANK(Inventory!A173),"",Inventory!C173)</f>
        <v>20ml</v>
      </c>
      <c r="C173" s="187">
        <v>1</v>
      </c>
      <c r="D173" s="192"/>
      <c r="E173" s="187"/>
      <c r="F173" s="173"/>
      <c r="G173" s="187"/>
      <c r="H173" s="37">
        <f>IF(ISBLANK(Inventory!A173),0,C173+SUM('Week 1'!E173:G173)-SUM(E173:G173))</f>
        <v>1.8</v>
      </c>
      <c r="I173" s="35" t="str">
        <f>IF(OR(ISBLANK(J173),J173=0),"",Settings!$B$14)</f>
        <v>$</v>
      </c>
      <c r="J173" s="30">
        <f>IF(ISBLANK(C173),0,C173*Inventory!F173)</f>
        <v>15.25</v>
      </c>
      <c r="K173" s="35" t="str">
        <f>IF(OR(ISBLANK(L173),L173=0),"",Settings!$B$14)</f>
        <v/>
      </c>
      <c r="L173" s="30">
        <f>IF(ISBLANK(Inventory!A173),0,SUM(E173:G173)*Inventory!F173)</f>
        <v>0</v>
      </c>
      <c r="M173" s="35" t="str">
        <f>IF(OR(ISBLANK(N173),N173=0),"",Settings!$B$14)</f>
        <v/>
      </c>
      <c r="N173" s="30">
        <f>IF(ISBLANK(Inventory!A173),0,SUM(E173:G173)*Inventory!L173)</f>
        <v>0</v>
      </c>
      <c r="O173" s="35" t="str">
        <f>IF(OR(ISBLANK(P173),P173=0),"",Settings!$B$14)</f>
        <v>$</v>
      </c>
      <c r="P173" s="30">
        <f>IF(ISBLANK(Inventory!A173),0,H173*Inventory!L173)</f>
        <v>742.5</v>
      </c>
    </row>
    <row r="174" spans="1:16" ht="15" customHeight="1">
      <c r="A174" s="31" t="str">
        <f>IF(ISBLANK(Inventory!A174),"",Inventory!A174)</f>
        <v>Post-Mix Lemonade</v>
      </c>
      <c r="B174" s="31" t="str">
        <f>IF(ISBLANK(Inventory!A174),"",Inventory!C174)</f>
        <v>20ml</v>
      </c>
      <c r="C174" s="187">
        <v>1</v>
      </c>
      <c r="D174" s="192"/>
      <c r="E174" s="187"/>
      <c r="F174" s="173"/>
      <c r="G174" s="187"/>
      <c r="H174" s="37">
        <f>IF(ISBLANK(Inventory!A174),0,C174+SUM('Week 1'!E174:G174)-SUM(E174:G174))</f>
        <v>1.9</v>
      </c>
      <c r="I174" s="35" t="str">
        <f>IF(OR(ISBLANK(J174),J174=0),"",Settings!$B$14)</f>
        <v>$</v>
      </c>
      <c r="J174" s="30">
        <f>IF(ISBLANK(C174),0,C174*Inventory!F174)</f>
        <v>14.43</v>
      </c>
      <c r="K174" s="35" t="str">
        <f>IF(OR(ISBLANK(L174),L174=0),"",Settings!$B$14)</f>
        <v/>
      </c>
      <c r="L174" s="30">
        <f>IF(ISBLANK(Inventory!A174),0,SUM(E174:G174)*Inventory!F174)</f>
        <v>0</v>
      </c>
      <c r="M174" s="35" t="str">
        <f>IF(OR(ISBLANK(N174),N174=0),"",Settings!$B$14)</f>
        <v/>
      </c>
      <c r="N174" s="30">
        <f>IF(ISBLANK(Inventory!A174),0,SUM(E174:G174)*Inventory!L174)</f>
        <v>0</v>
      </c>
      <c r="O174" s="35" t="str">
        <f>IF(OR(ISBLANK(P174),P174=0),"",Settings!$B$14)</f>
        <v>$</v>
      </c>
      <c r="P174" s="30">
        <f>IF(ISBLANK(Inventory!A174),0,H174*Inventory!L174)</f>
        <v>783.75</v>
      </c>
    </row>
    <row r="175" spans="1:16" ht="15" customHeight="1">
      <c r="A175" s="31" t="str">
        <f>IF(ISBLANK(Inventory!A175),"",Inventory!A175)</f>
        <v>Post-Mix Tango</v>
      </c>
      <c r="B175" s="31" t="str">
        <f>IF(ISBLANK(Inventory!A175),"",Inventory!C175)</f>
        <v>20ml</v>
      </c>
      <c r="C175" s="187">
        <v>1</v>
      </c>
      <c r="D175" s="192"/>
      <c r="E175" s="187"/>
      <c r="F175" s="173"/>
      <c r="G175" s="187"/>
      <c r="H175" s="37">
        <f>IF(ISBLANK(Inventory!A175),0,C175+SUM('Week 1'!E175:G175)-SUM(E175:G175))</f>
        <v>1.9</v>
      </c>
      <c r="I175" s="35" t="str">
        <f>IF(OR(ISBLANK(J175),J175=0),"",Settings!$B$14)</f>
        <v>$</v>
      </c>
      <c r="J175" s="30">
        <f>IF(ISBLANK(C175),0,C175*Inventory!F175)</f>
        <v>12.3</v>
      </c>
      <c r="K175" s="35" t="str">
        <f>IF(OR(ISBLANK(L175),L175=0),"",Settings!$B$14)</f>
        <v/>
      </c>
      <c r="L175" s="30">
        <f>IF(ISBLANK(Inventory!A175),0,SUM(E175:G175)*Inventory!F175)</f>
        <v>0</v>
      </c>
      <c r="M175" s="35" t="str">
        <f>IF(OR(ISBLANK(N175),N175=0),"",Settings!$B$14)</f>
        <v/>
      </c>
      <c r="N175" s="30">
        <f>IF(ISBLANK(Inventory!A175),0,SUM(E175:G175)*Inventory!L175)</f>
        <v>0</v>
      </c>
      <c r="O175" s="35" t="str">
        <f>IF(OR(ISBLANK(P175),P175=0),"",Settings!$B$14)</f>
        <v>$</v>
      </c>
      <c r="P175" s="30">
        <f>IF(ISBLANK(Inventory!A175),0,H175*Inventory!L175)</f>
        <v>1567.5</v>
      </c>
    </row>
    <row r="176" spans="1:16" ht="15" customHeight="1">
      <c r="A176" s="31" t="str">
        <f>IF(ISBLANK(Inventory!A176),"",Inventory!A176)</f>
        <v>Sprite</v>
      </c>
      <c r="B176" s="31" t="str">
        <f>IF(ISBLANK(Inventory!A176),"",Inventory!C176)</f>
        <v>25ml</v>
      </c>
      <c r="C176" s="187">
        <v>1</v>
      </c>
      <c r="D176" s="192"/>
      <c r="E176" s="187"/>
      <c r="F176" s="173"/>
      <c r="G176" s="187"/>
      <c r="H176" s="37">
        <f>IF(ISBLANK(Inventory!A176),0,C176+SUM('Week 1'!E176:G176)-SUM(E176:G176))</f>
        <v>1.9</v>
      </c>
      <c r="I176" s="35" t="str">
        <f>IF(OR(ISBLANK(J176),J176=0),"",Settings!$B$14)</f>
        <v>$</v>
      </c>
      <c r="J176" s="30">
        <f>IF(ISBLANK(C176),0,C176*Inventory!F176)</f>
        <v>15.53</v>
      </c>
      <c r="K176" s="35" t="str">
        <f>IF(OR(ISBLANK(L176),L176=0),"",Settings!$B$14)</f>
        <v/>
      </c>
      <c r="L176" s="30">
        <f>IF(ISBLANK(Inventory!A176),0,SUM(E176:G176)*Inventory!F176)</f>
        <v>0</v>
      </c>
      <c r="M176" s="35" t="str">
        <f>IF(OR(ISBLANK(N176),N176=0),"",Settings!$B$14)</f>
        <v/>
      </c>
      <c r="N176" s="30">
        <f>IF(ISBLANK(Inventory!A176),0,SUM(E176:G176)*Inventory!L176)</f>
        <v>0</v>
      </c>
      <c r="O176" s="35" t="str">
        <f>IF(OR(ISBLANK(P176),P176=0),"",Settings!$B$14)</f>
        <v>$</v>
      </c>
      <c r="P176" s="30">
        <f>IF(ISBLANK(Inventory!A176),0,H176*Inventory!L176)</f>
        <v>627</v>
      </c>
    </row>
    <row r="177" spans="1:16" ht="15" customHeight="1">
      <c r="A177" s="31" t="str">
        <f>IF(ISBLANK(Inventory!A177),"",Inventory!A177)</f>
        <v/>
      </c>
      <c r="B177" s="31" t="str">
        <f>IF(ISBLANK(Inventory!A177),"",Inventory!C177)</f>
        <v/>
      </c>
      <c r="C177" s="187"/>
      <c r="D177" s="192"/>
      <c r="E177" s="187"/>
      <c r="F177" s="173"/>
      <c r="G177" s="187"/>
      <c r="H177" s="37">
        <f>IF(ISBLANK(Inventory!A177),0,C177+SUM('Week 1'!E177:G177)-SUM(E177:G177))</f>
        <v>0</v>
      </c>
      <c r="I177" s="35" t="str">
        <f>IF(OR(ISBLANK(J177),J177=0),"",Settings!$B$14)</f>
        <v/>
      </c>
      <c r="J177" s="30">
        <f>IF(ISBLANK(C177),0,C177*Inventory!F177)</f>
        <v>0</v>
      </c>
      <c r="K177" s="35" t="str">
        <f>IF(OR(ISBLANK(L177),L177=0),"",Settings!$B$14)</f>
        <v/>
      </c>
      <c r="L177" s="30">
        <f>IF(ISBLANK(Inventory!A177),0,SUM(E177:G177)*Inventory!F177)</f>
        <v>0</v>
      </c>
      <c r="M177" s="35" t="str">
        <f>IF(OR(ISBLANK(N177),N177=0),"",Settings!$B$14)</f>
        <v/>
      </c>
      <c r="N177" s="30">
        <f>IF(ISBLANK(Inventory!A177),0,SUM(E177:G177)*Inventory!L177)</f>
        <v>0</v>
      </c>
      <c r="O177" s="35" t="str">
        <f>IF(OR(ISBLANK(P177),P177=0),"",Settings!$B$14)</f>
        <v/>
      </c>
      <c r="P177" s="30">
        <f>IF(ISBLANK(Inventory!A177),0,H177*Inventory!L177)</f>
        <v>0</v>
      </c>
    </row>
    <row r="178" spans="1:16" ht="15" customHeight="1">
      <c r="A178" s="31" t="str">
        <f>IF(ISBLANK(Inventory!A178),"",Inventory!A178)</f>
        <v/>
      </c>
      <c r="B178" s="31" t="str">
        <f>IF(ISBLANK(Inventory!A178),"",Inventory!C178)</f>
        <v/>
      </c>
      <c r="C178" s="187"/>
      <c r="D178" s="192"/>
      <c r="E178" s="187"/>
      <c r="F178" s="173"/>
      <c r="G178" s="187"/>
      <c r="H178" s="37">
        <f>IF(ISBLANK(Inventory!A178),0,C178+SUM('Week 1'!E178:G178)-SUM(E178:G178))</f>
        <v>0</v>
      </c>
      <c r="I178" s="35" t="str">
        <f>IF(OR(ISBLANK(J178),J178=0),"",Settings!$B$14)</f>
        <v/>
      </c>
      <c r="J178" s="30">
        <f>IF(ISBLANK(C178),0,C178*Inventory!F178)</f>
        <v>0</v>
      </c>
      <c r="K178" s="35" t="str">
        <f>IF(OR(ISBLANK(L178),L178=0),"",Settings!$B$14)</f>
        <v/>
      </c>
      <c r="L178" s="30">
        <f>IF(ISBLANK(Inventory!A178),0,SUM(E178:G178)*Inventory!F178)</f>
        <v>0</v>
      </c>
      <c r="M178" s="35" t="str">
        <f>IF(OR(ISBLANK(N178),N178=0),"",Settings!$B$14)</f>
        <v/>
      </c>
      <c r="N178" s="30">
        <f>IF(ISBLANK(Inventory!A178),0,SUM(E178:G178)*Inventory!L178)</f>
        <v>0</v>
      </c>
      <c r="O178" s="35" t="str">
        <f>IF(OR(ISBLANK(P178),P178=0),"",Settings!$B$14)</f>
        <v/>
      </c>
      <c r="P178" s="30">
        <f>IF(ISBLANK(Inventory!A178),0,H178*Inventory!L178)</f>
        <v>0</v>
      </c>
    </row>
    <row r="179" spans="1:16" ht="6.95" customHeight="1">
      <c r="A179" s="24"/>
      <c r="B179" s="24"/>
      <c r="C179" s="1"/>
      <c r="D179" s="1"/>
      <c r="E179" s="1"/>
      <c r="F179" s="1"/>
      <c r="G179" s="1"/>
      <c r="H179" s="1"/>
      <c r="I179" s="1"/>
      <c r="J179" s="1"/>
      <c r="K179" s="1"/>
      <c r="L179" s="25"/>
      <c r="M179" s="62"/>
      <c r="N179" s="160"/>
      <c r="O179" s="25"/>
      <c r="P179" s="160"/>
    </row>
    <row r="180" spans="1:16" s="45" customFormat="1" ht="18" customHeight="1" thickBot="1">
      <c r="A180" s="78" t="str">
        <f>Inventory!A180</f>
        <v>COMPRESSED GAS</v>
      </c>
      <c r="B180" s="78"/>
      <c r="C180" s="22" t="s">
        <v>187</v>
      </c>
      <c r="D180" s="22"/>
      <c r="E180" s="22" t="s">
        <v>101</v>
      </c>
      <c r="F180" s="22"/>
      <c r="G180" s="23" t="s">
        <v>108</v>
      </c>
      <c r="H180" s="79" t="s">
        <v>119</v>
      </c>
      <c r="I180" s="253" t="s">
        <v>190</v>
      </c>
      <c r="J180" s="253"/>
      <c r="K180" s="235" t="s">
        <v>30</v>
      </c>
      <c r="L180" s="235"/>
      <c r="M180" s="235"/>
      <c r="N180" s="235"/>
      <c r="O180" s="235"/>
      <c r="P180" s="235"/>
    </row>
    <row r="181" spans="1:16" ht="6.95" customHeight="1" thickTop="1">
      <c r="A181" s="193"/>
      <c r="B181" s="194"/>
      <c r="C181" s="1"/>
      <c r="D181" s="1"/>
      <c r="E181" s="67"/>
      <c r="F181" s="67"/>
      <c r="G181" s="71"/>
      <c r="H181" s="71"/>
      <c r="I181" s="71"/>
      <c r="J181" s="71"/>
      <c r="K181" s="1"/>
      <c r="L181" s="67"/>
      <c r="M181" s="62"/>
      <c r="N181" s="67"/>
      <c r="O181" s="72"/>
      <c r="P181" s="67"/>
    </row>
    <row r="182" spans="1:16" ht="15" customHeight="1">
      <c r="A182" s="31" t="str">
        <f>IF(ISBLANK(Inventory!A182),"",Inventory!A182)</f>
        <v>Suregas B</v>
      </c>
      <c r="B182" s="31"/>
      <c r="C182" s="187">
        <v>1</v>
      </c>
      <c r="D182" s="192"/>
      <c r="E182" s="187">
        <v>1</v>
      </c>
      <c r="F182" s="173"/>
      <c r="G182" s="187">
        <v>0.2</v>
      </c>
      <c r="H182" s="37">
        <f>IF(ISBLANK(Inventory!A182),0,C182+SUM('Week 1'!E182:G182)-SUM(E182:G182))</f>
        <v>0.30000000000000004</v>
      </c>
      <c r="I182" s="35" t="str">
        <f>IF(OR(ISBLANK(J182),J182=0),"",Settings!$B$14)</f>
        <v>$</v>
      </c>
      <c r="J182" s="30">
        <f>IF(ISBLANK(C182),0,C182*Inventory!F182)</f>
        <v>15.75</v>
      </c>
      <c r="K182" s="35" t="str">
        <f>IF(OR(ISBLANK(L182),L182=0),"",Settings!$B$14)</f>
        <v>$</v>
      </c>
      <c r="L182" s="30">
        <f>IF(ISBLANK(Inventory!A182),0,SUM(E182:G182)*Inventory!F182)</f>
        <v>18.899999999999999</v>
      </c>
      <c r="M182" s="35"/>
      <c r="N182" s="30"/>
      <c r="O182" s="35"/>
      <c r="P182" s="30"/>
    </row>
    <row r="183" spans="1:16" ht="15" customHeight="1">
      <c r="A183" s="31" t="str">
        <f>IF(ISBLANK(Inventory!A183),"",Inventory!A183)</f>
        <v>Suremix 30/50</v>
      </c>
      <c r="B183" s="31"/>
      <c r="C183" s="187">
        <v>1</v>
      </c>
      <c r="D183" s="192"/>
      <c r="E183" s="187">
        <v>1</v>
      </c>
      <c r="F183" s="173"/>
      <c r="G183" s="187">
        <v>0.1</v>
      </c>
      <c r="H183" s="37">
        <f>IF(ISBLANK(Inventory!A183),0,C183+SUM('Week 1'!E183:G183)-SUM(E183:G183))</f>
        <v>9.9999999999999867E-2</v>
      </c>
      <c r="I183" s="35" t="str">
        <f>IF(OR(ISBLANK(J183),J183=0),"",Settings!$B$14)</f>
        <v>$</v>
      </c>
      <c r="J183" s="30">
        <f>IF(ISBLANK(C183),0,C183*Inventory!F183)</f>
        <v>28.3</v>
      </c>
      <c r="K183" s="35" t="str">
        <f>IF(OR(ISBLANK(L183),L183=0),"",Settings!$B$14)</f>
        <v>$</v>
      </c>
      <c r="L183" s="30">
        <f>IF(ISBLANK(Inventory!A183),0,SUM(E183:G183)*Inventory!F183)</f>
        <v>31.130000000000003</v>
      </c>
      <c r="M183" s="35"/>
      <c r="N183" s="30"/>
      <c r="O183" s="35"/>
      <c r="P183" s="30"/>
    </row>
    <row r="184" spans="1:16" ht="15" customHeight="1">
      <c r="A184" s="31" t="str">
        <f>IF(ISBLANK(Inventory!A184),"",Inventory!A184)</f>
        <v/>
      </c>
      <c r="B184" s="31"/>
      <c r="C184" s="187"/>
      <c r="D184" s="192"/>
      <c r="E184" s="187"/>
      <c r="F184" s="173"/>
      <c r="G184" s="187"/>
      <c r="H184" s="37">
        <f>IF(ISBLANK(Inventory!A184),0,C184+SUM('Week 1'!E184:G184)-SUM(E184:G184))</f>
        <v>0</v>
      </c>
      <c r="I184" s="35" t="str">
        <f>IF(OR(ISBLANK(J184),J184=0),"",Settings!$B$14)</f>
        <v/>
      </c>
      <c r="J184" s="30">
        <f>IF(ISBLANK(C184),0,C184*Inventory!F184)</f>
        <v>0</v>
      </c>
      <c r="K184" s="35" t="str">
        <f>IF(OR(ISBLANK(L184),L184=0),"",Settings!$B$14)</f>
        <v/>
      </c>
      <c r="L184" s="30">
        <f>IF(ISBLANK(Inventory!A184),0,SUM(E184:G184)*Inventory!F184)</f>
        <v>0</v>
      </c>
      <c r="M184" s="35"/>
      <c r="N184" s="30"/>
      <c r="O184" s="35"/>
      <c r="P184" s="30"/>
    </row>
    <row r="185" spans="1:16" ht="15" customHeight="1">
      <c r="A185" s="31" t="str">
        <f>IF(ISBLANK(Inventory!A185),"",Inventory!A185)</f>
        <v/>
      </c>
      <c r="B185" s="31"/>
      <c r="C185" s="187"/>
      <c r="D185" s="192"/>
      <c r="E185" s="187"/>
      <c r="F185" s="173"/>
      <c r="G185" s="187"/>
      <c r="H185" s="37">
        <f>IF(ISBLANK(Inventory!A185),0,C185+SUM('Week 1'!E185:G185)-SUM(E185:G185))</f>
        <v>0</v>
      </c>
      <c r="I185" s="35" t="str">
        <f>IF(OR(ISBLANK(J185),J185=0),"",Settings!$B$14)</f>
        <v/>
      </c>
      <c r="J185" s="30">
        <f>IF(ISBLANK(C185),0,C185*Inventory!F185)</f>
        <v>0</v>
      </c>
      <c r="K185" s="35" t="str">
        <f>IF(OR(ISBLANK(L185),L185=0),"",Settings!$B$14)</f>
        <v/>
      </c>
      <c r="L185" s="30">
        <f>IF(ISBLANK(Inventory!A185),0,SUM(E185:G185)*Inventory!F185)</f>
        <v>0</v>
      </c>
      <c r="M185" s="35"/>
      <c r="N185" s="30"/>
      <c r="O185" s="35"/>
      <c r="P185" s="30"/>
    </row>
    <row r="186" spans="1:16" ht="6.95" customHeight="1">
      <c r="A186" s="24"/>
      <c r="B186" s="24"/>
      <c r="C186" s="1"/>
      <c r="D186" s="1"/>
      <c r="E186" s="1"/>
      <c r="F186" s="1"/>
      <c r="G186" s="1"/>
      <c r="H186" s="1"/>
      <c r="I186" s="1"/>
      <c r="J186" s="1"/>
      <c r="K186" s="1"/>
      <c r="L186" s="25"/>
      <c r="M186" s="62"/>
      <c r="N186" s="25"/>
      <c r="O186" s="25"/>
      <c r="P186" s="25"/>
    </row>
    <row r="187" spans="1:16" s="45" customFormat="1" ht="18" customHeight="1" thickBot="1">
      <c r="A187" s="78" t="str">
        <f>Inventory!A187</f>
        <v xml:space="preserve">REUSABLE containers and bottles </v>
      </c>
      <c r="B187" s="78"/>
      <c r="C187" s="22" t="s">
        <v>191</v>
      </c>
      <c r="D187" s="22"/>
      <c r="E187" s="22" t="s">
        <v>101</v>
      </c>
      <c r="F187" s="22" t="s">
        <v>102</v>
      </c>
      <c r="G187" s="23"/>
      <c r="H187" s="79" t="s">
        <v>119</v>
      </c>
      <c r="I187" s="253" t="s">
        <v>198</v>
      </c>
      <c r="J187" s="253"/>
      <c r="K187" s="235" t="s">
        <v>199</v>
      </c>
      <c r="L187" s="235"/>
      <c r="M187" s="235"/>
      <c r="N187" s="235"/>
      <c r="O187" s="235"/>
      <c r="P187" s="235"/>
    </row>
    <row r="188" spans="1:16" ht="6.95" customHeight="1" thickTop="1">
      <c r="A188" s="193"/>
      <c r="B188" s="194"/>
      <c r="C188" s="1"/>
      <c r="D188" s="1"/>
      <c r="E188" s="67"/>
      <c r="F188" s="67"/>
      <c r="G188" s="71"/>
      <c r="H188" s="71"/>
      <c r="I188" s="71"/>
      <c r="J188" s="71"/>
      <c r="K188" s="1"/>
      <c r="L188" s="67"/>
      <c r="M188" s="62"/>
      <c r="N188" s="67"/>
      <c r="O188" s="72"/>
      <c r="P188" s="67"/>
    </row>
    <row r="189" spans="1:16" ht="15" customHeight="1">
      <c r="A189" s="31" t="str">
        <f>IF(ISBLANK(Inventory!A189),"",Inventory!A189)</f>
        <v>Cases</v>
      </c>
      <c r="B189" s="31"/>
      <c r="C189" s="187">
        <v>3</v>
      </c>
      <c r="D189" s="192"/>
      <c r="E189" s="187">
        <v>3</v>
      </c>
      <c r="F189" s="187"/>
      <c r="G189" s="173"/>
      <c r="H189" s="37">
        <f>IF(ISBLANK(Inventory!A189),0,C189+SUM('Stock Opening'!C189:E189)-SUM(E189:G189))</f>
        <v>4</v>
      </c>
      <c r="I189" s="35" t="str">
        <f>IF(OR(ISBLANK(J189),J189=0),"",Settings!$B$14)</f>
        <v>$</v>
      </c>
      <c r="J189" s="30">
        <f>IF(ISBLANK(C189),0,C189*Inventory!F189)</f>
        <v>3</v>
      </c>
      <c r="K189" s="35" t="str">
        <f>IF(OR(ISBLANK(L189),L189=0),"",Settings!$B$14)</f>
        <v>$</v>
      </c>
      <c r="L189" s="30">
        <f>IF(ISBLANK(Inventory!A189),0,SUM(E189:G189)*Inventory!F189)</f>
        <v>3</v>
      </c>
      <c r="M189" s="35"/>
      <c r="N189" s="30"/>
      <c r="O189" s="35"/>
      <c r="P189" s="30"/>
    </row>
    <row r="190" spans="1:16" ht="15" customHeight="1">
      <c r="A190" s="31" t="str">
        <f>IF(ISBLANK(Inventory!A190),"",Inventory!A190)</f>
        <v>Bottles - Small</v>
      </c>
      <c r="B190" s="31"/>
      <c r="C190" s="187">
        <v>500</v>
      </c>
      <c r="D190" s="192"/>
      <c r="E190" s="187">
        <v>100</v>
      </c>
      <c r="F190" s="187"/>
      <c r="G190" s="173"/>
      <c r="H190" s="37">
        <f>IF(ISBLANK(Inventory!A190),0,C190+SUM('Stock Opening'!C190:E190)-SUM(E190:G190))</f>
        <v>900</v>
      </c>
      <c r="I190" s="35" t="str">
        <f>IF(OR(ISBLANK(J190),J190=0),"",Settings!$B$14)</f>
        <v>$</v>
      </c>
      <c r="J190" s="30">
        <f>IF(ISBLANK(C190),0,C190*Inventory!F190)</f>
        <v>21</v>
      </c>
      <c r="K190" s="35" t="str">
        <f>IF(OR(ISBLANK(L190),L190=0),"",Settings!$B$14)</f>
        <v>$</v>
      </c>
      <c r="L190" s="30">
        <f>IF(ISBLANK(Inventory!A190),0,SUM(E190:G190)*Inventory!F190)</f>
        <v>4.2</v>
      </c>
      <c r="M190" s="35"/>
      <c r="N190" s="30"/>
      <c r="O190" s="35"/>
      <c r="P190" s="30"/>
    </row>
    <row r="191" spans="1:16" ht="15" customHeight="1">
      <c r="A191" s="31" t="str">
        <f>IF(ISBLANK(Inventory!A191),"",Inventory!A191)</f>
        <v>Suregas B</v>
      </c>
      <c r="B191" s="31"/>
      <c r="C191" s="187">
        <v>1</v>
      </c>
      <c r="D191" s="192"/>
      <c r="E191" s="187">
        <v>1</v>
      </c>
      <c r="F191" s="187"/>
      <c r="G191" s="173"/>
      <c r="H191" s="37">
        <f>IF(ISBLANK(Inventory!A191),0,C191+SUM('Stock Opening'!C191:E191)-SUM(E191:G191))</f>
        <v>1</v>
      </c>
      <c r="I191" s="35" t="str">
        <f>IF(OR(ISBLANK(J191),J191=0),"",Settings!$B$14)</f>
        <v>$</v>
      </c>
      <c r="J191" s="30">
        <f>IF(ISBLANK(C191),0,C191*Inventory!F191)</f>
        <v>4.3</v>
      </c>
      <c r="K191" s="35" t="str">
        <f>IF(OR(ISBLANK(L191),L191=0),"",Settings!$B$14)</f>
        <v>$</v>
      </c>
      <c r="L191" s="30">
        <f>IF(ISBLANK(Inventory!A191),0,SUM(E191:G191)*Inventory!F191)</f>
        <v>4.3</v>
      </c>
      <c r="M191" s="35"/>
      <c r="N191" s="30"/>
      <c r="O191" s="35"/>
      <c r="P191" s="30"/>
    </row>
    <row r="192" spans="1:16" ht="15" customHeight="1">
      <c r="A192" s="31" t="str">
        <f>IF(ISBLANK(Inventory!A192),"",Inventory!A192)</f>
        <v>Suremix 30/50</v>
      </c>
      <c r="B192" s="31"/>
      <c r="C192" s="187">
        <v>1</v>
      </c>
      <c r="D192" s="192"/>
      <c r="E192" s="187">
        <v>1</v>
      </c>
      <c r="F192" s="187"/>
      <c r="G192" s="173"/>
      <c r="H192" s="37">
        <f>IF(ISBLANK(Inventory!A192),0,C192+SUM('Stock Opening'!C192:E192)-SUM(E192:G192))</f>
        <v>1</v>
      </c>
      <c r="I192" s="35" t="str">
        <f>IF(OR(ISBLANK(J192),J192=0),"",Settings!$B$14)</f>
        <v>$</v>
      </c>
      <c r="J192" s="30">
        <f>IF(ISBLANK(C192),0,C192*Inventory!F192)</f>
        <v>5.65</v>
      </c>
      <c r="K192" s="35" t="str">
        <f>IF(OR(ISBLANK(L192),L192=0),"",Settings!$B$14)</f>
        <v>$</v>
      </c>
      <c r="L192" s="30">
        <f>IF(ISBLANK(Inventory!A192),0,SUM(E192:G192)*Inventory!F192)</f>
        <v>5.65</v>
      </c>
      <c r="M192" s="35"/>
      <c r="N192" s="30"/>
      <c r="O192" s="35"/>
      <c r="P192" s="30"/>
    </row>
    <row r="193" spans="1:16" ht="15" customHeight="1">
      <c r="A193" s="31" t="str">
        <f>IF(ISBLANK(Inventory!A193),"",Inventory!A193)</f>
        <v/>
      </c>
      <c r="B193" s="31"/>
      <c r="C193" s="187"/>
      <c r="D193" s="192"/>
      <c r="E193" s="187"/>
      <c r="F193" s="187"/>
      <c r="G193" s="173"/>
      <c r="H193" s="37">
        <f>IF(ISBLANK(Inventory!A193),0,C193+SUM('Stock Opening'!C193:E193)-SUM(E193:G193))</f>
        <v>0</v>
      </c>
      <c r="I193" s="35" t="str">
        <f>IF(OR(ISBLANK(J193),J193=0),"",Settings!$B$14)</f>
        <v/>
      </c>
      <c r="J193" s="30">
        <f>IF(ISBLANK(C193),0,C193*Inventory!F193)</f>
        <v>0</v>
      </c>
      <c r="K193" s="35" t="str">
        <f>IF(OR(ISBLANK(L193),L193=0),"",Settings!$B$14)</f>
        <v/>
      </c>
      <c r="L193" s="30">
        <f>IF(ISBLANK(Inventory!A193),0,SUM(E193:G193)*Inventory!F193)</f>
        <v>0</v>
      </c>
      <c r="M193" s="35"/>
      <c r="N193" s="30"/>
      <c r="O193" s="35"/>
      <c r="P193" s="30"/>
    </row>
    <row r="194" spans="1:16" ht="15" customHeight="1">
      <c r="A194" s="31" t="str">
        <f>IF(ISBLANK(Inventory!A194),"",Inventory!A194)</f>
        <v/>
      </c>
      <c r="B194" s="31"/>
      <c r="C194" s="187"/>
      <c r="D194" s="192"/>
      <c r="E194" s="187"/>
      <c r="F194" s="187"/>
      <c r="G194" s="173"/>
      <c r="H194" s="37">
        <f>IF(ISBLANK(Inventory!A194),0,C194+SUM('Stock Opening'!C194:E194)-SUM(E194:G194))</f>
        <v>0</v>
      </c>
      <c r="I194" s="35" t="str">
        <f>IF(OR(ISBLANK(J194),J194=0),"",Settings!$B$14)</f>
        <v/>
      </c>
      <c r="J194" s="30">
        <f>IF(ISBLANK(C194),0,C194*Inventory!F194)</f>
        <v>0</v>
      </c>
      <c r="K194" s="35" t="str">
        <f>IF(OR(ISBLANK(L194),L194=0),"",Settings!$B$14)</f>
        <v/>
      </c>
      <c r="L194" s="30">
        <f>IF(ISBLANK(Inventory!A194),0,SUM(E194:G194)*Inventory!F194)</f>
        <v>0</v>
      </c>
      <c r="M194" s="35"/>
      <c r="N194" s="30"/>
      <c r="O194" s="35"/>
      <c r="P194" s="30"/>
    </row>
    <row r="195" spans="1:16" ht="15" customHeight="1">
      <c r="A195" s="31" t="str">
        <f>IF(ISBLANK(Inventory!A195),"",Inventory!A195)</f>
        <v/>
      </c>
      <c r="B195" s="31"/>
      <c r="C195" s="187"/>
      <c r="D195" s="192"/>
      <c r="E195" s="187"/>
      <c r="F195" s="187"/>
      <c r="G195" s="173"/>
      <c r="H195" s="37">
        <f>IF(ISBLANK(Inventory!A195),0,C195+SUM('Stock Opening'!C195:E195)-SUM(E195:G195))</f>
        <v>0</v>
      </c>
      <c r="I195" s="35" t="str">
        <f>IF(OR(ISBLANK(J195),J195=0),"",Settings!$B$14)</f>
        <v/>
      </c>
      <c r="J195" s="30">
        <f>IF(ISBLANK(C195),0,C195*Inventory!F195)</f>
        <v>0</v>
      </c>
      <c r="K195" s="35" t="str">
        <f>IF(OR(ISBLANK(L195),L195=0),"",Settings!$B$14)</f>
        <v/>
      </c>
      <c r="L195" s="30">
        <f>IF(ISBLANK(Inventory!A195),0,SUM(E195:G195)*Inventory!F195)</f>
        <v>0</v>
      </c>
      <c r="M195" s="35"/>
      <c r="N195" s="30"/>
      <c r="O195" s="35"/>
      <c r="P195" s="30"/>
    </row>
    <row r="196" spans="1:16" ht="15" customHeight="1">
      <c r="A196" s="31" t="str">
        <f>IF(ISBLANK(Inventory!A196),"",Inventory!A196)</f>
        <v/>
      </c>
      <c r="B196" s="31"/>
      <c r="C196" s="187"/>
      <c r="D196" s="192"/>
      <c r="E196" s="187"/>
      <c r="F196" s="187"/>
      <c r="G196" s="173"/>
      <c r="H196" s="37">
        <f>IF(ISBLANK(Inventory!A196),0,C196+SUM('Stock Opening'!C196:E196)-SUM(E196:G196))</f>
        <v>0</v>
      </c>
      <c r="I196" s="35" t="str">
        <f>IF(OR(ISBLANK(J196),J196=0),"",Settings!$B$14)</f>
        <v/>
      </c>
      <c r="J196" s="30">
        <f>IF(ISBLANK(C196),0,C196*Inventory!F196)</f>
        <v>0</v>
      </c>
      <c r="K196" s="35" t="str">
        <f>IF(OR(ISBLANK(L196),L196=0),"",Settings!$B$14)</f>
        <v/>
      </c>
      <c r="L196" s="30">
        <f>IF(ISBLANK(Inventory!A196),0,SUM(E196:G196)*Inventory!F196)</f>
        <v>0</v>
      </c>
      <c r="M196" s="35"/>
      <c r="N196" s="30"/>
      <c r="O196" s="35"/>
      <c r="P196" s="30"/>
    </row>
    <row r="197" spans="1:16" ht="6.95" customHeight="1" thickBot="1">
      <c r="A197" s="24"/>
      <c r="B197" s="24"/>
      <c r="C197" s="1"/>
      <c r="D197" s="1"/>
      <c r="E197" s="1"/>
      <c r="F197" s="1"/>
      <c r="G197" s="1"/>
      <c r="H197" s="1"/>
      <c r="I197" s="1"/>
      <c r="J197" s="1"/>
      <c r="K197" s="1"/>
      <c r="L197" s="25"/>
      <c r="M197" s="62"/>
      <c r="N197" s="25"/>
      <c r="O197" s="25"/>
      <c r="P197" s="25"/>
    </row>
    <row r="198" spans="1:16" s="45" customFormat="1" ht="18" customHeight="1" thickTop="1">
      <c r="A198" s="174"/>
      <c r="B198" s="174"/>
      <c r="C198" s="167"/>
      <c r="D198" s="167"/>
      <c r="E198" s="167"/>
      <c r="F198" s="167"/>
      <c r="G198" s="196"/>
      <c r="H198" s="197"/>
      <c r="I198" s="254"/>
      <c r="J198" s="254"/>
      <c r="K198" s="255"/>
      <c r="L198" s="255"/>
      <c r="M198" s="255"/>
      <c r="N198" s="255"/>
      <c r="O198" s="255"/>
      <c r="P198" s="255"/>
    </row>
    <row r="199" spans="1:16" ht="18" customHeight="1">
      <c r="A199" s="24"/>
      <c r="B199" s="24"/>
      <c r="C199" s="1"/>
      <c r="D199" s="1"/>
      <c r="E199" s="1"/>
      <c r="F199" s="1"/>
      <c r="G199" s="1"/>
      <c r="H199" s="1"/>
      <c r="I199" s="1"/>
      <c r="J199" s="1"/>
      <c r="K199" s="1"/>
      <c r="L199" s="25"/>
      <c r="M199" s="62"/>
      <c r="N199" s="25"/>
      <c r="O199" s="25"/>
      <c r="P199" s="25"/>
    </row>
    <row r="200" spans="1:16" ht="18" customHeight="1" thickBot="1">
      <c r="A200" s="78" t="str">
        <f>IF(ISBLANK('Stock Opening'!A200),"",'Stock Opening'!A200)</f>
        <v>TOTAL VALUE of STOCK</v>
      </c>
      <c r="B200" s="38"/>
      <c r="C200" s="39"/>
      <c r="D200" s="39"/>
      <c r="E200" s="39"/>
      <c r="F200" s="39"/>
      <c r="G200" s="39"/>
      <c r="H200" s="39"/>
      <c r="I200" s="235" t="s">
        <v>190</v>
      </c>
      <c r="J200" s="235"/>
      <c r="K200" s="235" t="s">
        <v>30</v>
      </c>
      <c r="L200" s="235"/>
      <c r="M200" s="235" t="s">
        <v>31</v>
      </c>
      <c r="N200" s="235"/>
      <c r="O200" s="235" t="s">
        <v>189</v>
      </c>
      <c r="P200" s="235"/>
    </row>
    <row r="201" spans="1:16" ht="6.95" customHeight="1" thickTop="1">
      <c r="A201" s="24"/>
      <c r="B201" s="24"/>
      <c r="C201" s="1"/>
      <c r="D201" s="1"/>
      <c r="E201" s="1"/>
      <c r="F201" s="1"/>
      <c r="G201" s="1"/>
      <c r="H201" s="1"/>
      <c r="I201" s="1"/>
      <c r="J201" s="1"/>
      <c r="K201" s="1"/>
      <c r="L201" s="25"/>
      <c r="M201" s="62"/>
      <c r="N201" s="25"/>
      <c r="O201" s="25"/>
      <c r="P201" s="25"/>
    </row>
    <row r="202" spans="1:16" s="45" customFormat="1" ht="15" customHeight="1">
      <c r="A202" s="50" t="str">
        <f>IF(ISBLANK('Stock Opening'!A202),"",'Stock Opening'!A202)</f>
        <v>SPIRITS</v>
      </c>
      <c r="C202" s="46"/>
      <c r="D202" s="46"/>
      <c r="E202" s="46"/>
      <c r="F202" s="46"/>
      <c r="G202" s="46"/>
      <c r="H202" s="46"/>
      <c r="I202" s="46" t="str">
        <f>IF(OR(ISBLANK(J202),J202=0),"",Settings!$B$14)</f>
        <v>$</v>
      </c>
      <c r="J202" s="32">
        <f>SUM(J12:J55)</f>
        <v>21.35</v>
      </c>
      <c r="K202" s="46" t="str">
        <f>IF(OR(ISBLANK(L202),L202=0),"",Settings!$B$14)</f>
        <v/>
      </c>
      <c r="L202" s="32">
        <f>SUM(L12:L55)</f>
        <v>0</v>
      </c>
      <c r="M202" s="46" t="str">
        <f>IF(OR(ISBLANK(N202),N202=0),"",Settings!$B$14)</f>
        <v/>
      </c>
      <c r="N202" s="32">
        <f>SUM(N12:N55)</f>
        <v>0</v>
      </c>
      <c r="O202" s="46" t="str">
        <f>IF(OR(ISBLANK(P202),P202=0),"",Settings!$B$14)</f>
        <v>$</v>
      </c>
      <c r="P202" s="32">
        <f>SUM(P12:P55)</f>
        <v>161.84</v>
      </c>
    </row>
    <row r="203" spans="1:16" s="45" customFormat="1" ht="15" customHeight="1">
      <c r="A203" s="50" t="str">
        <f>IF(ISBLANK('Stock Opening'!A203),"",'Stock Opening'!A203)</f>
        <v>FORTIFIED WINES</v>
      </c>
      <c r="C203" s="46"/>
      <c r="D203" s="46"/>
      <c r="E203" s="46"/>
      <c r="F203" s="46"/>
      <c r="G203" s="46"/>
      <c r="H203" s="46"/>
      <c r="I203" s="46" t="str">
        <f>IF(OR(ISBLANK(J203),J203=0),"",Settings!$B$14)</f>
        <v/>
      </c>
      <c r="J203" s="32">
        <f>SUM(J59:J72)</f>
        <v>0</v>
      </c>
      <c r="K203" s="46" t="str">
        <f>IF(OR(ISBLANK(L203),L203=0),"",Settings!$B$14)</f>
        <v>$</v>
      </c>
      <c r="L203" s="32">
        <f>SUM(L59:L72)</f>
        <v>33.6</v>
      </c>
      <c r="M203" s="46" t="str">
        <f>IF(OR(ISBLANK(N203),N203=0),"",Settings!$B$14)</f>
        <v>$</v>
      </c>
      <c r="N203" s="32">
        <f>SUM(N59:N72)</f>
        <v>70.875</v>
      </c>
      <c r="O203" s="46" t="str">
        <f>IF(OR(ISBLANK(P203),P203=0),"",Settings!$B$14)</f>
        <v/>
      </c>
      <c r="P203" s="32">
        <f>SUM(P59:P72)</f>
        <v>0</v>
      </c>
    </row>
    <row r="204" spans="1:16" s="45" customFormat="1" ht="15" customHeight="1">
      <c r="A204" s="50" t="str">
        <f>IF(ISBLANK('Stock Opening'!A204),"",'Stock Opening'!A204)</f>
        <v>TABLE WINES</v>
      </c>
      <c r="C204" s="46"/>
      <c r="D204" s="46"/>
      <c r="E204" s="46"/>
      <c r="F204" s="46"/>
      <c r="G204" s="46"/>
      <c r="H204" s="46"/>
      <c r="I204" s="46" t="str">
        <f>IF(OR(ISBLANK(J204),J204=0),"",Settings!$B$14)</f>
        <v/>
      </c>
      <c r="J204" s="32">
        <f>SUM(J76:J97)</f>
        <v>0</v>
      </c>
      <c r="K204" s="46" t="str">
        <f>IF(OR(ISBLANK(L204),L204=0),"",Settings!$B$14)</f>
        <v/>
      </c>
      <c r="L204" s="32">
        <f>SUM(L76:L97)</f>
        <v>0</v>
      </c>
      <c r="M204" s="46" t="str">
        <f>IF(OR(ISBLANK(N204),N204=0),"",Settings!$B$14)</f>
        <v/>
      </c>
      <c r="N204" s="32">
        <f>SUM(N76:N97)</f>
        <v>0</v>
      </c>
      <c r="O204" s="46" t="str">
        <f>IF(OR(ISBLANK(P204),P204=0),"",Settings!$B$14)</f>
        <v/>
      </c>
      <c r="P204" s="32">
        <f>SUM(P76:P97)</f>
        <v>0</v>
      </c>
    </row>
    <row r="205" spans="1:16" s="45" customFormat="1" ht="15" customHeight="1">
      <c r="A205" s="50" t="str">
        <f>IF(ISBLANK('Stock Opening'!A205),"",'Stock Opening'!A205)</f>
        <v>DRAUGHT BEER</v>
      </c>
      <c r="C205" s="46"/>
      <c r="D205" s="46"/>
      <c r="E205" s="46"/>
      <c r="F205" s="46"/>
      <c r="G205" s="46"/>
      <c r="H205" s="46"/>
      <c r="I205" s="46" t="str">
        <f>IF(OR(ISBLANK(J205),J205=0),"",Settings!$B$14)</f>
        <v>$</v>
      </c>
      <c r="J205" s="32">
        <f>SUM(J101:J106)</f>
        <v>148.63</v>
      </c>
      <c r="K205" s="46" t="str">
        <f>IF(OR(ISBLANK(L205),L205=0),"",Settings!$B$14)</f>
        <v>$</v>
      </c>
      <c r="L205" s="32">
        <f>SUM(L101:L106)</f>
        <v>201.64499999999998</v>
      </c>
      <c r="M205" s="46" t="str">
        <f>IF(OR(ISBLANK(N205),N205=0),"",Settings!$B$14)</f>
        <v>$</v>
      </c>
      <c r="N205" s="32">
        <f>SUM(N101:N106)</f>
        <v>964.48</v>
      </c>
      <c r="O205" s="46" t="str">
        <f>IF(OR(ISBLANK(P205),P205=0),"",Settings!$B$14)</f>
        <v>$</v>
      </c>
      <c r="P205" s="32">
        <f>SUM(P101:P106)</f>
        <v>518.4</v>
      </c>
    </row>
    <row r="206" spans="1:16" s="45" customFormat="1" ht="15" customHeight="1">
      <c r="A206" s="50" t="str">
        <f>IF(ISBLANK('Stock Opening'!A206),"",'Stock Opening'!A206)</f>
        <v>DRAUGHT LAGER</v>
      </c>
      <c r="C206" s="46"/>
      <c r="D206" s="46"/>
      <c r="E206" s="46"/>
      <c r="F206" s="46"/>
      <c r="G206" s="46"/>
      <c r="H206" s="46"/>
      <c r="I206" s="46" t="str">
        <f>IF(OR(ISBLANK(J206),J206=0),"",Settings!$B$14)</f>
        <v/>
      </c>
      <c r="J206" s="32">
        <f>SUM(J110:J115)</f>
        <v>0</v>
      </c>
      <c r="K206" s="46" t="str">
        <f>IF(OR(ISBLANK(L206),L206=0),"",Settings!$B$14)</f>
        <v>$</v>
      </c>
      <c r="L206" s="32">
        <f>SUM(L110:L115)</f>
        <v>63</v>
      </c>
      <c r="M206" s="46" t="str">
        <f>IF(OR(ISBLANK(N206),N206=0),"",Settings!$B$14)</f>
        <v>$</v>
      </c>
      <c r="N206" s="32">
        <f>SUM(N110:N115)</f>
        <v>260.71199999999999</v>
      </c>
      <c r="O206" s="46" t="str">
        <f>IF(OR(ISBLANK(P206),P206=0),"",Settings!$B$14)</f>
        <v/>
      </c>
      <c r="P206" s="32">
        <f>SUM(P110:P115)</f>
        <v>0</v>
      </c>
    </row>
    <row r="207" spans="1:16" s="45" customFormat="1" ht="15" customHeight="1">
      <c r="A207" s="50" t="str">
        <f>IF(ISBLANK('Stock Opening'!A207),"",'Stock Opening'!A207)</f>
        <v>BOTTLED BEER</v>
      </c>
      <c r="C207" s="46"/>
      <c r="D207" s="46"/>
      <c r="E207" s="46"/>
      <c r="F207" s="46"/>
      <c r="G207" s="46"/>
      <c r="H207" s="46"/>
      <c r="I207" s="46" t="str">
        <f>IF(OR(ISBLANK(J207),J207=0),"",Settings!$B$14)</f>
        <v/>
      </c>
      <c r="J207" s="32">
        <f>SUM(J119:J134)</f>
        <v>0</v>
      </c>
      <c r="K207" s="46" t="str">
        <f>IF(OR(ISBLANK(L207),L207=0),"",Settings!$B$14)</f>
        <v>$</v>
      </c>
      <c r="L207" s="32">
        <f>SUM(L119:L134)</f>
        <v>11.100000000000001</v>
      </c>
      <c r="M207" s="46" t="str">
        <f>IF(OR(ISBLANK(N207),N207=0),"",Settings!$B$14)</f>
        <v>$</v>
      </c>
      <c r="N207" s="32">
        <f>SUM(N119:N134)</f>
        <v>54.400000000000006</v>
      </c>
      <c r="O207" s="46" t="str">
        <f>IF(OR(ISBLANK(P207),P207=0),"",Settings!$B$14)</f>
        <v>$</v>
      </c>
      <c r="P207" s="32">
        <f>SUM(P119:P134)</f>
        <v>16.32</v>
      </c>
    </row>
    <row r="208" spans="1:16" s="45" customFormat="1" ht="15" customHeight="1">
      <c r="A208" s="50" t="str">
        <f>IF(ISBLANK('Stock Opening'!A208),"",'Stock Opening'!A208)</f>
        <v>CIDER</v>
      </c>
      <c r="C208" s="46"/>
      <c r="D208" s="46"/>
      <c r="E208" s="46"/>
      <c r="F208" s="46"/>
      <c r="G208" s="46"/>
      <c r="H208" s="46"/>
      <c r="I208" s="46" t="str">
        <f>IF(OR(ISBLANK(J208),J208=0),"",Settings!$B$14)</f>
        <v/>
      </c>
      <c r="J208" s="32">
        <f>SUM(J138:J146)</f>
        <v>0</v>
      </c>
      <c r="K208" s="46" t="str">
        <f>IF(OR(ISBLANK(L208),L208=0),"",Settings!$B$14)</f>
        <v/>
      </c>
      <c r="L208" s="32">
        <f>SUM(L138:L146)</f>
        <v>0</v>
      </c>
      <c r="M208" s="46" t="str">
        <f>IF(OR(ISBLANK(N208),N208=0),"",Settings!$B$14)</f>
        <v/>
      </c>
      <c r="N208" s="32">
        <f>SUM(N138:N146)</f>
        <v>0</v>
      </c>
      <c r="O208" s="46" t="str">
        <f>IF(OR(ISBLANK(P208),P208=0),"",Settings!$B$14)</f>
        <v/>
      </c>
      <c r="P208" s="32">
        <f>SUM(P138:P146)</f>
        <v>0</v>
      </c>
    </row>
    <row r="209" spans="1:16" s="45" customFormat="1" ht="15" customHeight="1">
      <c r="A209" s="50" t="str">
        <f>IF(ISBLANK('Stock Opening'!A209),"",'Stock Opening'!A209)</f>
        <v>MINERALS/JUICES</v>
      </c>
      <c r="C209" s="46"/>
      <c r="D209" s="46"/>
      <c r="E209" s="46"/>
      <c r="F209" s="46"/>
      <c r="G209" s="46"/>
      <c r="H209" s="46"/>
      <c r="I209" s="46" t="str">
        <f>IF(OR(ISBLANK(J209),J209=0),"",Settings!$B$14)</f>
        <v/>
      </c>
      <c r="J209" s="32">
        <f>SUM(J150:J169)</f>
        <v>0</v>
      </c>
      <c r="K209" s="46" t="str">
        <f>IF(OR(ISBLANK(L209),L209=0),"",Settings!$B$14)</f>
        <v>$</v>
      </c>
      <c r="L209" s="32">
        <f>SUM(L150:L169)</f>
        <v>1.0912500000000001</v>
      </c>
      <c r="M209" s="46" t="str">
        <f>IF(OR(ISBLANK(N209),N209=0),"",Settings!$B$14)</f>
        <v>$</v>
      </c>
      <c r="N209" s="32">
        <f>SUM(N150:N169)</f>
        <v>5.67</v>
      </c>
      <c r="O209" s="46" t="str">
        <f>IF(OR(ISBLANK(P209),P209=0),"",Settings!$B$14)</f>
        <v>$</v>
      </c>
      <c r="P209" s="32">
        <f>SUM(P150:P169)</f>
        <v>0.62999999999999989</v>
      </c>
    </row>
    <row r="210" spans="1:16" s="45" customFormat="1" ht="15" customHeight="1">
      <c r="A210" s="50" t="str">
        <f>IF(ISBLANK('Stock Opening'!A210),"",'Stock Opening'!A210)</f>
        <v>POST-MIX DRINKS</v>
      </c>
      <c r="C210" s="46"/>
      <c r="D210" s="46"/>
      <c r="E210" s="46"/>
      <c r="F210" s="46"/>
      <c r="G210" s="46"/>
      <c r="H210" s="46"/>
      <c r="I210" s="46" t="str">
        <f>IF(OR(ISBLANK(J210),J210=0),"",Settings!$B$14)</f>
        <v>$</v>
      </c>
      <c r="J210" s="32">
        <f>SUM(J173:J178)</f>
        <v>57.510000000000005</v>
      </c>
      <c r="K210" s="46" t="str">
        <f>IF(OR(ISBLANK(L210),L210=0),"",Settings!$B$14)</f>
        <v/>
      </c>
      <c r="L210" s="32">
        <f>SUM(L173:L178)</f>
        <v>0</v>
      </c>
      <c r="M210" s="46" t="str">
        <f>IF(OR(ISBLANK(N210),N210=0),"",Settings!$B$14)</f>
        <v/>
      </c>
      <c r="N210" s="32">
        <f>SUM(N173:N178)</f>
        <v>0</v>
      </c>
      <c r="O210" s="46" t="str">
        <f>IF(OR(ISBLANK(P210),P210=0),"",Settings!$B$14)</f>
        <v>$</v>
      </c>
      <c r="P210" s="32">
        <f>SUM(P173:P178)</f>
        <v>3720.75</v>
      </c>
    </row>
    <row r="211" spans="1:16" s="45" customFormat="1" ht="15" customHeight="1">
      <c r="A211" s="50" t="str">
        <f>IF(ISBLANK('Stock Opening'!A211),"",'Stock Opening'!A211)</f>
        <v>COMPRESSED GAS</v>
      </c>
      <c r="C211" s="46"/>
      <c r="D211" s="46"/>
      <c r="E211" s="46"/>
      <c r="F211" s="46"/>
      <c r="G211" s="46"/>
      <c r="H211" s="46"/>
      <c r="I211" s="46" t="str">
        <f>IF(OR(ISBLANK(J211),J211=0),"",Settings!$B$14)</f>
        <v>$</v>
      </c>
      <c r="J211" s="32">
        <f>SUM(J182:J185)</f>
        <v>44.05</v>
      </c>
      <c r="K211" s="46" t="str">
        <f>IF(OR(ISBLANK(L211),L211=0),"",Settings!$B$14)</f>
        <v>$</v>
      </c>
      <c r="L211" s="32">
        <f>SUM(L182:L185)</f>
        <v>50.03</v>
      </c>
      <c r="M211" s="198"/>
      <c r="N211" s="51"/>
      <c r="O211" s="198"/>
      <c r="P211" s="51"/>
    </row>
    <row r="212" spans="1:16" s="45" customFormat="1" ht="15" customHeight="1">
      <c r="A212" s="50" t="str">
        <f>IF(ISBLANK('Stock Opening'!A212),"",'Stock Opening'!A212)</f>
        <v xml:space="preserve">REUSABLE containers and bottles </v>
      </c>
      <c r="C212" s="46"/>
      <c r="D212" s="46"/>
      <c r="E212" s="46"/>
      <c r="F212" s="46"/>
      <c r="G212" s="46"/>
      <c r="H212" s="46"/>
      <c r="I212" s="46" t="str">
        <f>IF(OR(ISBLANK(J212),J212=0),"",Settings!$B$14)</f>
        <v>$</v>
      </c>
      <c r="J212" s="32">
        <f>-SUM(J189:J196)</f>
        <v>-33.950000000000003</v>
      </c>
      <c r="K212" s="46" t="str">
        <f>IF(OR(ISBLANK(L212),L212=0),"",Settings!$B$14)</f>
        <v>$</v>
      </c>
      <c r="L212" s="32">
        <f>SUM(L189:L196)</f>
        <v>17.149999999999999</v>
      </c>
      <c r="M212" s="198"/>
      <c r="N212" s="51"/>
      <c r="O212" s="198"/>
      <c r="P212" s="51"/>
    </row>
    <row r="213" spans="1:16" ht="6.95" customHeight="1">
      <c r="C213" s="53"/>
      <c r="D213" s="53"/>
      <c r="E213" s="53"/>
      <c r="F213" s="53"/>
      <c r="G213" s="53"/>
      <c r="H213" s="53"/>
      <c r="I213" s="53"/>
      <c r="J213" s="53"/>
      <c r="K213" s="53"/>
      <c r="L213" s="26"/>
      <c r="M213" s="62"/>
      <c r="N213" s="26"/>
      <c r="O213" s="26"/>
      <c r="P213" s="26"/>
    </row>
    <row r="214" spans="1:16" ht="15" customHeight="1">
      <c r="A214" s="54" t="str">
        <f>IF(ISBLANK('Stock Opening'!A214),"",'Stock Opening'!A214)</f>
        <v>TOTAL VALUE of STOCK</v>
      </c>
      <c r="B214" s="55"/>
      <c r="C214" s="21"/>
      <c r="D214" s="21"/>
      <c r="E214" s="21"/>
      <c r="F214" s="21"/>
      <c r="G214" s="21"/>
      <c r="H214" s="21"/>
      <c r="I214" s="21" t="str">
        <f>IF(OR(ISBLANK(J214),J214=0),"",Settings!$B$14)</f>
        <v>$</v>
      </c>
      <c r="J214" s="56">
        <f>SUM(J202:J212)</f>
        <v>237.59000000000003</v>
      </c>
      <c r="K214" s="21" t="str">
        <f>IF(OR(ISBLANK(L214),L214=0),"",Settings!$B$14)</f>
        <v>$</v>
      </c>
      <c r="L214" s="56">
        <f>SUM(L202:L211)</f>
        <v>360.46625000000006</v>
      </c>
      <c r="M214" s="21" t="str">
        <f>IF(OR(ISBLANK(N214),N214=0),"",Settings!$B$14)</f>
        <v>$</v>
      </c>
      <c r="N214" s="56">
        <f>SUM(N202:N212)</f>
        <v>1356.1370000000002</v>
      </c>
      <c r="O214" s="21" t="str">
        <f>IF(OR(ISBLANK(P214),P214=0),"",Settings!$B$14)</f>
        <v>$</v>
      </c>
      <c r="P214" s="56">
        <f>SUM(P202:P212)</f>
        <v>4417.9400000000005</v>
      </c>
    </row>
    <row r="215" spans="1:16" ht="6.95" customHeight="1" thickBot="1">
      <c r="A215" s="24"/>
      <c r="B215" s="24"/>
      <c r="C215" s="1"/>
      <c r="D215" s="1"/>
      <c r="E215" s="1"/>
      <c r="F215" s="1"/>
      <c r="G215" s="1"/>
      <c r="H215" s="1"/>
      <c r="I215" s="1"/>
      <c r="J215" s="1"/>
      <c r="K215" s="1"/>
      <c r="L215" s="25"/>
      <c r="M215" s="62"/>
      <c r="N215" s="25"/>
      <c r="O215" s="25"/>
      <c r="P215" s="25"/>
    </row>
    <row r="216" spans="1:16" ht="18" customHeight="1" thickTop="1">
      <c r="A216" s="40"/>
      <c r="B216" s="40"/>
      <c r="C216" s="41"/>
      <c r="D216" s="41"/>
      <c r="E216" s="41"/>
      <c r="F216" s="41"/>
      <c r="G216" s="41"/>
      <c r="H216" s="41"/>
      <c r="I216" s="41"/>
      <c r="J216" s="41"/>
      <c r="K216" s="41"/>
      <c r="L216" s="42"/>
      <c r="M216" s="186"/>
      <c r="N216" s="42"/>
      <c r="O216" s="42"/>
      <c r="P216" s="42"/>
    </row>
    <row r="217" spans="1:16" ht="18" customHeight="1">
      <c r="A217" s="24"/>
      <c r="B217" s="24"/>
      <c r="C217" s="1"/>
      <c r="D217" s="1"/>
      <c r="E217" s="1"/>
      <c r="F217" s="1"/>
      <c r="G217" s="1"/>
      <c r="H217" s="1"/>
      <c r="I217" s="1"/>
      <c r="J217" s="1"/>
      <c r="K217" s="1"/>
      <c r="L217" s="25"/>
      <c r="M217" s="62"/>
      <c r="N217" s="25"/>
      <c r="O217" s="25"/>
      <c r="P217" s="25"/>
    </row>
    <row r="218" spans="1:16" ht="18" customHeight="1" thickBot="1">
      <c r="A218" s="38"/>
      <c r="B218" s="38"/>
      <c r="C218" s="43"/>
      <c r="D218" s="43"/>
      <c r="E218" s="43"/>
      <c r="F218" s="43"/>
      <c r="G218" s="43"/>
      <c r="H218" s="43"/>
      <c r="I218" s="43"/>
      <c r="J218" s="43"/>
      <c r="K218" s="235" t="s">
        <v>30</v>
      </c>
      <c r="L218" s="235"/>
      <c r="M218" s="235" t="s">
        <v>31</v>
      </c>
      <c r="N218" s="235"/>
      <c r="O218" s="44"/>
      <c r="P218" s="44"/>
    </row>
    <row r="219" spans="1:16" ht="6.95" customHeight="1" thickTop="1">
      <c r="A219" s="24"/>
      <c r="B219" s="24"/>
      <c r="C219" s="1"/>
      <c r="D219" s="1"/>
      <c r="E219" s="1"/>
      <c r="F219" s="1"/>
      <c r="G219" s="1"/>
      <c r="H219" s="1"/>
      <c r="I219" s="1"/>
      <c r="J219" s="1"/>
      <c r="K219" s="1"/>
      <c r="L219" s="25"/>
      <c r="M219" s="62"/>
      <c r="N219" s="25"/>
      <c r="O219" s="25"/>
      <c r="P219" s="25"/>
    </row>
    <row r="220" spans="1:16" ht="15" customHeight="1">
      <c r="A220" s="50" t="s">
        <v>192</v>
      </c>
      <c r="B220" s="50"/>
      <c r="C220" s="46"/>
      <c r="D220" s="46"/>
      <c r="E220" s="46"/>
      <c r="F220" s="46"/>
      <c r="G220" s="46"/>
      <c r="H220" s="46"/>
      <c r="I220" s="46"/>
      <c r="J220" s="46"/>
      <c r="K220" s="46" t="str">
        <f>IF(OR(ISBLANK(L220),L220=0),"",Settings!$B$14)</f>
        <v>$</v>
      </c>
      <c r="L220" s="32">
        <f>IF(OR(ISBLANK('Week 1'!L222),'Week 1'!L222=0),0,'Week 1'!L222)</f>
        <v>356.40649999999999</v>
      </c>
      <c r="M220" s="46" t="str">
        <f>IF(OR(ISBLANK(N220),N220=0),"",Settings!$B$14)</f>
        <v>$</v>
      </c>
      <c r="N220" s="32">
        <f>IF(OR(ISBLANK('Week 1'!N222),'Week 1'!N222=0),0,'Week 1'!N222)</f>
        <v>3007.877</v>
      </c>
      <c r="O220" s="28"/>
      <c r="P220" s="28"/>
    </row>
    <row r="221" spans="1:16" ht="15" customHeight="1">
      <c r="A221" s="50" t="s">
        <v>197</v>
      </c>
      <c r="B221" s="50"/>
      <c r="C221" s="46"/>
      <c r="D221" s="46"/>
      <c r="E221" s="46"/>
      <c r="F221" s="46"/>
      <c r="G221" s="46"/>
      <c r="H221" s="46"/>
      <c r="I221" s="46"/>
      <c r="J221" s="46"/>
      <c r="K221" s="46" t="str">
        <f>IF(OR(ISBLANK(L221),L221=0),"",Settings!$B$14)</f>
        <v>$</v>
      </c>
      <c r="L221" s="32">
        <f>IF(ISBLANK(J214),0,J214)</f>
        <v>237.59000000000003</v>
      </c>
      <c r="M221" s="46"/>
      <c r="N221" s="32"/>
      <c r="O221" s="28"/>
      <c r="P221" s="28"/>
    </row>
    <row r="222" spans="1:16" ht="15" customHeight="1">
      <c r="A222" s="50" t="s">
        <v>193</v>
      </c>
      <c r="B222" s="50"/>
      <c r="C222" s="46"/>
      <c r="D222" s="46"/>
      <c r="E222" s="46"/>
      <c r="F222" s="46"/>
      <c r="G222" s="46"/>
      <c r="H222" s="46"/>
      <c r="I222" s="46"/>
      <c r="J222" s="46"/>
      <c r="K222" s="46" t="str">
        <f>IF(OR(ISBLANK(L222),L222=0),"",Settings!$B$14)</f>
        <v>$</v>
      </c>
      <c r="L222" s="32">
        <f>IF(ISBLANK(L214),0,L214)</f>
        <v>360.46625000000006</v>
      </c>
      <c r="M222" s="46" t="str">
        <f>IF(OR(ISBLANK(N222),N222=0),"",Settings!$B$14)</f>
        <v>$</v>
      </c>
      <c r="N222" s="32">
        <f>IF(ISBLANK(N214),0,N214)</f>
        <v>1356.1370000000002</v>
      </c>
      <c r="O222" s="28"/>
      <c r="P222" s="28"/>
    </row>
    <row r="223" spans="1:16" ht="15" customHeight="1">
      <c r="A223" s="50" t="s">
        <v>194</v>
      </c>
      <c r="B223" s="50"/>
      <c r="C223" s="46"/>
      <c r="D223" s="46"/>
      <c r="E223" s="46"/>
      <c r="F223" s="46"/>
      <c r="G223" s="46"/>
      <c r="H223" s="46"/>
      <c r="I223" s="46"/>
      <c r="J223" s="46"/>
      <c r="K223" s="46" t="str">
        <f>IF(OR(ISBLANK(L223),L223=0),"",Settings!$B$14)</f>
        <v/>
      </c>
      <c r="L223" s="32"/>
      <c r="M223" s="46" t="str">
        <f>IF(OR(ISBLANK(N223),N223=0),"",Settings!$B$14)</f>
        <v>$</v>
      </c>
      <c r="N223" s="32">
        <f>IF(ISBLANK(P214),0,P214)</f>
        <v>4417.9400000000005</v>
      </c>
      <c r="O223" s="28"/>
      <c r="P223" s="28"/>
    </row>
    <row r="224" spans="1:16" ht="15" customHeight="1">
      <c r="A224" s="50" t="str">
        <f>"WEEKLY SALES from POS inc "&amp;UPPER(Settings!B10)</f>
        <v>WEEKLY SALES from POS inc SALES TAX</v>
      </c>
      <c r="B224" s="50"/>
      <c r="C224" s="46"/>
      <c r="D224" s="46"/>
      <c r="E224" s="46"/>
      <c r="F224" s="46"/>
      <c r="G224" s="46"/>
      <c r="H224" s="46"/>
      <c r="I224" s="46"/>
      <c r="J224" s="46"/>
      <c r="K224" s="46" t="str">
        <f>IF(OR(ISBLANK(L224),L224=0),"",Settings!$B$14)</f>
        <v/>
      </c>
      <c r="L224" s="32"/>
      <c r="M224" s="46" t="str">
        <f>IF(OR(ISBLANK(N224),N224=0),"",Settings!$B$14)</f>
        <v>$</v>
      </c>
      <c r="N224" s="32">
        <f>Budget!$E$22</f>
        <v>4141</v>
      </c>
      <c r="O224" s="28"/>
      <c r="P224" s="28"/>
    </row>
    <row r="225" spans="1:16" ht="15" customHeight="1">
      <c r="A225" s="50" t="s">
        <v>195</v>
      </c>
      <c r="B225" s="50"/>
      <c r="C225" s="46"/>
      <c r="D225" s="46"/>
      <c r="E225" s="46"/>
      <c r="F225" s="46"/>
      <c r="G225" s="46"/>
      <c r="H225" s="46"/>
      <c r="I225" s="46"/>
      <c r="J225" s="46"/>
      <c r="K225" s="46" t="str">
        <f>IF(OR(ISBLANK(L225),L225=0),"",Settings!$B$14)</f>
        <v/>
      </c>
      <c r="L225" s="32"/>
      <c r="M225" s="46" t="str">
        <f>IF(OR(ISBLANK(N225),N225=0),"",Settings!$B$14)</f>
        <v>$</v>
      </c>
      <c r="N225" s="32">
        <f>N224/(1+Settings!$B$12/1)</f>
        <v>3450.8333333333335</v>
      </c>
      <c r="O225" s="28"/>
      <c r="P225" s="28"/>
    </row>
    <row r="226" spans="1:16" ht="6.95" customHeight="1">
      <c r="A226" s="50"/>
      <c r="B226" s="50"/>
      <c r="C226" s="46"/>
      <c r="D226" s="46"/>
      <c r="E226" s="46"/>
      <c r="F226" s="46"/>
      <c r="G226" s="46"/>
      <c r="H226" s="46"/>
      <c r="I226" s="46"/>
      <c r="J226" s="46"/>
      <c r="K226" s="46"/>
      <c r="L226" s="32"/>
      <c r="M226" s="46"/>
      <c r="N226" s="32"/>
      <c r="O226" s="28"/>
      <c r="P226" s="28"/>
    </row>
    <row r="227" spans="1:16" ht="15" customHeight="1">
      <c r="A227" s="181" t="s">
        <v>196</v>
      </c>
      <c r="B227" s="181"/>
      <c r="C227" s="199"/>
      <c r="D227" s="199"/>
      <c r="E227" s="199"/>
      <c r="F227" s="199"/>
      <c r="G227" s="199"/>
      <c r="H227" s="199"/>
      <c r="I227" s="199"/>
      <c r="J227" s="199"/>
      <c r="K227" s="199"/>
      <c r="L227" s="34"/>
      <c r="M227" s="256">
        <f>IF(N224=0,"",1-((L220+L221-L222)/N225))</f>
        <v>0.93232641873943489</v>
      </c>
      <c r="N227" s="256"/>
      <c r="O227" s="200"/>
      <c r="P227" s="200"/>
    </row>
    <row r="228" spans="1:16" ht="6.95" customHeight="1" thickBot="1">
      <c r="A228" s="24"/>
      <c r="B228" s="24"/>
      <c r="C228" s="1"/>
      <c r="D228" s="1"/>
      <c r="E228" s="1"/>
      <c r="F228" s="1"/>
      <c r="G228" s="1"/>
      <c r="H228" s="1"/>
      <c r="I228" s="1"/>
      <c r="J228" s="1"/>
      <c r="K228" s="1"/>
      <c r="L228" s="25"/>
      <c r="M228" s="62"/>
      <c r="N228" s="25"/>
      <c r="O228" s="25"/>
      <c r="P228" s="25"/>
    </row>
    <row r="229" spans="1:16" ht="18" customHeight="1" thickTop="1">
      <c r="A229" s="174"/>
      <c r="B229" s="174"/>
      <c r="C229" s="167"/>
      <c r="D229" s="167"/>
      <c r="E229" s="167"/>
      <c r="F229" s="167"/>
      <c r="G229" s="167"/>
      <c r="H229" s="167"/>
      <c r="I229" s="167"/>
      <c r="J229" s="167"/>
      <c r="K229" s="167"/>
      <c r="L229" s="175"/>
      <c r="M229" s="167"/>
      <c r="N229" s="167"/>
      <c r="O229" s="167"/>
      <c r="P229" s="167"/>
    </row>
    <row r="230" spans="1:16" ht="5.0999999999999996" customHeight="1">
      <c r="C230" s="72"/>
      <c r="D230" s="72"/>
      <c r="E230" s="53"/>
      <c r="F230" s="53"/>
      <c r="G230" s="53"/>
      <c r="H230" s="53"/>
      <c r="I230" s="53"/>
      <c r="J230" s="53"/>
      <c r="K230" s="53"/>
      <c r="L230" s="62"/>
      <c r="M230" s="62"/>
      <c r="N230" s="62"/>
      <c r="O230" s="62"/>
      <c r="P230" s="62"/>
    </row>
  </sheetData>
  <sheetProtection password="F349" sheet="1" objects="1" scenarios="1" selectLockedCells="1"/>
  <protectedRanges>
    <protectedRange sqref="E12:G55" name="Spirits"/>
    <protectedRange sqref="E59:G72" name="Fortified Wines"/>
    <protectedRange sqref="E76:G97" name="Table Wines"/>
    <protectedRange sqref="E101:G106" name="Draught Beer"/>
    <protectedRange sqref="E110:G115" name="Draught Lager"/>
    <protectedRange sqref="E138:G146 E119:G134" name="Bottled Beer"/>
    <protectedRange sqref="E189:G196 E150:G169 E173:G178 E182:G185" name="Minerals"/>
    <protectedRange sqref="E186:G186 E197:G197 E199:G223" name="Containers"/>
  </protectedRanges>
  <mergeCells count="57">
    <mergeCell ref="C8:H8"/>
    <mergeCell ref="K10:L10"/>
    <mergeCell ref="M10:N10"/>
    <mergeCell ref="O10:P10"/>
    <mergeCell ref="K57:L57"/>
    <mergeCell ref="M57:N57"/>
    <mergeCell ref="O57:P57"/>
    <mergeCell ref="I8:P8"/>
    <mergeCell ref="I10:J10"/>
    <mergeCell ref="I57:J57"/>
    <mergeCell ref="I99:J99"/>
    <mergeCell ref="K99:L99"/>
    <mergeCell ref="M99:N99"/>
    <mergeCell ref="O99:P99"/>
    <mergeCell ref="I74:J74"/>
    <mergeCell ref="K74:L74"/>
    <mergeCell ref="M74:N74"/>
    <mergeCell ref="O74:P74"/>
    <mergeCell ref="I117:J117"/>
    <mergeCell ref="K117:L117"/>
    <mergeCell ref="M117:N117"/>
    <mergeCell ref="O117:P117"/>
    <mergeCell ref="I108:J108"/>
    <mergeCell ref="K108:L108"/>
    <mergeCell ref="M108:N108"/>
    <mergeCell ref="O108:P108"/>
    <mergeCell ref="I148:J148"/>
    <mergeCell ref="K148:L148"/>
    <mergeCell ref="M148:N148"/>
    <mergeCell ref="O148:P148"/>
    <mergeCell ref="I136:J136"/>
    <mergeCell ref="K136:L136"/>
    <mergeCell ref="M136:N136"/>
    <mergeCell ref="O136:P136"/>
    <mergeCell ref="I180:J180"/>
    <mergeCell ref="K180:L180"/>
    <mergeCell ref="M180:N180"/>
    <mergeCell ref="O180:P180"/>
    <mergeCell ref="I171:J171"/>
    <mergeCell ref="K171:L171"/>
    <mergeCell ref="M171:N171"/>
    <mergeCell ref="O171:P171"/>
    <mergeCell ref="M227:N227"/>
    <mergeCell ref="K200:L200"/>
    <mergeCell ref="M200:N200"/>
    <mergeCell ref="O200:P200"/>
    <mergeCell ref="I187:J187"/>
    <mergeCell ref="K187:L187"/>
    <mergeCell ref="M187:N187"/>
    <mergeCell ref="O187:P187"/>
    <mergeCell ref="K218:L218"/>
    <mergeCell ref="M218:N218"/>
    <mergeCell ref="I200:J200"/>
    <mergeCell ref="I198:J198"/>
    <mergeCell ref="K198:L198"/>
    <mergeCell ref="M198:N198"/>
    <mergeCell ref="O198:P198"/>
  </mergeCells>
  <phoneticPr fontId="5" type="noConversion"/>
  <pageMargins left="0.15748031496062992" right="0.15748031496062992" top="0.19685039370078741" bottom="0.19685039370078741" header="0.51181102362204722" footer="0.51181102362204722"/>
  <pageSetup paperSize="9" scale="9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0"/>
  <sheetViews>
    <sheetView showGridLines="0" workbookViewId="0">
      <pane ySplit="8" topLeftCell="A9" activePane="bottomLeft" state="frozen"/>
      <selection pane="bottomLeft" activeCell="G23" sqref="G23"/>
    </sheetView>
  </sheetViews>
  <sheetFormatPr defaultRowHeight="12.75"/>
  <cols>
    <col min="1" max="1" width="28.5703125" style="52" customWidth="1"/>
    <col min="2" max="2" width="21.28515625" style="52" customWidth="1"/>
    <col min="3" max="3" width="10.7109375" style="52" customWidth="1"/>
    <col min="4" max="4" width="1.7109375" style="52" customWidth="1"/>
    <col min="5" max="8" width="10.7109375" style="52" customWidth="1"/>
    <col min="9" max="9" width="3.7109375" style="52" customWidth="1"/>
    <col min="10" max="10" width="13.140625" style="52" customWidth="1"/>
    <col min="11" max="11" width="3.7109375" style="52" customWidth="1"/>
    <col min="12" max="12" width="9.7109375" style="52" customWidth="1"/>
    <col min="13" max="13" width="3.7109375" style="52" customWidth="1"/>
    <col min="14" max="14" width="9.7109375" style="52" customWidth="1"/>
    <col min="15" max="15" width="3.7109375" style="52" customWidth="1"/>
    <col min="16" max="16" width="9.7109375" style="52" customWidth="1"/>
    <col min="17" max="16384" width="9.140625" style="52"/>
  </cols>
  <sheetData>
    <row r="1" spans="1:16" s="45" customFormat="1" ht="54.95" customHeight="1">
      <c r="A1" s="104" t="s">
        <v>230</v>
      </c>
      <c r="B1" s="105"/>
      <c r="C1" s="106"/>
      <c r="D1" s="106"/>
      <c r="E1" s="106"/>
      <c r="F1" s="106"/>
      <c r="G1" s="106"/>
      <c r="H1" s="106"/>
      <c r="I1" s="106"/>
      <c r="J1" s="106"/>
      <c r="K1" s="106"/>
      <c r="L1" s="107"/>
      <c r="M1" s="134"/>
      <c r="N1" s="188"/>
      <c r="O1" s="188"/>
      <c r="P1" s="188"/>
    </row>
    <row r="2" spans="1:16" s="45" customFormat="1" ht="33.75" customHeight="1">
      <c r="A2" s="108" t="str">
        <f>IF(Settings!$E$5="Enable",Settings!$B$5,"")</f>
        <v>My Company name</v>
      </c>
      <c r="B2" s="126"/>
      <c r="C2" s="126"/>
      <c r="D2" s="126"/>
      <c r="E2" s="126"/>
      <c r="F2" s="126"/>
      <c r="G2" s="126"/>
      <c r="H2" s="126"/>
      <c r="I2" s="126"/>
      <c r="J2" s="126"/>
      <c r="K2" s="126"/>
      <c r="L2" s="126"/>
      <c r="M2" s="126"/>
      <c r="N2" s="126"/>
      <c r="O2" s="126"/>
      <c r="P2" s="90"/>
    </row>
    <row r="3" spans="1:16" ht="18" customHeight="1">
      <c r="A3" s="111" t="str">
        <f>IF(Settings!$E$6="Enable",Settings!$B$6,"")</f>
        <v>My company slogan</v>
      </c>
      <c r="B3" s="57"/>
      <c r="C3" s="57"/>
      <c r="D3" s="57"/>
      <c r="E3" s="57"/>
      <c r="F3" s="57"/>
      <c r="G3" s="57"/>
      <c r="H3" s="57"/>
      <c r="I3" s="57"/>
      <c r="J3" s="57"/>
      <c r="K3" s="57"/>
      <c r="L3" s="57"/>
      <c r="M3" s="58"/>
      <c r="P3" s="63"/>
    </row>
    <row r="4" spans="1:16" ht="15" customHeight="1">
      <c r="A4" s="59"/>
      <c r="B4" s="59"/>
      <c r="C4" s="59"/>
      <c r="D4" s="59"/>
      <c r="E4" s="59"/>
      <c r="F4" s="59"/>
      <c r="G4" s="59"/>
      <c r="H4" s="59"/>
      <c r="I4" s="59"/>
      <c r="J4" s="59"/>
      <c r="K4" s="59"/>
      <c r="L4" s="59"/>
      <c r="N4" s="59"/>
      <c r="O4" s="59"/>
      <c r="P4" s="116" t="s">
        <v>229</v>
      </c>
    </row>
    <row r="5" spans="1:16" ht="15" customHeight="1">
      <c r="A5" s="59"/>
      <c r="B5" s="59"/>
      <c r="C5" s="59"/>
      <c r="D5" s="59"/>
      <c r="E5" s="59"/>
      <c r="F5" s="59"/>
      <c r="G5" s="59"/>
      <c r="H5" s="59"/>
      <c r="I5" s="59"/>
      <c r="J5" s="59"/>
      <c r="K5" s="59"/>
      <c r="L5" s="59"/>
      <c r="N5" s="59"/>
      <c r="O5" s="59"/>
      <c r="P5" s="58"/>
    </row>
    <row r="6" spans="1:16" s="50" customFormat="1" ht="30" customHeight="1">
      <c r="A6" s="64" t="s">
        <v>203</v>
      </c>
      <c r="B6" s="64"/>
      <c r="C6" s="64"/>
      <c r="D6" s="64"/>
      <c r="E6" s="64"/>
      <c r="F6" s="189"/>
      <c r="G6" s="189"/>
      <c r="H6" s="189"/>
      <c r="I6" s="189"/>
      <c r="J6" s="189"/>
      <c r="K6" s="189"/>
      <c r="L6" s="189"/>
      <c r="M6" s="189"/>
      <c r="N6" s="189"/>
      <c r="O6" s="189"/>
      <c r="P6" s="189"/>
    </row>
    <row r="7" spans="1:16" ht="12.75" customHeight="1">
      <c r="A7" s="65"/>
      <c r="B7" s="65"/>
      <c r="C7" s="65"/>
      <c r="D7" s="65"/>
      <c r="E7" s="65"/>
      <c r="F7" s="65"/>
      <c r="G7" s="65"/>
      <c r="H7" s="65"/>
      <c r="I7" s="65"/>
      <c r="J7" s="65"/>
      <c r="K7" s="65"/>
      <c r="L7" s="65"/>
      <c r="M7" s="65"/>
      <c r="N7" s="65"/>
      <c r="O7" s="65"/>
      <c r="P7" s="65"/>
    </row>
    <row r="8" spans="1:16" s="190" customFormat="1" ht="18" customHeight="1">
      <c r="A8" s="74" t="s">
        <v>182</v>
      </c>
      <c r="B8" s="74" t="s">
        <v>164</v>
      </c>
      <c r="C8" s="236" t="s">
        <v>118</v>
      </c>
      <c r="D8" s="236"/>
      <c r="E8" s="236"/>
      <c r="F8" s="236"/>
      <c r="G8" s="236"/>
      <c r="H8" s="236"/>
      <c r="I8" s="236" t="s">
        <v>183</v>
      </c>
      <c r="J8" s="236"/>
      <c r="K8" s="236"/>
      <c r="L8" s="236"/>
      <c r="M8" s="236"/>
      <c r="N8" s="236"/>
      <c r="O8" s="236"/>
      <c r="P8" s="236"/>
    </row>
    <row r="9" spans="1:16" ht="6.95" customHeight="1">
      <c r="C9" s="62"/>
      <c r="D9" s="62"/>
      <c r="E9" s="62"/>
      <c r="F9" s="62"/>
      <c r="G9" s="62"/>
      <c r="H9" s="62"/>
      <c r="I9" s="62"/>
      <c r="J9" s="62"/>
      <c r="K9" s="62"/>
      <c r="L9" s="62"/>
      <c r="M9" s="62"/>
      <c r="N9" s="62"/>
      <c r="O9" s="62"/>
      <c r="P9" s="62"/>
    </row>
    <row r="10" spans="1:16" s="50" customFormat="1" ht="18" customHeight="1" thickBot="1">
      <c r="A10" s="78" t="str">
        <f>Inventory!A10</f>
        <v>SPIRITS</v>
      </c>
      <c r="B10" s="78" t="str">
        <f>Inventory!C10</f>
        <v>VOLUME</v>
      </c>
      <c r="C10" s="22" t="s">
        <v>187</v>
      </c>
      <c r="D10" s="22"/>
      <c r="E10" s="22" t="s">
        <v>101</v>
      </c>
      <c r="F10" s="22" t="s">
        <v>102</v>
      </c>
      <c r="G10" s="23" t="s">
        <v>108</v>
      </c>
      <c r="H10" s="79" t="s">
        <v>119</v>
      </c>
      <c r="I10" s="253" t="s">
        <v>190</v>
      </c>
      <c r="J10" s="253"/>
      <c r="K10" s="235" t="s">
        <v>30</v>
      </c>
      <c r="L10" s="235"/>
      <c r="M10" s="235" t="s">
        <v>31</v>
      </c>
      <c r="N10" s="235"/>
      <c r="O10" s="235" t="s">
        <v>189</v>
      </c>
      <c r="P10" s="235"/>
    </row>
    <row r="11" spans="1:16" s="50" customFormat="1" ht="6.95" customHeight="1" thickTop="1">
      <c r="C11" s="20"/>
      <c r="D11" s="20"/>
      <c r="E11" s="20"/>
      <c r="F11" s="20"/>
      <c r="G11" s="46"/>
      <c r="H11" s="191"/>
      <c r="I11" s="191"/>
      <c r="J11" s="191"/>
      <c r="K11" s="20"/>
      <c r="L11" s="20"/>
      <c r="M11" s="20"/>
      <c r="N11" s="20"/>
      <c r="O11" s="20"/>
      <c r="P11" s="20"/>
    </row>
    <row r="12" spans="1:16" s="29" customFormat="1" ht="15" customHeight="1">
      <c r="A12" s="31" t="str">
        <f>IF(ISBLANK(Inventory!A12),"",Inventory!A12)</f>
        <v>Teachers</v>
      </c>
      <c r="B12" s="31" t="str">
        <f>IF(ISBLANK(Inventory!A12),"",Inventory!C12)</f>
        <v>70cl</v>
      </c>
      <c r="C12" s="187">
        <v>1</v>
      </c>
      <c r="D12" s="192"/>
      <c r="E12" s="187">
        <v>1</v>
      </c>
      <c r="F12" s="187"/>
      <c r="G12" s="187"/>
      <c r="H12" s="37">
        <f>IF(ISBLANK(Inventory!A12),0,C12+SUM('Week 2'!E12:G12)-SUM(E12:G12))</f>
        <v>0</v>
      </c>
      <c r="I12" s="35" t="str">
        <f>IF(OR(ISBLANK(J12),J12=0),"",Settings!$B$14)</f>
        <v>$</v>
      </c>
      <c r="J12" s="30">
        <f>IF(ISBLANK(C12),0,C12*Inventory!F12)</f>
        <v>21.35</v>
      </c>
      <c r="K12" s="35" t="str">
        <f>IF(OR(ISBLANK(L12),L12=0),"",Settings!$B$14)</f>
        <v>$</v>
      </c>
      <c r="L12" s="30">
        <f>IF(ISBLANK(Inventory!A12),0,SUM(E12:G12)*Inventory!F12)</f>
        <v>21.35</v>
      </c>
      <c r="M12" s="35" t="str">
        <f>IF(OR(ISBLANK(N12),N12=0),"",Settings!$B$14)</f>
        <v>$</v>
      </c>
      <c r="N12" s="30">
        <f>IF(ISBLANK(Inventory!A12),0,SUM(E12:G12)*Inventory!L12)</f>
        <v>80.92</v>
      </c>
      <c r="O12" s="35" t="str">
        <f>IF(OR(ISBLANK(P12),P12=0),"",Settings!$B$14)</f>
        <v/>
      </c>
      <c r="P12" s="30">
        <f>IF(ISBLANK(Inventory!A12),0,H12*Inventory!L12)</f>
        <v>0</v>
      </c>
    </row>
    <row r="13" spans="1:16" s="29" customFormat="1" ht="15" customHeight="1">
      <c r="A13" s="31" t="str">
        <f>IF(ISBLANK(Inventory!A13),"",Inventory!A13)</f>
        <v>Bells</v>
      </c>
      <c r="B13" s="31" t="str">
        <f>IF(ISBLANK(Inventory!A13),"",Inventory!C13)</f>
        <v>70cl</v>
      </c>
      <c r="C13" s="187"/>
      <c r="D13" s="192"/>
      <c r="E13" s="187"/>
      <c r="F13" s="187"/>
      <c r="G13" s="187"/>
      <c r="H13" s="37">
        <f>IF(ISBLANK(Inventory!A13),0,C13+SUM('Week 2'!E13:G13)-SUM(E13:G13))</f>
        <v>0</v>
      </c>
      <c r="I13" s="35" t="str">
        <f>IF(OR(ISBLANK(J13),J13=0),"",Settings!$B$14)</f>
        <v/>
      </c>
      <c r="J13" s="30">
        <f>IF(ISBLANK(C13),0,C13*Inventory!F13)</f>
        <v>0</v>
      </c>
      <c r="K13" s="35" t="str">
        <f>IF(OR(ISBLANK(L13),L13=0),"",Settings!$B$14)</f>
        <v/>
      </c>
      <c r="L13" s="30">
        <f>IF(ISBLANK(Inventory!A13),0,SUM(E13:G13)*Inventory!F13)</f>
        <v>0</v>
      </c>
      <c r="M13" s="35" t="str">
        <f>IF(OR(ISBLANK(N13),N13=0),"",Settings!$B$14)</f>
        <v/>
      </c>
      <c r="N13" s="30">
        <f>IF(ISBLANK(Inventory!A13),0,SUM(E13:G13)*Inventory!L13)</f>
        <v>0</v>
      </c>
      <c r="O13" s="35" t="str">
        <f>IF(OR(ISBLANK(P13),P13=0),"",Settings!$B$14)</f>
        <v/>
      </c>
      <c r="P13" s="30">
        <f>IF(ISBLANK(Inventory!A13),0,H13*Inventory!L13)</f>
        <v>0</v>
      </c>
    </row>
    <row r="14" spans="1:16" s="29" customFormat="1" ht="15" customHeight="1">
      <c r="A14" s="31" t="str">
        <f>IF(ISBLANK(Inventory!A14),"",Inventory!A14)</f>
        <v>Bells</v>
      </c>
      <c r="B14" s="31" t="str">
        <f>IF(ISBLANK(Inventory!A14),"",Inventory!C14)</f>
        <v>1.5ltr</v>
      </c>
      <c r="C14" s="187"/>
      <c r="D14" s="192"/>
      <c r="E14" s="187"/>
      <c r="F14" s="187"/>
      <c r="G14" s="187"/>
      <c r="H14" s="37">
        <f>IF(ISBLANK(Inventory!A14),0,C14+SUM('Week 2'!E14:G14)-SUM(E14:G14))</f>
        <v>0</v>
      </c>
      <c r="I14" s="35" t="str">
        <f>IF(OR(ISBLANK(J14),J14=0),"",Settings!$B$14)</f>
        <v/>
      </c>
      <c r="J14" s="30">
        <f>IF(ISBLANK(C14),0,C14*Inventory!F14)</f>
        <v>0</v>
      </c>
      <c r="K14" s="35" t="str">
        <f>IF(OR(ISBLANK(L14),L14=0),"",Settings!$B$14)</f>
        <v/>
      </c>
      <c r="L14" s="30">
        <f>IF(ISBLANK(Inventory!A14),0,SUM(E14:G14)*Inventory!F14)</f>
        <v>0</v>
      </c>
      <c r="M14" s="35" t="str">
        <f>IF(OR(ISBLANK(N14),N14=0),"",Settings!$B$14)</f>
        <v/>
      </c>
      <c r="N14" s="30">
        <f>IF(ISBLANK(Inventory!A14),0,SUM(E14:G14)*Inventory!L14)</f>
        <v>0</v>
      </c>
      <c r="O14" s="35" t="str">
        <f>IF(OR(ISBLANK(P14),P14=0),"",Settings!$B$14)</f>
        <v/>
      </c>
      <c r="P14" s="30">
        <f>IF(ISBLANK(Inventory!A14),0,H14*Inventory!L14)</f>
        <v>0</v>
      </c>
    </row>
    <row r="15" spans="1:16" s="29" customFormat="1" ht="15" customHeight="1">
      <c r="A15" s="31" t="str">
        <f>IF(ISBLANK(Inventory!A15),"",Inventory!A15)</f>
        <v>Glenfiddich</v>
      </c>
      <c r="B15" s="31" t="str">
        <f>IF(ISBLANK(Inventory!A15),"",Inventory!C15)</f>
        <v>75cl</v>
      </c>
      <c r="C15" s="187"/>
      <c r="D15" s="192"/>
      <c r="E15" s="187"/>
      <c r="F15" s="187"/>
      <c r="G15" s="187"/>
      <c r="H15" s="37">
        <f>IF(ISBLANK(Inventory!A15),0,C15+SUM('Week 2'!E15:G15)-SUM(E15:G15))</f>
        <v>0</v>
      </c>
      <c r="I15" s="35" t="str">
        <f>IF(OR(ISBLANK(J15),J15=0),"",Settings!$B$14)</f>
        <v/>
      </c>
      <c r="J15" s="30">
        <f>IF(ISBLANK(C15),0,C15*Inventory!F15)</f>
        <v>0</v>
      </c>
      <c r="K15" s="35" t="str">
        <f>IF(OR(ISBLANK(L15),L15=0),"",Settings!$B$14)</f>
        <v/>
      </c>
      <c r="L15" s="30">
        <f>IF(ISBLANK(Inventory!A15),0,SUM(E15:G15)*Inventory!F15)</f>
        <v>0</v>
      </c>
      <c r="M15" s="35" t="str">
        <f>IF(OR(ISBLANK(N15),N15=0),"",Settings!$B$14)</f>
        <v/>
      </c>
      <c r="N15" s="30">
        <f>IF(ISBLANK(Inventory!A15),0,SUM(E15:G15)*Inventory!L15)</f>
        <v>0</v>
      </c>
      <c r="O15" s="35" t="str">
        <f>IF(OR(ISBLANK(P15),P15=0),"",Settings!$B$14)</f>
        <v/>
      </c>
      <c r="P15" s="30">
        <f>IF(ISBLANK(Inventory!A15),0,H15*Inventory!L15)</f>
        <v>0</v>
      </c>
    </row>
    <row r="16" spans="1:16" s="29" customFormat="1" ht="15" customHeight="1">
      <c r="A16" s="31" t="str">
        <f>IF(ISBLANK(Inventory!A16),"",Inventory!A16)</f>
        <v>Glenmorangie</v>
      </c>
      <c r="B16" s="31" t="str">
        <f>IF(ISBLANK(Inventory!A16),"",Inventory!C16)</f>
        <v>70cl</v>
      </c>
      <c r="C16" s="187"/>
      <c r="D16" s="192"/>
      <c r="E16" s="187"/>
      <c r="F16" s="187"/>
      <c r="G16" s="187"/>
      <c r="H16" s="37">
        <f>IF(ISBLANK(Inventory!A16),0,C16+SUM('Week 2'!E16:G16)-SUM(E16:G16))</f>
        <v>0</v>
      </c>
      <c r="I16" s="35" t="str">
        <f>IF(OR(ISBLANK(J16),J16=0),"",Settings!$B$14)</f>
        <v/>
      </c>
      <c r="J16" s="30">
        <f>IF(ISBLANK(C16),0,C16*Inventory!F16)</f>
        <v>0</v>
      </c>
      <c r="K16" s="35" t="str">
        <f>IF(OR(ISBLANK(L16),L16=0),"",Settings!$B$14)</f>
        <v/>
      </c>
      <c r="L16" s="30">
        <f>IF(ISBLANK(Inventory!A16),0,SUM(E16:G16)*Inventory!F16)</f>
        <v>0</v>
      </c>
      <c r="M16" s="35" t="str">
        <f>IF(OR(ISBLANK(N16),N16=0),"",Settings!$B$14)</f>
        <v/>
      </c>
      <c r="N16" s="30">
        <f>IF(ISBLANK(Inventory!A16),0,SUM(E16:G16)*Inventory!L16)</f>
        <v>0</v>
      </c>
      <c r="O16" s="35" t="str">
        <f>IF(OR(ISBLANK(P16),P16=0),"",Settings!$B$14)</f>
        <v/>
      </c>
      <c r="P16" s="30">
        <f>IF(ISBLANK(Inventory!A16),0,H16*Inventory!L16)</f>
        <v>0</v>
      </c>
    </row>
    <row r="17" spans="1:16" s="29" customFormat="1" ht="15" customHeight="1">
      <c r="A17" s="31" t="str">
        <f>IF(ISBLANK(Inventory!A17),"",Inventory!A17)</f>
        <v>Jack Daniels</v>
      </c>
      <c r="B17" s="31" t="str">
        <f>IF(ISBLANK(Inventory!A17),"",Inventory!C17)</f>
        <v>70cl</v>
      </c>
      <c r="C17" s="187"/>
      <c r="D17" s="192"/>
      <c r="E17" s="187"/>
      <c r="F17" s="187"/>
      <c r="G17" s="187"/>
      <c r="H17" s="37">
        <f>IF(ISBLANK(Inventory!A17),0,C17+SUM('Week 2'!E17:G17)-SUM(E17:G17))</f>
        <v>0</v>
      </c>
      <c r="I17" s="35" t="str">
        <f>IF(OR(ISBLANK(J17),J17=0),"",Settings!$B$14)</f>
        <v/>
      </c>
      <c r="J17" s="30">
        <f>IF(ISBLANK(C17),0,C17*Inventory!F17)</f>
        <v>0</v>
      </c>
      <c r="K17" s="35" t="str">
        <f>IF(OR(ISBLANK(L17),L17=0),"",Settings!$B$14)</f>
        <v/>
      </c>
      <c r="L17" s="30">
        <f>IF(ISBLANK(Inventory!A17),0,SUM(E17:G17)*Inventory!F17)</f>
        <v>0</v>
      </c>
      <c r="M17" s="35" t="str">
        <f>IF(OR(ISBLANK(N17),N17=0),"",Settings!$B$14)</f>
        <v/>
      </c>
      <c r="N17" s="30">
        <f>IF(ISBLANK(Inventory!A17),0,SUM(E17:G17)*Inventory!L17)</f>
        <v>0</v>
      </c>
      <c r="O17" s="35" t="str">
        <f>IF(OR(ISBLANK(P17),P17=0),"",Settings!$B$14)</f>
        <v/>
      </c>
      <c r="P17" s="30">
        <f>IF(ISBLANK(Inventory!A17),0,H17*Inventory!L17)</f>
        <v>0</v>
      </c>
    </row>
    <row r="18" spans="1:16" s="29" customFormat="1" ht="15" customHeight="1">
      <c r="A18" s="31" t="str">
        <f>IF(ISBLANK(Inventory!A18),"",Inventory!A18)</f>
        <v>Jack Daniels</v>
      </c>
      <c r="B18" s="31" t="str">
        <f>IF(ISBLANK(Inventory!A18),"",Inventory!C18)</f>
        <v>1.5Ltr</v>
      </c>
      <c r="C18" s="187"/>
      <c r="D18" s="192"/>
      <c r="E18" s="187"/>
      <c r="F18" s="187"/>
      <c r="G18" s="187"/>
      <c r="H18" s="37">
        <f>IF(ISBLANK(Inventory!A18),0,C18+SUM('Week 2'!E18:G18)-SUM(E18:G18))</f>
        <v>0</v>
      </c>
      <c r="I18" s="35" t="str">
        <f>IF(OR(ISBLANK(J18),J18=0),"",Settings!$B$14)</f>
        <v/>
      </c>
      <c r="J18" s="30">
        <f>IF(ISBLANK(C18),0,C18*Inventory!F18)</f>
        <v>0</v>
      </c>
      <c r="K18" s="35" t="str">
        <f>IF(OR(ISBLANK(L18),L18=0),"",Settings!$B$14)</f>
        <v/>
      </c>
      <c r="L18" s="30">
        <f>IF(ISBLANK(Inventory!A18),0,SUM(E18:G18)*Inventory!F18)</f>
        <v>0</v>
      </c>
      <c r="M18" s="35" t="str">
        <f>IF(OR(ISBLANK(N18),N18=0),"",Settings!$B$14)</f>
        <v/>
      </c>
      <c r="N18" s="30">
        <f>IF(ISBLANK(Inventory!A18),0,SUM(E18:G18)*Inventory!L18)</f>
        <v>0</v>
      </c>
      <c r="O18" s="35" t="str">
        <f>IF(OR(ISBLANK(P18),P18=0),"",Settings!$B$14)</f>
        <v/>
      </c>
      <c r="P18" s="30">
        <f>IF(ISBLANK(Inventory!A18),0,H18*Inventory!L18)</f>
        <v>0</v>
      </c>
    </row>
    <row r="19" spans="1:16" s="29" customFormat="1" ht="15" customHeight="1">
      <c r="A19" s="31" t="str">
        <f>IF(ISBLANK(Inventory!A19),"",Inventory!A19)</f>
        <v>Jim Beam</v>
      </c>
      <c r="B19" s="31" t="str">
        <f>IF(ISBLANK(Inventory!A19),"",Inventory!C19)</f>
        <v>70cl</v>
      </c>
      <c r="C19" s="187"/>
      <c r="D19" s="192"/>
      <c r="E19" s="187"/>
      <c r="F19" s="187"/>
      <c r="G19" s="187"/>
      <c r="H19" s="37">
        <f>IF(ISBLANK(Inventory!A19),0,C19+SUM('Week 2'!E19:G19)-SUM(E19:G19))</f>
        <v>0</v>
      </c>
      <c r="I19" s="35" t="str">
        <f>IF(OR(ISBLANK(J19),J19=0),"",Settings!$B$14)</f>
        <v/>
      </c>
      <c r="J19" s="30">
        <f>IF(ISBLANK(C19),0,C19*Inventory!F19)</f>
        <v>0</v>
      </c>
      <c r="K19" s="35" t="str">
        <f>IF(OR(ISBLANK(L19),L19=0),"",Settings!$B$14)</f>
        <v/>
      </c>
      <c r="L19" s="30">
        <f>IF(ISBLANK(Inventory!A19),0,SUM(E19:G19)*Inventory!F19)</f>
        <v>0</v>
      </c>
      <c r="M19" s="35" t="str">
        <f>IF(OR(ISBLANK(N19),N19=0),"",Settings!$B$14)</f>
        <v/>
      </c>
      <c r="N19" s="30">
        <f>IF(ISBLANK(Inventory!A19),0,SUM(E19:G19)*Inventory!L19)</f>
        <v>0</v>
      </c>
      <c r="O19" s="35" t="str">
        <f>IF(OR(ISBLANK(P19),P19=0),"",Settings!$B$14)</f>
        <v/>
      </c>
      <c r="P19" s="30">
        <f>IF(ISBLANK(Inventory!A19),0,H19*Inventory!L19)</f>
        <v>0</v>
      </c>
    </row>
    <row r="20" spans="1:16" s="29" customFormat="1" ht="15" customHeight="1">
      <c r="A20" s="31" t="str">
        <f>IF(ISBLANK(Inventory!A20),"",Inventory!A20)</f>
        <v>Jameson's Irish</v>
      </c>
      <c r="B20" s="31" t="str">
        <f>IF(ISBLANK(Inventory!A20),"",Inventory!C20)</f>
        <v>70cl</v>
      </c>
      <c r="C20" s="187"/>
      <c r="D20" s="192"/>
      <c r="E20" s="187"/>
      <c r="F20" s="187"/>
      <c r="G20" s="187"/>
      <c r="H20" s="37">
        <f>IF(ISBLANK(Inventory!A20),0,C20+SUM('Week 2'!E20:G20)-SUM(E20:G20))</f>
        <v>0</v>
      </c>
      <c r="I20" s="35" t="str">
        <f>IF(OR(ISBLANK(J20),J20=0),"",Settings!$B$14)</f>
        <v/>
      </c>
      <c r="J20" s="30">
        <f>IF(ISBLANK(C20),0,C20*Inventory!F20)</f>
        <v>0</v>
      </c>
      <c r="K20" s="35" t="str">
        <f>IF(OR(ISBLANK(L20),L20=0),"",Settings!$B$14)</f>
        <v/>
      </c>
      <c r="L20" s="30">
        <f>IF(ISBLANK(Inventory!A20),0,SUM(E20:G20)*Inventory!F20)</f>
        <v>0</v>
      </c>
      <c r="M20" s="35" t="str">
        <f>IF(OR(ISBLANK(N20),N20=0),"",Settings!$B$14)</f>
        <v/>
      </c>
      <c r="N20" s="30">
        <f>IF(ISBLANK(Inventory!A20),0,SUM(E20:G20)*Inventory!L20)</f>
        <v>0</v>
      </c>
      <c r="O20" s="35" t="str">
        <f>IF(OR(ISBLANK(P20),P20=0),"",Settings!$B$14)</f>
        <v/>
      </c>
      <c r="P20" s="30">
        <f>IF(ISBLANK(Inventory!A20),0,H20*Inventory!L20)</f>
        <v>0</v>
      </c>
    </row>
    <row r="21" spans="1:16" s="29" customFormat="1" ht="15" customHeight="1">
      <c r="A21" s="31" t="str">
        <f>IF(ISBLANK(Inventory!A21),"",Inventory!A21)</f>
        <v>Jameson's Irish</v>
      </c>
      <c r="B21" s="31" t="str">
        <f>IF(ISBLANK(Inventory!A21),"",Inventory!C21)</f>
        <v>1.5Ltr</v>
      </c>
      <c r="C21" s="187"/>
      <c r="D21" s="192"/>
      <c r="E21" s="187"/>
      <c r="F21" s="187"/>
      <c r="G21" s="187"/>
      <c r="H21" s="37">
        <f>IF(ISBLANK(Inventory!A21),0,C21+SUM('Week 2'!E21:G21)-SUM(E21:G21))</f>
        <v>0</v>
      </c>
      <c r="I21" s="35" t="str">
        <f>IF(OR(ISBLANK(J21),J21=0),"",Settings!$B$14)</f>
        <v/>
      </c>
      <c r="J21" s="30">
        <f>IF(ISBLANK(C21),0,C21*Inventory!F21)</f>
        <v>0</v>
      </c>
      <c r="K21" s="35" t="str">
        <f>IF(OR(ISBLANK(L21),L21=0),"",Settings!$B$14)</f>
        <v/>
      </c>
      <c r="L21" s="30">
        <f>IF(ISBLANK(Inventory!A21),0,SUM(E21:G21)*Inventory!F21)</f>
        <v>0</v>
      </c>
      <c r="M21" s="35" t="str">
        <f>IF(OR(ISBLANK(N21),N21=0),"",Settings!$B$14)</f>
        <v/>
      </c>
      <c r="N21" s="30">
        <f>IF(ISBLANK(Inventory!A21),0,SUM(E21:G21)*Inventory!L21)</f>
        <v>0</v>
      </c>
      <c r="O21" s="35" t="str">
        <f>IF(OR(ISBLANK(P21),P21=0),"",Settings!$B$14)</f>
        <v/>
      </c>
      <c r="P21" s="30">
        <f>IF(ISBLANK(Inventory!A21),0,H21*Inventory!L21)</f>
        <v>0</v>
      </c>
    </row>
    <row r="22" spans="1:16" s="29" customFormat="1" ht="15" customHeight="1">
      <c r="A22" s="31" t="str">
        <f>IF(ISBLANK(Inventory!A22),"",Inventory!A22)</f>
        <v>Southern Comfort</v>
      </c>
      <c r="B22" s="31" t="str">
        <f>IF(ISBLANK(Inventory!A22),"",Inventory!C22)</f>
        <v>70cl</v>
      </c>
      <c r="C22" s="187"/>
      <c r="D22" s="192"/>
      <c r="E22" s="187"/>
      <c r="F22" s="187"/>
      <c r="G22" s="187"/>
      <c r="H22" s="37">
        <f>IF(ISBLANK(Inventory!A22),0,C22+SUM('Week 2'!E22:G22)-SUM(E22:G22))</f>
        <v>0</v>
      </c>
      <c r="I22" s="35" t="str">
        <f>IF(OR(ISBLANK(J22),J22=0),"",Settings!$B$14)</f>
        <v/>
      </c>
      <c r="J22" s="30">
        <f>IF(ISBLANK(C22),0,C22*Inventory!F22)</f>
        <v>0</v>
      </c>
      <c r="K22" s="35" t="str">
        <f>IF(OR(ISBLANK(L22),L22=0),"",Settings!$B$14)</f>
        <v/>
      </c>
      <c r="L22" s="30">
        <f>IF(ISBLANK(Inventory!A22),0,SUM(E22:G22)*Inventory!F22)</f>
        <v>0</v>
      </c>
      <c r="M22" s="35" t="str">
        <f>IF(OR(ISBLANK(N22),N22=0),"",Settings!$B$14)</f>
        <v/>
      </c>
      <c r="N22" s="30">
        <f>IF(ISBLANK(Inventory!A22),0,SUM(E22:G22)*Inventory!L22)</f>
        <v>0</v>
      </c>
      <c r="O22" s="35" t="str">
        <f>IF(OR(ISBLANK(P22),P22=0),"",Settings!$B$14)</f>
        <v/>
      </c>
      <c r="P22" s="30">
        <f>IF(ISBLANK(Inventory!A22),0,H22*Inventory!L22)</f>
        <v>0</v>
      </c>
    </row>
    <row r="23" spans="1:16" s="29" customFormat="1" ht="15" customHeight="1">
      <c r="A23" s="31" t="str">
        <f>IF(ISBLANK(Inventory!A23),"",Inventory!A23)</f>
        <v>Southern Comfort</v>
      </c>
      <c r="B23" s="31" t="str">
        <f>IF(ISBLANK(Inventory!A23),"",Inventory!C23)</f>
        <v>1.5ltr</v>
      </c>
      <c r="C23" s="187"/>
      <c r="D23" s="192"/>
      <c r="E23" s="187"/>
      <c r="F23" s="187"/>
      <c r="G23" s="187"/>
      <c r="H23" s="37">
        <f>IF(ISBLANK(Inventory!A23),0,C23+SUM('Week 2'!E23:G23)-SUM(E23:G23))</f>
        <v>0</v>
      </c>
      <c r="I23" s="35" t="str">
        <f>IF(OR(ISBLANK(J23),J23=0),"",Settings!$B$14)</f>
        <v/>
      </c>
      <c r="J23" s="30">
        <f>IF(ISBLANK(C23),0,C23*Inventory!F23)</f>
        <v>0</v>
      </c>
      <c r="K23" s="35" t="str">
        <f>IF(OR(ISBLANK(L23),L23=0),"",Settings!$B$14)</f>
        <v/>
      </c>
      <c r="L23" s="30">
        <f>IF(ISBLANK(Inventory!A23),0,SUM(E23:G23)*Inventory!F23)</f>
        <v>0</v>
      </c>
      <c r="M23" s="35" t="str">
        <f>IF(OR(ISBLANK(N23),N23=0),"",Settings!$B$14)</f>
        <v/>
      </c>
      <c r="N23" s="30">
        <f>IF(ISBLANK(Inventory!A23),0,SUM(E23:G23)*Inventory!L23)</f>
        <v>0</v>
      </c>
      <c r="O23" s="35" t="str">
        <f>IF(OR(ISBLANK(P23),P23=0),"",Settings!$B$14)</f>
        <v/>
      </c>
      <c r="P23" s="30">
        <f>IF(ISBLANK(Inventory!A23),0,H23*Inventory!L23)</f>
        <v>0</v>
      </c>
    </row>
    <row r="24" spans="1:16" s="29" customFormat="1" ht="15" customHeight="1">
      <c r="A24" s="31" t="str">
        <f>IF(ISBLANK(Inventory!A24),"",Inventory!A24)</f>
        <v>Gordons' Gin</v>
      </c>
      <c r="B24" s="31" t="str">
        <f>IF(ISBLANK(Inventory!A24),"",Inventory!C24)</f>
        <v>70cl</v>
      </c>
      <c r="C24" s="187"/>
      <c r="D24" s="192"/>
      <c r="E24" s="187"/>
      <c r="F24" s="187"/>
      <c r="G24" s="187"/>
      <c r="H24" s="37">
        <f>IF(ISBLANK(Inventory!A24),0,C24+SUM('Week 2'!E24:G24)-SUM(E24:G24))</f>
        <v>0</v>
      </c>
      <c r="I24" s="35" t="str">
        <f>IF(OR(ISBLANK(J24),J24=0),"",Settings!$B$14)</f>
        <v/>
      </c>
      <c r="J24" s="30">
        <f>IF(ISBLANK(C24),0,C24*Inventory!F24)</f>
        <v>0</v>
      </c>
      <c r="K24" s="35" t="str">
        <f>IF(OR(ISBLANK(L24),L24=0),"",Settings!$B$14)</f>
        <v/>
      </c>
      <c r="L24" s="30">
        <f>IF(ISBLANK(Inventory!A24),0,SUM(E24:G24)*Inventory!F24)</f>
        <v>0</v>
      </c>
      <c r="M24" s="35" t="str">
        <f>IF(OR(ISBLANK(N24),N24=0),"",Settings!$B$14)</f>
        <v/>
      </c>
      <c r="N24" s="30">
        <f>IF(ISBLANK(Inventory!A24),0,SUM(E24:G24)*Inventory!L24)</f>
        <v>0</v>
      </c>
      <c r="O24" s="35" t="str">
        <f>IF(OR(ISBLANK(P24),P24=0),"",Settings!$B$14)</f>
        <v/>
      </c>
      <c r="P24" s="30">
        <f>IF(ISBLANK(Inventory!A24),0,H24*Inventory!L24)</f>
        <v>0</v>
      </c>
    </row>
    <row r="25" spans="1:16" s="29" customFormat="1" ht="15" customHeight="1">
      <c r="A25" s="31" t="str">
        <f>IF(ISBLANK(Inventory!A25),"",Inventory!A25)</f>
        <v>Gordons' Gin</v>
      </c>
      <c r="B25" s="31" t="str">
        <f>IF(ISBLANK(Inventory!A25),"",Inventory!C25)</f>
        <v>1.5Ltr</v>
      </c>
      <c r="C25" s="187"/>
      <c r="D25" s="192"/>
      <c r="E25" s="187"/>
      <c r="F25" s="187"/>
      <c r="G25" s="187"/>
      <c r="H25" s="37">
        <f>IF(ISBLANK(Inventory!A25),0,C25+SUM('Week 2'!E25:G25)-SUM(E25:G25))</f>
        <v>0</v>
      </c>
      <c r="I25" s="35" t="str">
        <f>IF(OR(ISBLANK(J25),J25=0),"",Settings!$B$14)</f>
        <v/>
      </c>
      <c r="J25" s="30">
        <f>IF(ISBLANK(C25),0,C25*Inventory!F25)</f>
        <v>0</v>
      </c>
      <c r="K25" s="35" t="str">
        <f>IF(OR(ISBLANK(L25),L25=0),"",Settings!$B$14)</f>
        <v/>
      </c>
      <c r="L25" s="30">
        <f>IF(ISBLANK(Inventory!A25),0,SUM(E25:G25)*Inventory!F25)</f>
        <v>0</v>
      </c>
      <c r="M25" s="35" t="str">
        <f>IF(OR(ISBLANK(N25),N25=0),"",Settings!$B$14)</f>
        <v/>
      </c>
      <c r="N25" s="30">
        <f>IF(ISBLANK(Inventory!A25),0,SUM(E25:G25)*Inventory!L25)</f>
        <v>0</v>
      </c>
      <c r="O25" s="35" t="str">
        <f>IF(OR(ISBLANK(P25),P25=0),"",Settings!$B$14)</f>
        <v/>
      </c>
      <c r="P25" s="30">
        <f>IF(ISBLANK(Inventory!A25),0,H25*Inventory!L25)</f>
        <v>0</v>
      </c>
    </row>
    <row r="26" spans="1:16" s="29" customFormat="1" ht="15" customHeight="1">
      <c r="A26" s="31" t="str">
        <f>IF(ISBLANK(Inventory!A26),"",Inventory!A26)</f>
        <v>Bombay Sapphire</v>
      </c>
      <c r="B26" s="31" t="str">
        <f>IF(ISBLANK(Inventory!A26),"",Inventory!C26)</f>
        <v>70cl</v>
      </c>
      <c r="C26" s="187"/>
      <c r="D26" s="192"/>
      <c r="E26" s="187"/>
      <c r="F26" s="187"/>
      <c r="G26" s="187"/>
      <c r="H26" s="37">
        <f>IF(ISBLANK(Inventory!A26),0,C26+SUM('Week 2'!E26:G26)-SUM(E26:G26))</f>
        <v>0</v>
      </c>
      <c r="I26" s="35" t="str">
        <f>IF(OR(ISBLANK(J26),J26=0),"",Settings!$B$14)</f>
        <v/>
      </c>
      <c r="J26" s="30">
        <f>IF(ISBLANK(C26),0,C26*Inventory!F26)</f>
        <v>0</v>
      </c>
      <c r="K26" s="35" t="str">
        <f>IF(OR(ISBLANK(L26),L26=0),"",Settings!$B$14)</f>
        <v/>
      </c>
      <c r="L26" s="30">
        <f>IF(ISBLANK(Inventory!A26),0,SUM(E26:G26)*Inventory!F26)</f>
        <v>0</v>
      </c>
      <c r="M26" s="35" t="str">
        <f>IF(OR(ISBLANK(N26),N26=0),"",Settings!$B$14)</f>
        <v/>
      </c>
      <c r="N26" s="30">
        <f>IF(ISBLANK(Inventory!A26),0,SUM(E26:G26)*Inventory!L26)</f>
        <v>0</v>
      </c>
      <c r="O26" s="35" t="str">
        <f>IF(OR(ISBLANK(P26),P26=0),"",Settings!$B$14)</f>
        <v/>
      </c>
      <c r="P26" s="30">
        <f>IF(ISBLANK(Inventory!A26),0,H26*Inventory!L26)</f>
        <v>0</v>
      </c>
    </row>
    <row r="27" spans="1:16" s="29" customFormat="1" ht="15" customHeight="1">
      <c r="A27" s="31" t="str">
        <f>IF(ISBLANK(Inventory!A27),"",Inventory!A27)</f>
        <v>Smirnoff Red</v>
      </c>
      <c r="B27" s="31" t="str">
        <f>IF(ISBLANK(Inventory!A27),"",Inventory!C27)</f>
        <v>70cl</v>
      </c>
      <c r="C27" s="187"/>
      <c r="D27" s="192"/>
      <c r="E27" s="187"/>
      <c r="F27" s="187"/>
      <c r="G27" s="187"/>
      <c r="H27" s="37">
        <f>IF(ISBLANK(Inventory!A27),0,C27+SUM('Week 2'!E27:G27)-SUM(E27:G27))</f>
        <v>0</v>
      </c>
      <c r="I27" s="35" t="str">
        <f>IF(OR(ISBLANK(J27),J27=0),"",Settings!$B$14)</f>
        <v/>
      </c>
      <c r="J27" s="30">
        <f>IF(ISBLANK(C27),0,C27*Inventory!F27)</f>
        <v>0</v>
      </c>
      <c r="K27" s="35" t="str">
        <f>IF(OR(ISBLANK(L27),L27=0),"",Settings!$B$14)</f>
        <v/>
      </c>
      <c r="L27" s="30">
        <f>IF(ISBLANK(Inventory!A27),0,SUM(E27:G27)*Inventory!F27)</f>
        <v>0</v>
      </c>
      <c r="M27" s="35" t="str">
        <f>IF(OR(ISBLANK(N27),N27=0),"",Settings!$B$14)</f>
        <v/>
      </c>
      <c r="N27" s="30">
        <f>IF(ISBLANK(Inventory!A27),0,SUM(E27:G27)*Inventory!L27)</f>
        <v>0</v>
      </c>
      <c r="O27" s="35" t="str">
        <f>IF(OR(ISBLANK(P27),P27=0),"",Settings!$B$14)</f>
        <v/>
      </c>
      <c r="P27" s="30">
        <f>IF(ISBLANK(Inventory!A27),0,H27*Inventory!L27)</f>
        <v>0</v>
      </c>
    </row>
    <row r="28" spans="1:16" s="29" customFormat="1" ht="15" customHeight="1">
      <c r="A28" s="31" t="str">
        <f>IF(ISBLANK(Inventory!A28),"",Inventory!A28)</f>
        <v>Smirnoff Red</v>
      </c>
      <c r="B28" s="31" t="str">
        <f>IF(ISBLANK(Inventory!A28),"",Inventory!C28)</f>
        <v>1.5Ltr</v>
      </c>
      <c r="C28" s="187"/>
      <c r="D28" s="192"/>
      <c r="E28" s="187"/>
      <c r="F28" s="187"/>
      <c r="G28" s="187"/>
      <c r="H28" s="37">
        <f>IF(ISBLANK(Inventory!A28),0,C28+SUM('Week 2'!E28:G28)-SUM(E28:G28))</f>
        <v>0</v>
      </c>
      <c r="I28" s="35" t="str">
        <f>IF(OR(ISBLANK(J28),J28=0),"",Settings!$B$14)</f>
        <v/>
      </c>
      <c r="J28" s="30">
        <f>IF(ISBLANK(C28),0,C28*Inventory!F28)</f>
        <v>0</v>
      </c>
      <c r="K28" s="35" t="str">
        <f>IF(OR(ISBLANK(L28),L28=0),"",Settings!$B$14)</f>
        <v/>
      </c>
      <c r="L28" s="30">
        <f>IF(ISBLANK(Inventory!A28),0,SUM(E28:G28)*Inventory!F28)</f>
        <v>0</v>
      </c>
      <c r="M28" s="35" t="str">
        <f>IF(OR(ISBLANK(N28),N28=0),"",Settings!$B$14)</f>
        <v/>
      </c>
      <c r="N28" s="30">
        <f>IF(ISBLANK(Inventory!A28),0,SUM(E28:G28)*Inventory!L28)</f>
        <v>0</v>
      </c>
      <c r="O28" s="35" t="str">
        <f>IF(OR(ISBLANK(P28),P28=0),"",Settings!$B$14)</f>
        <v/>
      </c>
      <c r="P28" s="30">
        <f>IF(ISBLANK(Inventory!A28),0,H28*Inventory!L28)</f>
        <v>0</v>
      </c>
    </row>
    <row r="29" spans="1:16" s="29" customFormat="1" ht="15" customHeight="1">
      <c r="A29" s="31" t="str">
        <f>IF(ISBLANK(Inventory!A29),"",Inventory!A29)</f>
        <v>Absolut</v>
      </c>
      <c r="B29" s="31" t="str">
        <f>IF(ISBLANK(Inventory!A29),"",Inventory!C29)</f>
        <v>70cl</v>
      </c>
      <c r="C29" s="187"/>
      <c r="D29" s="192"/>
      <c r="E29" s="187"/>
      <c r="F29" s="187"/>
      <c r="G29" s="187"/>
      <c r="H29" s="37">
        <f>IF(ISBLANK(Inventory!A29),0,C29+SUM('Week 2'!E29:G29)-SUM(E29:G29))</f>
        <v>0</v>
      </c>
      <c r="I29" s="35" t="str">
        <f>IF(OR(ISBLANK(J29),J29=0),"",Settings!$B$14)</f>
        <v/>
      </c>
      <c r="J29" s="30">
        <f>IF(ISBLANK(C29),0,C29*Inventory!F29)</f>
        <v>0</v>
      </c>
      <c r="K29" s="35" t="str">
        <f>IF(OR(ISBLANK(L29),L29=0),"",Settings!$B$14)</f>
        <v/>
      </c>
      <c r="L29" s="30">
        <f>IF(ISBLANK(Inventory!A29),0,SUM(E29:G29)*Inventory!F29)</f>
        <v>0</v>
      </c>
      <c r="M29" s="35" t="str">
        <f>IF(OR(ISBLANK(N29),N29=0),"",Settings!$B$14)</f>
        <v/>
      </c>
      <c r="N29" s="30">
        <f>IF(ISBLANK(Inventory!A29),0,SUM(E29:G29)*Inventory!L29)</f>
        <v>0</v>
      </c>
      <c r="O29" s="35" t="str">
        <f>IF(OR(ISBLANK(P29),P29=0),"",Settings!$B$14)</f>
        <v/>
      </c>
      <c r="P29" s="30">
        <f>IF(ISBLANK(Inventory!A29),0,H29*Inventory!L29)</f>
        <v>0</v>
      </c>
    </row>
    <row r="30" spans="1:16" s="29" customFormat="1" ht="15" customHeight="1">
      <c r="A30" s="31" t="str">
        <f>IF(ISBLANK(Inventory!A30),"",Inventory!A30)</f>
        <v>Captain Morgan</v>
      </c>
      <c r="B30" s="31" t="str">
        <f>IF(ISBLANK(Inventory!A30),"",Inventory!C30)</f>
        <v>70cl</v>
      </c>
      <c r="C30" s="187"/>
      <c r="D30" s="192"/>
      <c r="E30" s="187"/>
      <c r="F30" s="187"/>
      <c r="G30" s="187"/>
      <c r="H30" s="37">
        <f>IF(ISBLANK(Inventory!A30),0,C30+SUM('Week 2'!E30:G30)-SUM(E30:G30))</f>
        <v>0</v>
      </c>
      <c r="I30" s="35" t="str">
        <f>IF(OR(ISBLANK(J30),J30=0),"",Settings!$B$14)</f>
        <v/>
      </c>
      <c r="J30" s="30">
        <f>IF(ISBLANK(C30),0,C30*Inventory!F30)</f>
        <v>0</v>
      </c>
      <c r="K30" s="35" t="str">
        <f>IF(OR(ISBLANK(L30),L30=0),"",Settings!$B$14)</f>
        <v/>
      </c>
      <c r="L30" s="30">
        <f>IF(ISBLANK(Inventory!A30),0,SUM(E30:G30)*Inventory!F30)</f>
        <v>0</v>
      </c>
      <c r="M30" s="35" t="str">
        <f>IF(OR(ISBLANK(N30),N30=0),"",Settings!$B$14)</f>
        <v/>
      </c>
      <c r="N30" s="30">
        <f>IF(ISBLANK(Inventory!A30),0,SUM(E30:G30)*Inventory!L30)</f>
        <v>0</v>
      </c>
      <c r="O30" s="35" t="str">
        <f>IF(OR(ISBLANK(P30),P30=0),"",Settings!$B$14)</f>
        <v/>
      </c>
      <c r="P30" s="30">
        <f>IF(ISBLANK(Inventory!A30),0,H30*Inventory!L30)</f>
        <v>0</v>
      </c>
    </row>
    <row r="31" spans="1:16" s="29" customFormat="1" ht="15" customHeight="1">
      <c r="A31" s="31" t="str">
        <f>IF(ISBLANK(Inventory!A31),"",Inventory!A31)</f>
        <v>Bacardi</v>
      </c>
      <c r="B31" s="31" t="str">
        <f>IF(ISBLANK(Inventory!A31),"",Inventory!C31)</f>
        <v>70cl</v>
      </c>
      <c r="C31" s="187"/>
      <c r="D31" s="192"/>
      <c r="E31" s="187"/>
      <c r="F31" s="187"/>
      <c r="G31" s="187"/>
      <c r="H31" s="37">
        <f>IF(ISBLANK(Inventory!A31),0,C31+SUM('Week 2'!E31:G31)-SUM(E31:G31))</f>
        <v>0</v>
      </c>
      <c r="I31" s="35" t="str">
        <f>IF(OR(ISBLANK(J31),J31=0),"",Settings!$B$14)</f>
        <v/>
      </c>
      <c r="J31" s="30">
        <f>IF(ISBLANK(C31),0,C31*Inventory!F31)</f>
        <v>0</v>
      </c>
      <c r="K31" s="35" t="str">
        <f>IF(OR(ISBLANK(L31),L31=0),"",Settings!$B$14)</f>
        <v/>
      </c>
      <c r="L31" s="30">
        <f>IF(ISBLANK(Inventory!A31),0,SUM(E31:G31)*Inventory!F31)</f>
        <v>0</v>
      </c>
      <c r="M31" s="35" t="str">
        <f>IF(OR(ISBLANK(N31),N31=0),"",Settings!$B$14)</f>
        <v/>
      </c>
      <c r="N31" s="30">
        <f>IF(ISBLANK(Inventory!A31),0,SUM(E31:G31)*Inventory!L31)</f>
        <v>0</v>
      </c>
      <c r="O31" s="35" t="str">
        <f>IF(OR(ISBLANK(P31),P31=0),"",Settings!$B$14)</f>
        <v/>
      </c>
      <c r="P31" s="30">
        <f>IF(ISBLANK(Inventory!A31),0,H31*Inventory!L31)</f>
        <v>0</v>
      </c>
    </row>
    <row r="32" spans="1:16" s="29" customFormat="1" ht="15" customHeight="1">
      <c r="A32" s="31" t="str">
        <f>IF(ISBLANK(Inventory!A32),"",Inventory!A32)</f>
        <v>Bacardi</v>
      </c>
      <c r="B32" s="31" t="str">
        <f>IF(ISBLANK(Inventory!A32),"",Inventory!C32)</f>
        <v>1.5Ltr</v>
      </c>
      <c r="C32" s="187"/>
      <c r="D32" s="192"/>
      <c r="E32" s="187"/>
      <c r="F32" s="187"/>
      <c r="G32" s="187"/>
      <c r="H32" s="37">
        <f>IF(ISBLANK(Inventory!A32),0,C32+SUM('Week 2'!E32:G32)-SUM(E32:G32))</f>
        <v>0</v>
      </c>
      <c r="I32" s="35" t="str">
        <f>IF(OR(ISBLANK(J32),J32=0),"",Settings!$B$14)</f>
        <v/>
      </c>
      <c r="J32" s="30">
        <f>IF(ISBLANK(C32),0,C32*Inventory!F32)</f>
        <v>0</v>
      </c>
      <c r="K32" s="35" t="str">
        <f>IF(OR(ISBLANK(L32),L32=0),"",Settings!$B$14)</f>
        <v/>
      </c>
      <c r="L32" s="30">
        <f>IF(ISBLANK(Inventory!A32),0,SUM(E32:G32)*Inventory!F32)</f>
        <v>0</v>
      </c>
      <c r="M32" s="35" t="str">
        <f>IF(OR(ISBLANK(N32),N32=0),"",Settings!$B$14)</f>
        <v/>
      </c>
      <c r="N32" s="30">
        <f>IF(ISBLANK(Inventory!A32),0,SUM(E32:G32)*Inventory!L32)</f>
        <v>0</v>
      </c>
      <c r="O32" s="35" t="str">
        <f>IF(OR(ISBLANK(P32),P32=0),"",Settings!$B$14)</f>
        <v/>
      </c>
      <c r="P32" s="30">
        <f>IF(ISBLANK(Inventory!A32),0,H32*Inventory!L32)</f>
        <v>0</v>
      </c>
    </row>
    <row r="33" spans="1:16" s="29" customFormat="1" ht="15" customHeight="1">
      <c r="A33" s="31" t="str">
        <f>IF(ISBLANK(Inventory!A33),"",Inventory!A33)</f>
        <v>Martell ***</v>
      </c>
      <c r="B33" s="31" t="str">
        <f>IF(ISBLANK(Inventory!A33),"",Inventory!C33)</f>
        <v>70cl</v>
      </c>
      <c r="C33" s="187"/>
      <c r="D33" s="192"/>
      <c r="E33" s="187"/>
      <c r="F33" s="187"/>
      <c r="G33" s="187"/>
      <c r="H33" s="37">
        <f>IF(ISBLANK(Inventory!A33),0,C33+SUM('Week 2'!E33:G33)-SUM(E33:G33))</f>
        <v>0</v>
      </c>
      <c r="I33" s="35" t="str">
        <f>IF(OR(ISBLANK(J33),J33=0),"",Settings!$B$14)</f>
        <v/>
      </c>
      <c r="J33" s="30">
        <f>IF(ISBLANK(C33),0,C33*Inventory!F33)</f>
        <v>0</v>
      </c>
      <c r="K33" s="35" t="str">
        <f>IF(OR(ISBLANK(L33),L33=0),"",Settings!$B$14)</f>
        <v/>
      </c>
      <c r="L33" s="30">
        <f>IF(ISBLANK(Inventory!A33),0,SUM(E33:G33)*Inventory!F33)</f>
        <v>0</v>
      </c>
      <c r="M33" s="35" t="str">
        <f>IF(OR(ISBLANK(N33),N33=0),"",Settings!$B$14)</f>
        <v/>
      </c>
      <c r="N33" s="30">
        <f>IF(ISBLANK(Inventory!A33),0,SUM(E33:G33)*Inventory!L33)</f>
        <v>0</v>
      </c>
      <c r="O33" s="35" t="str">
        <f>IF(OR(ISBLANK(P33),P33=0),"",Settings!$B$14)</f>
        <v/>
      </c>
      <c r="P33" s="30">
        <f>IF(ISBLANK(Inventory!A33),0,H33*Inventory!L33)</f>
        <v>0</v>
      </c>
    </row>
    <row r="34" spans="1:16" s="29" customFormat="1" ht="15" customHeight="1">
      <c r="A34" s="31" t="str">
        <f>IF(ISBLANK(Inventory!A34),"",Inventory!A34)</f>
        <v>Martell ***</v>
      </c>
      <c r="B34" s="31" t="str">
        <f>IF(ISBLANK(Inventory!A34),"",Inventory!C34)</f>
        <v>1.5Ltr</v>
      </c>
      <c r="C34" s="187"/>
      <c r="D34" s="192"/>
      <c r="E34" s="187"/>
      <c r="F34" s="187"/>
      <c r="G34" s="187"/>
      <c r="H34" s="37">
        <f>IF(ISBLANK(Inventory!A34),0,C34+SUM('Week 2'!E34:G34)-SUM(E34:G34))</f>
        <v>0</v>
      </c>
      <c r="I34" s="35" t="str">
        <f>IF(OR(ISBLANK(J34),J34=0),"",Settings!$B$14)</f>
        <v/>
      </c>
      <c r="J34" s="30">
        <f>IF(ISBLANK(C34),0,C34*Inventory!F34)</f>
        <v>0</v>
      </c>
      <c r="K34" s="35" t="str">
        <f>IF(OR(ISBLANK(L34),L34=0),"",Settings!$B$14)</f>
        <v/>
      </c>
      <c r="L34" s="30">
        <f>IF(ISBLANK(Inventory!A34),0,SUM(E34:G34)*Inventory!F34)</f>
        <v>0</v>
      </c>
      <c r="M34" s="35" t="str">
        <f>IF(OR(ISBLANK(N34),N34=0),"",Settings!$B$14)</f>
        <v/>
      </c>
      <c r="N34" s="30">
        <f>IF(ISBLANK(Inventory!A34),0,SUM(E34:G34)*Inventory!L34)</f>
        <v>0</v>
      </c>
      <c r="O34" s="35" t="str">
        <f>IF(OR(ISBLANK(P34),P34=0),"",Settings!$B$14)</f>
        <v/>
      </c>
      <c r="P34" s="30">
        <f>IF(ISBLANK(Inventory!A34),0,H34*Inventory!L34)</f>
        <v>0</v>
      </c>
    </row>
    <row r="35" spans="1:16" s="29" customFormat="1" ht="15" customHeight="1">
      <c r="A35" s="31" t="str">
        <f>IF(ISBLANK(Inventory!A35),"",Inventory!A35)</f>
        <v>Remy Martin</v>
      </c>
      <c r="B35" s="31" t="str">
        <f>IF(ISBLANK(Inventory!A35),"",Inventory!C35)</f>
        <v>70cl</v>
      </c>
      <c r="C35" s="187"/>
      <c r="D35" s="192"/>
      <c r="E35" s="187"/>
      <c r="F35" s="187"/>
      <c r="G35" s="187"/>
      <c r="H35" s="37">
        <f>IF(ISBLANK(Inventory!A35),0,C35+SUM('Week 2'!E35:G35)-SUM(E35:G35))</f>
        <v>0</v>
      </c>
      <c r="I35" s="35" t="str">
        <f>IF(OR(ISBLANK(J35),J35=0),"",Settings!$B$14)</f>
        <v/>
      </c>
      <c r="J35" s="30">
        <f>IF(ISBLANK(C35),0,C35*Inventory!F35)</f>
        <v>0</v>
      </c>
      <c r="K35" s="35" t="str">
        <f>IF(OR(ISBLANK(L35),L35=0),"",Settings!$B$14)</f>
        <v/>
      </c>
      <c r="L35" s="30">
        <f>IF(ISBLANK(Inventory!A35),0,SUM(E35:G35)*Inventory!F35)</f>
        <v>0</v>
      </c>
      <c r="M35" s="35" t="str">
        <f>IF(OR(ISBLANK(N35),N35=0),"",Settings!$B$14)</f>
        <v/>
      </c>
      <c r="N35" s="30">
        <f>IF(ISBLANK(Inventory!A35),0,SUM(E35:G35)*Inventory!L35)</f>
        <v>0</v>
      </c>
      <c r="O35" s="35" t="str">
        <f>IF(OR(ISBLANK(P35),P35=0),"",Settings!$B$14)</f>
        <v/>
      </c>
      <c r="P35" s="30">
        <f>IF(ISBLANK(Inventory!A35),0,H35*Inventory!L35)</f>
        <v>0</v>
      </c>
    </row>
    <row r="36" spans="1:16" s="29" customFormat="1" ht="15" customHeight="1">
      <c r="A36" s="31" t="str">
        <f>IF(ISBLANK(Inventory!A36),"",Inventory!A36)</f>
        <v>Baileys</v>
      </c>
      <c r="B36" s="31" t="str">
        <f>IF(ISBLANK(Inventory!A36),"",Inventory!C36)</f>
        <v>70cl</v>
      </c>
      <c r="C36" s="187"/>
      <c r="D36" s="192"/>
      <c r="E36" s="187"/>
      <c r="F36" s="187"/>
      <c r="G36" s="187"/>
      <c r="H36" s="37">
        <f>IF(ISBLANK(Inventory!A36),0,C36+SUM('Week 2'!E36:G36)-SUM(E36:G36))</f>
        <v>0</v>
      </c>
      <c r="I36" s="35" t="str">
        <f>IF(OR(ISBLANK(J36),J36=0),"",Settings!$B$14)</f>
        <v/>
      </c>
      <c r="J36" s="30">
        <f>IF(ISBLANK(C36),0,C36*Inventory!F36)</f>
        <v>0</v>
      </c>
      <c r="K36" s="35" t="str">
        <f>IF(OR(ISBLANK(L36),L36=0),"",Settings!$B$14)</f>
        <v/>
      </c>
      <c r="L36" s="30">
        <f>IF(ISBLANK(Inventory!A36),0,SUM(E36:G36)*Inventory!F36)</f>
        <v>0</v>
      </c>
      <c r="M36" s="35" t="str">
        <f>IF(OR(ISBLANK(N36),N36=0),"",Settings!$B$14)</f>
        <v/>
      </c>
      <c r="N36" s="30">
        <f>IF(ISBLANK(Inventory!A36),0,SUM(E36:G36)*Inventory!L36)</f>
        <v>0</v>
      </c>
      <c r="O36" s="35" t="str">
        <f>IF(OR(ISBLANK(P36),P36=0),"",Settings!$B$14)</f>
        <v/>
      </c>
      <c r="P36" s="30">
        <f>IF(ISBLANK(Inventory!A36),0,H36*Inventory!L36)</f>
        <v>0</v>
      </c>
    </row>
    <row r="37" spans="1:16" s="29" customFormat="1" ht="15" customHeight="1">
      <c r="A37" s="31" t="str">
        <f>IF(ISBLANK(Inventory!A37),"",Inventory!A37)</f>
        <v>Baileys</v>
      </c>
      <c r="B37" s="31" t="str">
        <f>IF(ISBLANK(Inventory!A37),"",Inventory!C37)</f>
        <v>1.5Ltr</v>
      </c>
      <c r="C37" s="187"/>
      <c r="D37" s="192"/>
      <c r="E37" s="187"/>
      <c r="F37" s="187"/>
      <c r="G37" s="187"/>
      <c r="H37" s="37">
        <f>IF(ISBLANK(Inventory!A37),0,C37+SUM('Week 2'!E37:G37)-SUM(E37:G37))</f>
        <v>0</v>
      </c>
      <c r="I37" s="35" t="str">
        <f>IF(OR(ISBLANK(J37),J37=0),"",Settings!$B$14)</f>
        <v/>
      </c>
      <c r="J37" s="30">
        <f>IF(ISBLANK(C37),0,C37*Inventory!F37)</f>
        <v>0</v>
      </c>
      <c r="K37" s="35" t="str">
        <f>IF(OR(ISBLANK(L37),L37=0),"",Settings!$B$14)</f>
        <v/>
      </c>
      <c r="L37" s="30">
        <f>IF(ISBLANK(Inventory!A37),0,SUM(E37:G37)*Inventory!F37)</f>
        <v>0</v>
      </c>
      <c r="M37" s="35" t="str">
        <f>IF(OR(ISBLANK(N37),N37=0),"",Settings!$B$14)</f>
        <v/>
      </c>
      <c r="N37" s="30">
        <f>IF(ISBLANK(Inventory!A37),0,SUM(E37:G37)*Inventory!L37)</f>
        <v>0</v>
      </c>
      <c r="O37" s="35" t="str">
        <f>IF(OR(ISBLANK(P37),P37=0),"",Settings!$B$14)</f>
        <v/>
      </c>
      <c r="P37" s="30">
        <f>IF(ISBLANK(Inventory!A37),0,H37*Inventory!L37)</f>
        <v>0</v>
      </c>
    </row>
    <row r="38" spans="1:16" s="29" customFormat="1" ht="15" customHeight="1">
      <c r="A38" s="31" t="str">
        <f>IF(ISBLANK(Inventory!A38),"",Inventory!A38)</f>
        <v>Cointreau</v>
      </c>
      <c r="B38" s="31" t="str">
        <f>IF(ISBLANK(Inventory!A38),"",Inventory!C38)</f>
        <v>70cl</v>
      </c>
      <c r="C38" s="187"/>
      <c r="D38" s="192"/>
      <c r="E38" s="187"/>
      <c r="F38" s="187"/>
      <c r="G38" s="187"/>
      <c r="H38" s="37">
        <f>IF(ISBLANK(Inventory!A38),0,C38+SUM('Week 2'!E38:G38)-SUM(E38:G38))</f>
        <v>0</v>
      </c>
      <c r="I38" s="35" t="str">
        <f>IF(OR(ISBLANK(J38),J38=0),"",Settings!$B$14)</f>
        <v/>
      </c>
      <c r="J38" s="30">
        <f>IF(ISBLANK(C38),0,C38*Inventory!F38)</f>
        <v>0</v>
      </c>
      <c r="K38" s="35" t="str">
        <f>IF(OR(ISBLANK(L38),L38=0),"",Settings!$B$14)</f>
        <v/>
      </c>
      <c r="L38" s="30">
        <f>IF(ISBLANK(Inventory!A38),0,SUM(E38:G38)*Inventory!F38)</f>
        <v>0</v>
      </c>
      <c r="M38" s="35" t="str">
        <f>IF(OR(ISBLANK(N38),N38=0),"",Settings!$B$14)</f>
        <v/>
      </c>
      <c r="N38" s="30">
        <f>IF(ISBLANK(Inventory!A38),0,SUM(E38:G38)*Inventory!L38)</f>
        <v>0</v>
      </c>
      <c r="O38" s="35" t="str">
        <f>IF(OR(ISBLANK(P38),P38=0),"",Settings!$B$14)</f>
        <v/>
      </c>
      <c r="P38" s="30">
        <f>IF(ISBLANK(Inventory!A38),0,H38*Inventory!L38)</f>
        <v>0</v>
      </c>
    </row>
    <row r="39" spans="1:16" s="29" customFormat="1" ht="15" customHeight="1">
      <c r="A39" s="31" t="str">
        <f>IF(ISBLANK(Inventory!A39),"",Inventory!A39)</f>
        <v>Drambuie</v>
      </c>
      <c r="B39" s="31" t="str">
        <f>IF(ISBLANK(Inventory!A39),"",Inventory!C39)</f>
        <v>70cl</v>
      </c>
      <c r="C39" s="187"/>
      <c r="D39" s="192"/>
      <c r="E39" s="187"/>
      <c r="F39" s="187"/>
      <c r="G39" s="187"/>
      <c r="H39" s="37">
        <f>IF(ISBLANK(Inventory!A39),0,C39+SUM('Week 2'!E39:G39)-SUM(E39:G39))</f>
        <v>0</v>
      </c>
      <c r="I39" s="35" t="str">
        <f>IF(OR(ISBLANK(J39),J39=0),"",Settings!$B$14)</f>
        <v/>
      </c>
      <c r="J39" s="30">
        <f>IF(ISBLANK(C39),0,C39*Inventory!F39)</f>
        <v>0</v>
      </c>
      <c r="K39" s="35" t="str">
        <f>IF(OR(ISBLANK(L39),L39=0),"",Settings!$B$14)</f>
        <v/>
      </c>
      <c r="L39" s="30">
        <f>IF(ISBLANK(Inventory!A39),0,SUM(E39:G39)*Inventory!F39)</f>
        <v>0</v>
      </c>
      <c r="M39" s="35" t="str">
        <f>IF(OR(ISBLANK(N39),N39=0),"",Settings!$B$14)</f>
        <v/>
      </c>
      <c r="N39" s="30">
        <f>IF(ISBLANK(Inventory!A39),0,SUM(E39:G39)*Inventory!L39)</f>
        <v>0</v>
      </c>
      <c r="O39" s="35" t="str">
        <f>IF(OR(ISBLANK(P39),P39=0),"",Settings!$B$14)</f>
        <v/>
      </c>
      <c r="P39" s="30">
        <f>IF(ISBLANK(Inventory!A39),0,H39*Inventory!L39)</f>
        <v>0</v>
      </c>
    </row>
    <row r="40" spans="1:16" s="29" customFormat="1" ht="15" customHeight="1">
      <c r="A40" s="31" t="str">
        <f>IF(ISBLANK(Inventory!A40),"",Inventory!A40)</f>
        <v>Malibu</v>
      </c>
      <c r="B40" s="31" t="str">
        <f>IF(ISBLANK(Inventory!A40),"",Inventory!C40)</f>
        <v>70cl</v>
      </c>
      <c r="C40" s="187"/>
      <c r="D40" s="192"/>
      <c r="E40" s="187"/>
      <c r="F40" s="187"/>
      <c r="G40" s="187"/>
      <c r="H40" s="37">
        <f>IF(ISBLANK(Inventory!A40),0,C40+SUM('Week 2'!E40:G40)-SUM(E40:G40))</f>
        <v>0</v>
      </c>
      <c r="I40" s="35" t="str">
        <f>IF(OR(ISBLANK(J40),J40=0),"",Settings!$B$14)</f>
        <v/>
      </c>
      <c r="J40" s="30">
        <f>IF(ISBLANK(C40),0,C40*Inventory!F40)</f>
        <v>0</v>
      </c>
      <c r="K40" s="35" t="str">
        <f>IF(OR(ISBLANK(L40),L40=0),"",Settings!$B$14)</f>
        <v/>
      </c>
      <c r="L40" s="30">
        <f>IF(ISBLANK(Inventory!A40),0,SUM(E40:G40)*Inventory!F40)</f>
        <v>0</v>
      </c>
      <c r="M40" s="35" t="str">
        <f>IF(OR(ISBLANK(N40),N40=0),"",Settings!$B$14)</f>
        <v/>
      </c>
      <c r="N40" s="30">
        <f>IF(ISBLANK(Inventory!A40),0,SUM(E40:G40)*Inventory!L40)</f>
        <v>0</v>
      </c>
      <c r="O40" s="35" t="str">
        <f>IF(OR(ISBLANK(P40),P40=0),"",Settings!$B$14)</f>
        <v/>
      </c>
      <c r="P40" s="30">
        <f>IF(ISBLANK(Inventory!A40),0,H40*Inventory!L40)</f>
        <v>0</v>
      </c>
    </row>
    <row r="41" spans="1:16" s="29" customFormat="1" ht="15" customHeight="1">
      <c r="A41" s="31" t="str">
        <f>IF(ISBLANK(Inventory!A41),"",Inventory!A41)</f>
        <v>Malibu</v>
      </c>
      <c r="B41" s="31" t="str">
        <f>IF(ISBLANK(Inventory!A41),"",Inventory!C41)</f>
        <v>1.5Ltr</v>
      </c>
      <c r="C41" s="187"/>
      <c r="D41" s="192"/>
      <c r="E41" s="187"/>
      <c r="F41" s="187"/>
      <c r="G41" s="187"/>
      <c r="H41" s="37">
        <f>IF(ISBLANK(Inventory!A41),0,C41+SUM('Week 2'!E41:G41)-SUM(E41:G41))</f>
        <v>0</v>
      </c>
      <c r="I41" s="35" t="str">
        <f>IF(OR(ISBLANK(J41),J41=0),"",Settings!$B$14)</f>
        <v/>
      </c>
      <c r="J41" s="30">
        <f>IF(ISBLANK(C41),0,C41*Inventory!F41)</f>
        <v>0</v>
      </c>
      <c r="K41" s="35" t="str">
        <f>IF(OR(ISBLANK(L41),L41=0),"",Settings!$B$14)</f>
        <v/>
      </c>
      <c r="L41" s="30">
        <f>IF(ISBLANK(Inventory!A41),0,SUM(E41:G41)*Inventory!F41)</f>
        <v>0</v>
      </c>
      <c r="M41" s="35" t="str">
        <f>IF(OR(ISBLANK(N41),N41=0),"",Settings!$B$14)</f>
        <v/>
      </c>
      <c r="N41" s="30">
        <f>IF(ISBLANK(Inventory!A41),0,SUM(E41:G41)*Inventory!L41)</f>
        <v>0</v>
      </c>
      <c r="O41" s="35" t="str">
        <f>IF(OR(ISBLANK(P41),P41=0),"",Settings!$B$14)</f>
        <v/>
      </c>
      <c r="P41" s="30">
        <f>IF(ISBLANK(Inventory!A41),0,H41*Inventory!L41)</f>
        <v>0</v>
      </c>
    </row>
    <row r="42" spans="1:16" s="29" customFormat="1" ht="15" customHeight="1">
      <c r="A42" s="31" t="str">
        <f>IF(ISBLANK(Inventory!A42),"",Inventory!A42)</f>
        <v>Archers</v>
      </c>
      <c r="B42" s="31" t="str">
        <f>IF(ISBLANK(Inventory!A42),"",Inventory!C42)</f>
        <v>70cl</v>
      </c>
      <c r="C42" s="187"/>
      <c r="D42" s="192"/>
      <c r="E42" s="187"/>
      <c r="F42" s="187"/>
      <c r="G42" s="187"/>
      <c r="H42" s="37">
        <f>IF(ISBLANK(Inventory!A42),0,C42+SUM('Week 2'!E42:G42)-SUM(E42:G42))</f>
        <v>0</v>
      </c>
      <c r="I42" s="35" t="str">
        <f>IF(OR(ISBLANK(J42),J42=0),"",Settings!$B$14)</f>
        <v/>
      </c>
      <c r="J42" s="30">
        <f>IF(ISBLANK(C42),0,C42*Inventory!F42)</f>
        <v>0</v>
      </c>
      <c r="K42" s="35" t="str">
        <f>IF(OR(ISBLANK(L42),L42=0),"",Settings!$B$14)</f>
        <v/>
      </c>
      <c r="L42" s="30">
        <f>IF(ISBLANK(Inventory!A42),0,SUM(E42:G42)*Inventory!F42)</f>
        <v>0</v>
      </c>
      <c r="M42" s="35" t="str">
        <f>IF(OR(ISBLANK(N42),N42=0),"",Settings!$B$14)</f>
        <v/>
      </c>
      <c r="N42" s="30">
        <f>IF(ISBLANK(Inventory!A42),0,SUM(E42:G42)*Inventory!L42)</f>
        <v>0</v>
      </c>
      <c r="O42" s="35" t="str">
        <f>IF(OR(ISBLANK(P42),P42=0),"",Settings!$B$14)</f>
        <v/>
      </c>
      <c r="P42" s="30">
        <f>IF(ISBLANK(Inventory!A42),0,H42*Inventory!L42)</f>
        <v>0</v>
      </c>
    </row>
    <row r="43" spans="1:16" s="29" customFormat="1" ht="15" customHeight="1">
      <c r="A43" s="31" t="str">
        <f>IF(ISBLANK(Inventory!A43),"",Inventory!A43)</f>
        <v>Archers</v>
      </c>
      <c r="B43" s="31" t="str">
        <f>IF(ISBLANK(Inventory!A43),"",Inventory!C43)</f>
        <v>70cl</v>
      </c>
      <c r="C43" s="187"/>
      <c r="D43" s="192"/>
      <c r="E43" s="187"/>
      <c r="F43" s="187"/>
      <c r="G43" s="187"/>
      <c r="H43" s="37">
        <f>IF(ISBLANK(Inventory!A43),0,C43+SUM('Week 2'!E43:G43)-SUM(E43:G43))</f>
        <v>0</v>
      </c>
      <c r="I43" s="35" t="str">
        <f>IF(OR(ISBLANK(J43),J43=0),"",Settings!$B$14)</f>
        <v/>
      </c>
      <c r="J43" s="30">
        <f>IF(ISBLANK(C43),0,C43*Inventory!F43)</f>
        <v>0</v>
      </c>
      <c r="K43" s="35" t="str">
        <f>IF(OR(ISBLANK(L43),L43=0),"",Settings!$B$14)</f>
        <v/>
      </c>
      <c r="L43" s="30">
        <f>IF(ISBLANK(Inventory!A43),0,SUM(E43:G43)*Inventory!F43)</f>
        <v>0</v>
      </c>
      <c r="M43" s="35" t="str">
        <f>IF(OR(ISBLANK(N43),N43=0),"",Settings!$B$14)</f>
        <v/>
      </c>
      <c r="N43" s="30">
        <f>IF(ISBLANK(Inventory!A43),0,SUM(E43:G43)*Inventory!L43)</f>
        <v>0</v>
      </c>
      <c r="O43" s="35" t="str">
        <f>IF(OR(ISBLANK(P43),P43=0),"",Settings!$B$14)</f>
        <v/>
      </c>
      <c r="P43" s="30">
        <f>IF(ISBLANK(Inventory!A43),0,H43*Inventory!L43)</f>
        <v>0</v>
      </c>
    </row>
    <row r="44" spans="1:16" s="29" customFormat="1" ht="15" customHeight="1">
      <c r="A44" s="31" t="str">
        <f>IF(ISBLANK(Inventory!A44),"",Inventory!A44)</f>
        <v>Tequila</v>
      </c>
      <c r="B44" s="31" t="str">
        <f>IF(ISBLANK(Inventory!A44),"",Inventory!C44)</f>
        <v>70cl</v>
      </c>
      <c r="C44" s="187"/>
      <c r="D44" s="192"/>
      <c r="E44" s="187"/>
      <c r="F44" s="187"/>
      <c r="G44" s="187"/>
      <c r="H44" s="37">
        <f>IF(ISBLANK(Inventory!A44),0,C44+SUM('Week 2'!E44:G44)-SUM(E44:G44))</f>
        <v>0</v>
      </c>
      <c r="I44" s="35" t="str">
        <f>IF(OR(ISBLANK(J44),J44=0),"",Settings!$B$14)</f>
        <v/>
      </c>
      <c r="J44" s="30">
        <f>IF(ISBLANK(C44),0,C44*Inventory!F44)</f>
        <v>0</v>
      </c>
      <c r="K44" s="35" t="str">
        <f>IF(OR(ISBLANK(L44),L44=0),"",Settings!$B$14)</f>
        <v/>
      </c>
      <c r="L44" s="30">
        <f>IF(ISBLANK(Inventory!A44),0,SUM(E44:G44)*Inventory!F44)</f>
        <v>0</v>
      </c>
      <c r="M44" s="35" t="str">
        <f>IF(OR(ISBLANK(N44),N44=0),"",Settings!$B$14)</f>
        <v/>
      </c>
      <c r="N44" s="30">
        <f>IF(ISBLANK(Inventory!A44),0,SUM(E44:G44)*Inventory!L44)</f>
        <v>0</v>
      </c>
      <c r="O44" s="35" t="str">
        <f>IF(OR(ISBLANK(P44),P44=0),"",Settings!$B$14)</f>
        <v/>
      </c>
      <c r="P44" s="30">
        <f>IF(ISBLANK(Inventory!A44),0,H44*Inventory!L44)</f>
        <v>0</v>
      </c>
    </row>
    <row r="45" spans="1:16" s="29" customFormat="1" ht="15" customHeight="1">
      <c r="A45" s="31" t="str">
        <f>IF(ISBLANK(Inventory!A45),"",Inventory!A45)</f>
        <v>Luxardo Sambuca</v>
      </c>
      <c r="B45" s="31" t="str">
        <f>IF(ISBLANK(Inventory!A45),"",Inventory!C45)</f>
        <v>70cl</v>
      </c>
      <c r="C45" s="187"/>
      <c r="D45" s="192"/>
      <c r="E45" s="187"/>
      <c r="F45" s="187"/>
      <c r="G45" s="187"/>
      <c r="H45" s="37">
        <f>IF(ISBLANK(Inventory!A45),0,C45+SUM('Week 2'!E45:G45)-SUM(E45:G45))</f>
        <v>0</v>
      </c>
      <c r="I45" s="35" t="str">
        <f>IF(OR(ISBLANK(J45),J45=0),"",Settings!$B$14)</f>
        <v/>
      </c>
      <c r="J45" s="30">
        <f>IF(ISBLANK(C45),0,C45*Inventory!F45)</f>
        <v>0</v>
      </c>
      <c r="K45" s="35" t="str">
        <f>IF(OR(ISBLANK(L45),L45=0),"",Settings!$B$14)</f>
        <v/>
      </c>
      <c r="L45" s="30">
        <f>IF(ISBLANK(Inventory!A45),0,SUM(E45:G45)*Inventory!F45)</f>
        <v>0</v>
      </c>
      <c r="M45" s="35" t="str">
        <f>IF(OR(ISBLANK(N45),N45=0),"",Settings!$B$14)</f>
        <v/>
      </c>
      <c r="N45" s="30">
        <f>IF(ISBLANK(Inventory!A45),0,SUM(E45:G45)*Inventory!L45)</f>
        <v>0</v>
      </c>
      <c r="O45" s="35" t="str">
        <f>IF(OR(ISBLANK(P45),P45=0),"",Settings!$B$14)</f>
        <v/>
      </c>
      <c r="P45" s="30">
        <f>IF(ISBLANK(Inventory!A45),0,H45*Inventory!L45)</f>
        <v>0</v>
      </c>
    </row>
    <row r="46" spans="1:16" s="29" customFormat="1" ht="15" customHeight="1">
      <c r="A46" s="31" t="str">
        <f>IF(ISBLANK(Inventory!A46),"",Inventory!A46)</f>
        <v>Tia Maria</v>
      </c>
      <c r="B46" s="31" t="str">
        <f>IF(ISBLANK(Inventory!A46),"",Inventory!C46)</f>
        <v>70cl</v>
      </c>
      <c r="C46" s="187"/>
      <c r="D46" s="192"/>
      <c r="E46" s="187"/>
      <c r="F46" s="187"/>
      <c r="G46" s="187"/>
      <c r="H46" s="37">
        <f>IF(ISBLANK(Inventory!A46),0,C46+SUM('Week 2'!E46:G46)-SUM(E46:G46))</f>
        <v>0</v>
      </c>
      <c r="I46" s="35" t="str">
        <f>IF(OR(ISBLANK(J46),J46=0),"",Settings!$B$14)</f>
        <v/>
      </c>
      <c r="J46" s="30">
        <f>IF(ISBLANK(C46),0,C46*Inventory!F46)</f>
        <v>0</v>
      </c>
      <c r="K46" s="35" t="str">
        <f>IF(OR(ISBLANK(L46),L46=0),"",Settings!$B$14)</f>
        <v/>
      </c>
      <c r="L46" s="30">
        <f>IF(ISBLANK(Inventory!A46),0,SUM(E46:G46)*Inventory!F46)</f>
        <v>0</v>
      </c>
      <c r="M46" s="35" t="str">
        <f>IF(OR(ISBLANK(N46),N46=0),"",Settings!$B$14)</f>
        <v/>
      </c>
      <c r="N46" s="30">
        <f>IF(ISBLANK(Inventory!A46),0,SUM(E46:G46)*Inventory!L46)</f>
        <v>0</v>
      </c>
      <c r="O46" s="35" t="str">
        <f>IF(OR(ISBLANK(P46),P46=0),"",Settings!$B$14)</f>
        <v/>
      </c>
      <c r="P46" s="30">
        <f>IF(ISBLANK(Inventory!A46),0,H46*Inventory!L46)</f>
        <v>0</v>
      </c>
    </row>
    <row r="47" spans="1:16" s="29" customFormat="1" ht="15" customHeight="1">
      <c r="A47" s="31" t="str">
        <f>IF(ISBLANK(Inventory!A47),"",Inventory!A47)</f>
        <v>Tia Maria</v>
      </c>
      <c r="B47" s="31" t="str">
        <f>IF(ISBLANK(Inventory!A47),"",Inventory!C47)</f>
        <v>1.5ltr</v>
      </c>
      <c r="C47" s="187"/>
      <c r="D47" s="192"/>
      <c r="E47" s="187"/>
      <c r="F47" s="187"/>
      <c r="G47" s="187"/>
      <c r="H47" s="37">
        <f>IF(ISBLANK(Inventory!A47),0,C47+SUM('Week 2'!E47:G47)-SUM(E47:G47))</f>
        <v>0</v>
      </c>
      <c r="I47" s="35" t="str">
        <f>IF(OR(ISBLANK(J47),J47=0),"",Settings!$B$14)</f>
        <v/>
      </c>
      <c r="J47" s="30">
        <f>IF(ISBLANK(C47),0,C47*Inventory!F47)</f>
        <v>0</v>
      </c>
      <c r="K47" s="35" t="str">
        <f>IF(OR(ISBLANK(L47),L47=0),"",Settings!$B$14)</f>
        <v/>
      </c>
      <c r="L47" s="30">
        <f>IF(ISBLANK(Inventory!A47),0,SUM(E47:G47)*Inventory!F47)</f>
        <v>0</v>
      </c>
      <c r="M47" s="35" t="str">
        <f>IF(OR(ISBLANK(N47),N47=0),"",Settings!$B$14)</f>
        <v/>
      </c>
      <c r="N47" s="30">
        <f>IF(ISBLANK(Inventory!A47),0,SUM(E47:G47)*Inventory!L47)</f>
        <v>0</v>
      </c>
      <c r="O47" s="35" t="str">
        <f>IF(OR(ISBLANK(P47),P47=0),"",Settings!$B$14)</f>
        <v/>
      </c>
      <c r="P47" s="30">
        <f>IF(ISBLANK(Inventory!A47),0,H47*Inventory!L47)</f>
        <v>0</v>
      </c>
    </row>
    <row r="48" spans="1:16" s="29" customFormat="1" ht="15" customHeight="1">
      <c r="A48" s="31" t="str">
        <f>IF(ISBLANK(Inventory!A48),"",Inventory!A48)</f>
        <v/>
      </c>
      <c r="B48" s="31" t="str">
        <f>IF(ISBLANK(Inventory!A48),"",Inventory!C48)</f>
        <v/>
      </c>
      <c r="C48" s="187"/>
      <c r="D48" s="192"/>
      <c r="E48" s="187"/>
      <c r="F48" s="187"/>
      <c r="G48" s="187"/>
      <c r="H48" s="37">
        <f>IF(ISBLANK(Inventory!A48),0,C48+SUM('Week 2'!E48:G48)-SUM(E48:G48))</f>
        <v>0</v>
      </c>
      <c r="I48" s="35" t="str">
        <f>IF(OR(ISBLANK(J48),J48=0),"",Settings!$B$14)</f>
        <v/>
      </c>
      <c r="J48" s="30">
        <f>IF(ISBLANK(C48),0,C48*Inventory!F48)</f>
        <v>0</v>
      </c>
      <c r="K48" s="35" t="str">
        <f>IF(OR(ISBLANK(L48),L48=0),"",Settings!$B$14)</f>
        <v/>
      </c>
      <c r="L48" s="30">
        <f>IF(ISBLANK(Inventory!A48),0,SUM(E48:G48)*Inventory!F48)</f>
        <v>0</v>
      </c>
      <c r="M48" s="35" t="str">
        <f>IF(OR(ISBLANK(N48),N48=0),"",Settings!$B$14)</f>
        <v/>
      </c>
      <c r="N48" s="30">
        <f>IF(ISBLANK(Inventory!A48),0,SUM(E48:G48)*Inventory!L48)</f>
        <v>0</v>
      </c>
      <c r="O48" s="35" t="str">
        <f>IF(OR(ISBLANK(P48),P48=0),"",Settings!$B$14)</f>
        <v/>
      </c>
      <c r="P48" s="30">
        <f>IF(ISBLANK(Inventory!A48),0,H48*Inventory!L48)</f>
        <v>0</v>
      </c>
    </row>
    <row r="49" spans="1:16" s="29" customFormat="1" ht="15" customHeight="1">
      <c r="A49" s="31" t="str">
        <f>IF(ISBLANK(Inventory!A49),"",Inventory!A49)</f>
        <v/>
      </c>
      <c r="B49" s="31" t="str">
        <f>IF(ISBLANK(Inventory!A49),"",Inventory!C49)</f>
        <v/>
      </c>
      <c r="C49" s="187"/>
      <c r="D49" s="192"/>
      <c r="E49" s="187"/>
      <c r="F49" s="187"/>
      <c r="G49" s="187"/>
      <c r="H49" s="37">
        <f>IF(ISBLANK(Inventory!A49),0,C49+SUM('Week 2'!E49:G49)-SUM(E49:G49))</f>
        <v>0</v>
      </c>
      <c r="I49" s="35" t="str">
        <f>IF(OR(ISBLANK(J49),J49=0),"",Settings!$B$14)</f>
        <v/>
      </c>
      <c r="J49" s="30">
        <f>IF(ISBLANK(C49),0,C49*Inventory!F49)</f>
        <v>0</v>
      </c>
      <c r="K49" s="35" t="str">
        <f>IF(OR(ISBLANK(L49),L49=0),"",Settings!$B$14)</f>
        <v/>
      </c>
      <c r="L49" s="30">
        <f>IF(ISBLANK(Inventory!A49),0,SUM(E49:G49)*Inventory!F49)</f>
        <v>0</v>
      </c>
      <c r="M49" s="35" t="str">
        <f>IF(OR(ISBLANK(N49),N49=0),"",Settings!$B$14)</f>
        <v/>
      </c>
      <c r="N49" s="30">
        <f>IF(ISBLANK(Inventory!A49),0,SUM(E49:G49)*Inventory!L49)</f>
        <v>0</v>
      </c>
      <c r="O49" s="35" t="str">
        <f>IF(OR(ISBLANK(P49),P49=0),"",Settings!$B$14)</f>
        <v/>
      </c>
      <c r="P49" s="30">
        <f>IF(ISBLANK(Inventory!A49),0,H49*Inventory!L49)</f>
        <v>0</v>
      </c>
    </row>
    <row r="50" spans="1:16" s="29" customFormat="1" ht="15" customHeight="1">
      <c r="A50" s="31" t="str">
        <f>IF(ISBLANK(Inventory!A50),"",Inventory!A50)</f>
        <v/>
      </c>
      <c r="B50" s="31" t="str">
        <f>IF(ISBLANK(Inventory!A50),"",Inventory!C50)</f>
        <v/>
      </c>
      <c r="C50" s="187"/>
      <c r="D50" s="192"/>
      <c r="E50" s="187"/>
      <c r="F50" s="187"/>
      <c r="G50" s="187"/>
      <c r="H50" s="37">
        <f>IF(ISBLANK(Inventory!A50),0,C50+SUM('Week 2'!E50:G50)-SUM(E50:G50))</f>
        <v>0</v>
      </c>
      <c r="I50" s="35" t="str">
        <f>IF(OR(ISBLANK(J50),J50=0),"",Settings!$B$14)</f>
        <v/>
      </c>
      <c r="J50" s="30">
        <f>IF(ISBLANK(C50),0,C50*Inventory!F50)</f>
        <v>0</v>
      </c>
      <c r="K50" s="35" t="str">
        <f>IF(OR(ISBLANK(L50),L50=0),"",Settings!$B$14)</f>
        <v/>
      </c>
      <c r="L50" s="30">
        <f>IF(ISBLANK(Inventory!A50),0,SUM(E50:G50)*Inventory!F50)</f>
        <v>0</v>
      </c>
      <c r="M50" s="35" t="str">
        <f>IF(OR(ISBLANK(N50),N50=0),"",Settings!$B$14)</f>
        <v/>
      </c>
      <c r="N50" s="30">
        <f>IF(ISBLANK(Inventory!A50),0,SUM(E50:G50)*Inventory!L50)</f>
        <v>0</v>
      </c>
      <c r="O50" s="35" t="str">
        <f>IF(OR(ISBLANK(P50),P50=0),"",Settings!$B$14)</f>
        <v/>
      </c>
      <c r="P50" s="30">
        <f>IF(ISBLANK(Inventory!A50),0,H50*Inventory!L50)</f>
        <v>0</v>
      </c>
    </row>
    <row r="51" spans="1:16" s="29" customFormat="1" ht="15" customHeight="1">
      <c r="A51" s="31" t="str">
        <f>IF(ISBLANK(Inventory!A51),"",Inventory!A51)</f>
        <v/>
      </c>
      <c r="B51" s="31" t="str">
        <f>IF(ISBLANK(Inventory!A51),"",Inventory!C51)</f>
        <v/>
      </c>
      <c r="C51" s="187"/>
      <c r="D51" s="192"/>
      <c r="E51" s="187"/>
      <c r="F51" s="187"/>
      <c r="G51" s="187"/>
      <c r="H51" s="37">
        <f>IF(ISBLANK(Inventory!A51),0,C51+SUM('Week 2'!E51:G51)-SUM(E51:G51))</f>
        <v>0</v>
      </c>
      <c r="I51" s="35" t="str">
        <f>IF(OR(ISBLANK(J51),J51=0),"",Settings!$B$14)</f>
        <v/>
      </c>
      <c r="J51" s="30">
        <f>IF(ISBLANK(C51),0,C51*Inventory!F51)</f>
        <v>0</v>
      </c>
      <c r="K51" s="35" t="str">
        <f>IF(OR(ISBLANK(L51),L51=0),"",Settings!$B$14)</f>
        <v/>
      </c>
      <c r="L51" s="30">
        <f>IF(ISBLANK(Inventory!A51),0,SUM(E51:G51)*Inventory!F51)</f>
        <v>0</v>
      </c>
      <c r="M51" s="35" t="str">
        <f>IF(OR(ISBLANK(N51),N51=0),"",Settings!$B$14)</f>
        <v/>
      </c>
      <c r="N51" s="30">
        <f>IF(ISBLANK(Inventory!A51),0,SUM(E51:G51)*Inventory!L51)</f>
        <v>0</v>
      </c>
      <c r="O51" s="35" t="str">
        <f>IF(OR(ISBLANK(P51),P51=0),"",Settings!$B$14)</f>
        <v/>
      </c>
      <c r="P51" s="30">
        <f>IF(ISBLANK(Inventory!A51),0,H51*Inventory!L51)</f>
        <v>0</v>
      </c>
    </row>
    <row r="52" spans="1:16" s="29" customFormat="1" ht="15" customHeight="1">
      <c r="A52" s="31" t="str">
        <f>IF(ISBLANK(Inventory!A52),"",Inventory!A52)</f>
        <v/>
      </c>
      <c r="B52" s="31" t="str">
        <f>IF(ISBLANK(Inventory!A52),"",Inventory!C52)</f>
        <v/>
      </c>
      <c r="C52" s="187"/>
      <c r="D52" s="192"/>
      <c r="E52" s="187"/>
      <c r="F52" s="187"/>
      <c r="G52" s="187"/>
      <c r="H52" s="37">
        <f>IF(ISBLANK(Inventory!A52),0,C52+SUM('Week 2'!E52:G52)-SUM(E52:G52))</f>
        <v>0</v>
      </c>
      <c r="I52" s="35" t="str">
        <f>IF(OR(ISBLANK(J52),J52=0),"",Settings!$B$14)</f>
        <v/>
      </c>
      <c r="J52" s="30">
        <f>IF(ISBLANK(C52),0,C52*Inventory!F52)</f>
        <v>0</v>
      </c>
      <c r="K52" s="35" t="str">
        <f>IF(OR(ISBLANK(L52),L52=0),"",Settings!$B$14)</f>
        <v/>
      </c>
      <c r="L52" s="30">
        <f>IF(ISBLANK(Inventory!A52),0,SUM(E52:G52)*Inventory!F52)</f>
        <v>0</v>
      </c>
      <c r="M52" s="35" t="str">
        <f>IF(OR(ISBLANK(N52),N52=0),"",Settings!$B$14)</f>
        <v/>
      </c>
      <c r="N52" s="30">
        <f>IF(ISBLANK(Inventory!A52),0,SUM(E52:G52)*Inventory!L52)</f>
        <v>0</v>
      </c>
      <c r="O52" s="35" t="str">
        <f>IF(OR(ISBLANK(P52),P52=0),"",Settings!$B$14)</f>
        <v/>
      </c>
      <c r="P52" s="30">
        <f>IF(ISBLANK(Inventory!A52),0,H52*Inventory!L52)</f>
        <v>0</v>
      </c>
    </row>
    <row r="53" spans="1:16" s="29" customFormat="1" ht="15" customHeight="1">
      <c r="A53" s="31" t="str">
        <f>IF(ISBLANK(Inventory!A53),"",Inventory!A53)</f>
        <v/>
      </c>
      <c r="B53" s="31" t="str">
        <f>IF(ISBLANK(Inventory!A53),"",Inventory!C53)</f>
        <v/>
      </c>
      <c r="C53" s="187"/>
      <c r="D53" s="192"/>
      <c r="E53" s="187"/>
      <c r="F53" s="187"/>
      <c r="G53" s="187"/>
      <c r="H53" s="37">
        <f>IF(ISBLANK(Inventory!A53),0,C53+SUM('Week 2'!E53:G53)-SUM(E53:G53))</f>
        <v>0</v>
      </c>
      <c r="I53" s="35" t="str">
        <f>IF(OR(ISBLANK(J53),J53=0),"",Settings!$B$14)</f>
        <v/>
      </c>
      <c r="J53" s="30">
        <f>IF(ISBLANK(C53),0,C53*Inventory!F53)</f>
        <v>0</v>
      </c>
      <c r="K53" s="35" t="str">
        <f>IF(OR(ISBLANK(L53),L53=0),"",Settings!$B$14)</f>
        <v/>
      </c>
      <c r="L53" s="30">
        <f>IF(ISBLANK(Inventory!A53),0,SUM(E53:G53)*Inventory!F53)</f>
        <v>0</v>
      </c>
      <c r="M53" s="35" t="str">
        <f>IF(OR(ISBLANK(N53),N53=0),"",Settings!$B$14)</f>
        <v/>
      </c>
      <c r="N53" s="30">
        <f>IF(ISBLANK(Inventory!A53),0,SUM(E53:G53)*Inventory!L53)</f>
        <v>0</v>
      </c>
      <c r="O53" s="35" t="str">
        <f>IF(OR(ISBLANK(P53),P53=0),"",Settings!$B$14)</f>
        <v/>
      </c>
      <c r="P53" s="30">
        <f>IF(ISBLANK(Inventory!A53),0,H53*Inventory!L53)</f>
        <v>0</v>
      </c>
    </row>
    <row r="54" spans="1:16" s="29" customFormat="1" ht="15" customHeight="1">
      <c r="A54" s="31" t="str">
        <f>IF(ISBLANK(Inventory!A54),"",Inventory!A54)</f>
        <v/>
      </c>
      <c r="B54" s="31" t="str">
        <f>IF(ISBLANK(Inventory!A54),"",Inventory!C54)</f>
        <v/>
      </c>
      <c r="C54" s="187"/>
      <c r="D54" s="192"/>
      <c r="E54" s="187"/>
      <c r="F54" s="187"/>
      <c r="G54" s="187"/>
      <c r="H54" s="37">
        <f>IF(ISBLANK(Inventory!A54),0,C54+SUM('Week 2'!E54:G54)-SUM(E54:G54))</f>
        <v>0</v>
      </c>
      <c r="I54" s="35" t="str">
        <f>IF(OR(ISBLANK(J54),J54=0),"",Settings!$B$14)</f>
        <v/>
      </c>
      <c r="J54" s="30">
        <f>IF(ISBLANK(C54),0,C54*Inventory!F54)</f>
        <v>0</v>
      </c>
      <c r="K54" s="35" t="str">
        <f>IF(OR(ISBLANK(L54),L54=0),"",Settings!$B$14)</f>
        <v/>
      </c>
      <c r="L54" s="30">
        <f>IF(ISBLANK(Inventory!A54),0,SUM(E54:G54)*Inventory!F54)</f>
        <v>0</v>
      </c>
      <c r="M54" s="35" t="str">
        <f>IF(OR(ISBLANK(N54),N54=0),"",Settings!$B$14)</f>
        <v/>
      </c>
      <c r="N54" s="30">
        <f>IF(ISBLANK(Inventory!A54),0,SUM(E54:G54)*Inventory!L54)</f>
        <v>0</v>
      </c>
      <c r="O54" s="35" t="str">
        <f>IF(OR(ISBLANK(P54),P54=0),"",Settings!$B$14)</f>
        <v/>
      </c>
      <c r="P54" s="30">
        <f>IF(ISBLANK(Inventory!A54),0,H54*Inventory!L54)</f>
        <v>0</v>
      </c>
    </row>
    <row r="55" spans="1:16" s="29" customFormat="1" ht="15" customHeight="1">
      <c r="A55" s="31" t="str">
        <f>IF(ISBLANK(Inventory!A55),"",Inventory!A55)</f>
        <v/>
      </c>
      <c r="B55" s="31" t="str">
        <f>IF(ISBLANK(Inventory!A55),"",Inventory!C55)</f>
        <v/>
      </c>
      <c r="C55" s="187"/>
      <c r="D55" s="192"/>
      <c r="E55" s="187"/>
      <c r="F55" s="187"/>
      <c r="G55" s="187"/>
      <c r="H55" s="37">
        <f>IF(ISBLANK(Inventory!A55),0,C55+SUM('Week 2'!E55:G55)-SUM(E55:G55))</f>
        <v>0</v>
      </c>
      <c r="I55" s="35" t="str">
        <f>IF(OR(ISBLANK(J55),J55=0),"",Settings!$B$14)</f>
        <v/>
      </c>
      <c r="J55" s="30">
        <f>IF(ISBLANK(C55),0,C55*Inventory!F55)</f>
        <v>0</v>
      </c>
      <c r="K55" s="35" t="str">
        <f>IF(OR(ISBLANK(L55),L55=0),"",Settings!$B$14)</f>
        <v/>
      </c>
      <c r="L55" s="30">
        <f>IF(ISBLANK(Inventory!A55),0,SUM(E55:G55)*Inventory!F55)</f>
        <v>0</v>
      </c>
      <c r="M55" s="35" t="str">
        <f>IF(OR(ISBLANK(N55),N55=0),"",Settings!$B$14)</f>
        <v/>
      </c>
      <c r="N55" s="30">
        <f>IF(ISBLANK(Inventory!A55),0,SUM(E55:G55)*Inventory!L55)</f>
        <v>0</v>
      </c>
      <c r="O55" s="35" t="str">
        <f>IF(OR(ISBLANK(P55),P55=0),"",Settings!$B$14)</f>
        <v/>
      </c>
      <c r="P55" s="30">
        <f>IF(ISBLANK(Inventory!A55),0,H55*Inventory!L55)</f>
        <v>0</v>
      </c>
    </row>
    <row r="56" spans="1:16" ht="6.95" customHeight="1">
      <c r="A56" s="24"/>
      <c r="B56" s="24"/>
      <c r="C56" s="69"/>
      <c r="D56" s="69"/>
      <c r="E56" s="69"/>
      <c r="F56" s="69"/>
      <c r="G56" s="69"/>
      <c r="H56" s="69"/>
      <c r="I56" s="69"/>
      <c r="J56" s="69"/>
      <c r="K56" s="69"/>
      <c r="L56" s="25"/>
      <c r="M56" s="62"/>
      <c r="N56" s="160"/>
      <c r="O56" s="25"/>
      <c r="P56" s="160"/>
    </row>
    <row r="57" spans="1:16" s="50" customFormat="1" ht="18" customHeight="1" thickBot="1">
      <c r="A57" s="78" t="str">
        <f>Inventory!A57</f>
        <v>FORTIFIED WINES</v>
      </c>
      <c r="B57" s="78" t="str">
        <f>Inventory!C57</f>
        <v>VOLUME</v>
      </c>
      <c r="C57" s="22" t="s">
        <v>187</v>
      </c>
      <c r="D57" s="22"/>
      <c r="E57" s="22" t="s">
        <v>101</v>
      </c>
      <c r="F57" s="22" t="s">
        <v>102</v>
      </c>
      <c r="G57" s="23" t="s">
        <v>108</v>
      </c>
      <c r="H57" s="79" t="s">
        <v>119</v>
      </c>
      <c r="I57" s="253" t="s">
        <v>190</v>
      </c>
      <c r="J57" s="253"/>
      <c r="K57" s="235" t="s">
        <v>30</v>
      </c>
      <c r="L57" s="235"/>
      <c r="M57" s="235" t="s">
        <v>31</v>
      </c>
      <c r="N57" s="235"/>
      <c r="O57" s="235" t="s">
        <v>189</v>
      </c>
      <c r="P57" s="235"/>
    </row>
    <row r="58" spans="1:16" ht="6.95" customHeight="1" thickTop="1">
      <c r="A58" s="193"/>
      <c r="B58" s="194"/>
      <c r="C58" s="71"/>
      <c r="D58" s="71"/>
      <c r="E58" s="67"/>
      <c r="F58" s="67"/>
      <c r="G58" s="71"/>
      <c r="H58" s="71"/>
      <c r="I58" s="71"/>
      <c r="J58" s="71"/>
      <c r="K58" s="71"/>
      <c r="L58" s="67"/>
      <c r="M58" s="62"/>
      <c r="N58" s="67"/>
      <c r="O58" s="67"/>
      <c r="P58" s="67"/>
    </row>
    <row r="59" spans="1:16" s="29" customFormat="1" ht="15" customHeight="1">
      <c r="A59" s="31" t="str">
        <f>IF(ISBLANK(Inventory!A59),"",Inventory!A59)</f>
        <v>Cinzano Bianco</v>
      </c>
      <c r="B59" s="31" t="str">
        <f>IF(ISBLANK(Inventory!A59),"",Inventory!C59)</f>
        <v>75cl</v>
      </c>
      <c r="C59" s="187"/>
      <c r="D59" s="192"/>
      <c r="E59" s="187">
        <v>1</v>
      </c>
      <c r="F59" s="187">
        <v>0.5</v>
      </c>
      <c r="G59" s="187"/>
      <c r="H59" s="37">
        <f>IF(ISBLANK(Inventory!A59),0,C59+SUM('Week 2'!E59:G59)-SUM(E59:G59))</f>
        <v>1</v>
      </c>
      <c r="I59" s="35" t="str">
        <f>IF(OR(ISBLANK(J59),J59=0),"",Settings!$B$14)</f>
        <v/>
      </c>
      <c r="J59" s="30">
        <f>IF(ISBLANK(C59),0,C59*Inventory!F59)</f>
        <v>0</v>
      </c>
      <c r="K59" s="35" t="str">
        <f>IF(OR(ISBLANK(L59),L59=0),"",Settings!$B$14)</f>
        <v>$</v>
      </c>
      <c r="L59" s="30">
        <f>IF(ISBLANK(Inventory!A59),0,SUM(E59:G59)*Inventory!F59)</f>
        <v>20.16</v>
      </c>
      <c r="M59" s="35" t="str">
        <f>IF(OR(ISBLANK(N59),N59=0),"",Settings!$B$14)</f>
        <v>$</v>
      </c>
      <c r="N59" s="30">
        <f>IF(ISBLANK(Inventory!A59),0,SUM(E59:G59)*Inventory!L59)</f>
        <v>42.524999999999999</v>
      </c>
      <c r="O59" s="35" t="str">
        <f>IF(OR(ISBLANK(P59),P59=0),"",Settings!$B$14)</f>
        <v>$</v>
      </c>
      <c r="P59" s="30">
        <f>IF(ISBLANK(Inventory!A59),0,H59*Inventory!L59)</f>
        <v>28.349999999999998</v>
      </c>
    </row>
    <row r="60" spans="1:16" s="29" customFormat="1" ht="15" customHeight="1">
      <c r="A60" s="31" t="str">
        <f>IF(ISBLANK(Inventory!A60),"",Inventory!A60)</f>
        <v>Martini Dry</v>
      </c>
      <c r="B60" s="31" t="str">
        <f>IF(ISBLANK(Inventory!A60),"",Inventory!C60)</f>
        <v>75cl</v>
      </c>
      <c r="C60" s="187"/>
      <c r="D60" s="192"/>
      <c r="E60" s="187"/>
      <c r="F60" s="187"/>
      <c r="G60" s="187"/>
      <c r="H60" s="37">
        <f>IF(ISBLANK(Inventory!A60),0,C60+SUM('Week 2'!E60:G60)-SUM(E60:G60))</f>
        <v>0</v>
      </c>
      <c r="I60" s="35" t="str">
        <f>IF(OR(ISBLANK(J60),J60=0),"",Settings!$B$14)</f>
        <v/>
      </c>
      <c r="J60" s="30">
        <f>IF(ISBLANK(C60),0,C60*Inventory!F60)</f>
        <v>0</v>
      </c>
      <c r="K60" s="35" t="str">
        <f>IF(OR(ISBLANK(L60),L60=0),"",Settings!$B$14)</f>
        <v/>
      </c>
      <c r="L60" s="30">
        <f>IF(ISBLANK(Inventory!A60),0,SUM(E60:G60)*Inventory!F60)</f>
        <v>0</v>
      </c>
      <c r="M60" s="35" t="str">
        <f>IF(OR(ISBLANK(N60),N60=0),"",Settings!$B$14)</f>
        <v/>
      </c>
      <c r="N60" s="30">
        <f>IF(ISBLANK(Inventory!A60),0,SUM(E60:G60)*Inventory!L60)</f>
        <v>0</v>
      </c>
      <c r="O60" s="35" t="str">
        <f>IF(OR(ISBLANK(P60),P60=0),"",Settings!$B$14)</f>
        <v/>
      </c>
      <c r="P60" s="30">
        <f>IF(ISBLANK(Inventory!A60),0,H60*Inventory!L60)</f>
        <v>0</v>
      </c>
    </row>
    <row r="61" spans="1:16" s="29" customFormat="1" ht="15" customHeight="1">
      <c r="A61" s="31" t="str">
        <f>IF(ISBLANK(Inventory!A61),"",Inventory!A61)</f>
        <v>Martini Rosso</v>
      </c>
      <c r="B61" s="31" t="str">
        <f>IF(ISBLANK(Inventory!A61),"",Inventory!C61)</f>
        <v>75cl</v>
      </c>
      <c r="C61" s="187"/>
      <c r="D61" s="192"/>
      <c r="E61" s="187"/>
      <c r="F61" s="187"/>
      <c r="G61" s="187"/>
      <c r="H61" s="37">
        <f>IF(ISBLANK(Inventory!A61),0,C61+SUM('Week 2'!E61:G61)-SUM(E61:G61))</f>
        <v>0</v>
      </c>
      <c r="I61" s="35" t="str">
        <f>IF(OR(ISBLANK(J61),J61=0),"",Settings!$B$14)</f>
        <v/>
      </c>
      <c r="J61" s="30">
        <f>IF(ISBLANK(C61),0,C61*Inventory!F61)</f>
        <v>0</v>
      </c>
      <c r="K61" s="35" t="str">
        <f>IF(OR(ISBLANK(L61),L61=0),"",Settings!$B$14)</f>
        <v/>
      </c>
      <c r="L61" s="30">
        <f>IF(ISBLANK(Inventory!A61),0,SUM(E61:G61)*Inventory!F61)</f>
        <v>0</v>
      </c>
      <c r="M61" s="35" t="str">
        <f>IF(OR(ISBLANK(N61),N61=0),"",Settings!$B$14)</f>
        <v/>
      </c>
      <c r="N61" s="30">
        <f>IF(ISBLANK(Inventory!A61),0,SUM(E61:G61)*Inventory!L61)</f>
        <v>0</v>
      </c>
      <c r="O61" s="35" t="str">
        <f>IF(OR(ISBLANK(P61),P61=0),"",Settings!$B$14)</f>
        <v/>
      </c>
      <c r="P61" s="30">
        <f>IF(ISBLANK(Inventory!A61),0,H61*Inventory!L61)</f>
        <v>0</v>
      </c>
    </row>
    <row r="62" spans="1:16" s="29" customFormat="1" ht="15" customHeight="1">
      <c r="A62" s="31" t="str">
        <f>IF(ISBLANK(Inventory!A62),"",Inventory!A62)</f>
        <v>Campari</v>
      </c>
      <c r="B62" s="31" t="str">
        <f>IF(ISBLANK(Inventory!A62),"",Inventory!C62)</f>
        <v>75cl</v>
      </c>
      <c r="C62" s="187"/>
      <c r="D62" s="192"/>
      <c r="E62" s="187"/>
      <c r="F62" s="187"/>
      <c r="G62" s="187"/>
      <c r="H62" s="37">
        <f>IF(ISBLANK(Inventory!A62),0,C62+SUM('Week 2'!E62:G62)-SUM(E62:G62))</f>
        <v>0</v>
      </c>
      <c r="I62" s="35" t="str">
        <f>IF(OR(ISBLANK(J62),J62=0),"",Settings!$B$14)</f>
        <v/>
      </c>
      <c r="J62" s="30">
        <f>IF(ISBLANK(C62),0,C62*Inventory!F62)</f>
        <v>0</v>
      </c>
      <c r="K62" s="35" t="str">
        <f>IF(OR(ISBLANK(L62),L62=0),"",Settings!$B$14)</f>
        <v/>
      </c>
      <c r="L62" s="30">
        <f>IF(ISBLANK(Inventory!A62),0,SUM(E62:G62)*Inventory!F62)</f>
        <v>0</v>
      </c>
      <c r="M62" s="35" t="str">
        <f>IF(OR(ISBLANK(N62),N62=0),"",Settings!$B$14)</f>
        <v/>
      </c>
      <c r="N62" s="30">
        <f>IF(ISBLANK(Inventory!A62),0,SUM(E62:G62)*Inventory!L62)</f>
        <v>0</v>
      </c>
      <c r="O62" s="35" t="str">
        <f>IF(OR(ISBLANK(P62),P62=0),"",Settings!$B$14)</f>
        <v/>
      </c>
      <c r="P62" s="30">
        <f>IF(ISBLANK(Inventory!A62),0,H62*Inventory!L62)</f>
        <v>0</v>
      </c>
    </row>
    <row r="63" spans="1:16" s="29" customFormat="1" ht="15" customHeight="1">
      <c r="A63" s="31" t="str">
        <f>IF(ISBLANK(Inventory!A63),"",Inventory!A63)</f>
        <v>Cockburns Ruby</v>
      </c>
      <c r="B63" s="31" t="str">
        <f>IF(ISBLANK(Inventory!A63),"",Inventory!C63)</f>
        <v>75cl</v>
      </c>
      <c r="C63" s="187"/>
      <c r="D63" s="192"/>
      <c r="E63" s="187"/>
      <c r="F63" s="187"/>
      <c r="G63" s="187"/>
      <c r="H63" s="37">
        <f>IF(ISBLANK(Inventory!A63),0,C63+SUM('Week 2'!E63:G63)-SUM(E63:G63))</f>
        <v>0</v>
      </c>
      <c r="I63" s="35" t="str">
        <f>IF(OR(ISBLANK(J63),J63=0),"",Settings!$B$14)</f>
        <v/>
      </c>
      <c r="J63" s="30">
        <f>IF(ISBLANK(C63),0,C63*Inventory!F63)</f>
        <v>0</v>
      </c>
      <c r="K63" s="35" t="str">
        <f>IF(OR(ISBLANK(L63),L63=0),"",Settings!$B$14)</f>
        <v/>
      </c>
      <c r="L63" s="30">
        <f>IF(ISBLANK(Inventory!A63),0,SUM(E63:G63)*Inventory!F63)</f>
        <v>0</v>
      </c>
      <c r="M63" s="35" t="str">
        <f>IF(OR(ISBLANK(N63),N63=0),"",Settings!$B$14)</f>
        <v/>
      </c>
      <c r="N63" s="30">
        <f>IF(ISBLANK(Inventory!A63),0,SUM(E63:G63)*Inventory!L63)</f>
        <v>0</v>
      </c>
      <c r="O63" s="35" t="str">
        <f>IF(OR(ISBLANK(P63),P63=0),"",Settings!$B$14)</f>
        <v/>
      </c>
      <c r="P63" s="30">
        <f>IF(ISBLANK(Inventory!A63),0,H63*Inventory!L63)</f>
        <v>0</v>
      </c>
    </row>
    <row r="64" spans="1:16" s="29" customFormat="1" ht="15" customHeight="1">
      <c r="A64" s="31" t="str">
        <f>IF(ISBLANK(Inventory!A64),"",Inventory!A64)</f>
        <v>Bristol Cream</v>
      </c>
      <c r="B64" s="31" t="str">
        <f>IF(ISBLANK(Inventory!A64),"",Inventory!C64)</f>
        <v>75cl</v>
      </c>
      <c r="C64" s="187"/>
      <c r="D64" s="192"/>
      <c r="E64" s="187"/>
      <c r="F64" s="187"/>
      <c r="G64" s="187"/>
      <c r="H64" s="37">
        <f>IF(ISBLANK(Inventory!A64),0,C64+SUM('Week 2'!E64:G64)-SUM(E64:G64))</f>
        <v>0</v>
      </c>
      <c r="I64" s="35" t="str">
        <f>IF(OR(ISBLANK(J64),J64=0),"",Settings!$B$14)</f>
        <v/>
      </c>
      <c r="J64" s="30">
        <f>IF(ISBLANK(C64),0,C64*Inventory!F64)</f>
        <v>0</v>
      </c>
      <c r="K64" s="35" t="str">
        <f>IF(OR(ISBLANK(L64),L64=0),"",Settings!$B$14)</f>
        <v/>
      </c>
      <c r="L64" s="30">
        <f>IF(ISBLANK(Inventory!A64),0,SUM(E64:G64)*Inventory!F64)</f>
        <v>0</v>
      </c>
      <c r="M64" s="35" t="str">
        <f>IF(OR(ISBLANK(N64),N64=0),"",Settings!$B$14)</f>
        <v/>
      </c>
      <c r="N64" s="30">
        <f>IF(ISBLANK(Inventory!A64),0,SUM(E64:G64)*Inventory!L64)</f>
        <v>0</v>
      </c>
      <c r="O64" s="35" t="str">
        <f>IF(OR(ISBLANK(P64),P64=0),"",Settings!$B$14)</f>
        <v/>
      </c>
      <c r="P64" s="30">
        <f>IF(ISBLANK(Inventory!A64),0,H64*Inventory!L64)</f>
        <v>0</v>
      </c>
    </row>
    <row r="65" spans="1:16" s="29" customFormat="1" ht="15" customHeight="1">
      <c r="A65" s="31" t="str">
        <f>IF(ISBLANK(Inventory!A65),"",Inventory!A65)</f>
        <v>Club Classic</v>
      </c>
      <c r="B65" s="31" t="str">
        <f>IF(ISBLANK(Inventory!A65),"",Inventory!C65)</f>
        <v>75cl</v>
      </c>
      <c r="C65" s="187"/>
      <c r="D65" s="192"/>
      <c r="E65" s="187"/>
      <c r="F65" s="187"/>
      <c r="G65" s="187"/>
      <c r="H65" s="37">
        <f>IF(ISBLANK(Inventory!A65),0,C65+SUM('Week 2'!E65:G65)-SUM(E65:G65))</f>
        <v>0</v>
      </c>
      <c r="I65" s="35" t="str">
        <f>IF(OR(ISBLANK(J65),J65=0),"",Settings!$B$14)</f>
        <v/>
      </c>
      <c r="J65" s="30">
        <f>IF(ISBLANK(C65),0,C65*Inventory!F65)</f>
        <v>0</v>
      </c>
      <c r="K65" s="35" t="str">
        <f>IF(OR(ISBLANK(L65),L65=0),"",Settings!$B$14)</f>
        <v/>
      </c>
      <c r="L65" s="30">
        <f>IF(ISBLANK(Inventory!A65),0,SUM(E65:G65)*Inventory!F65)</f>
        <v>0</v>
      </c>
      <c r="M65" s="35" t="str">
        <f>IF(OR(ISBLANK(N65),N65=0),"",Settings!$B$14)</f>
        <v/>
      </c>
      <c r="N65" s="30">
        <f>IF(ISBLANK(Inventory!A65),0,SUM(E65:G65)*Inventory!L65)</f>
        <v>0</v>
      </c>
      <c r="O65" s="35" t="str">
        <f>IF(OR(ISBLANK(P65),P65=0),"",Settings!$B$14)</f>
        <v/>
      </c>
      <c r="P65" s="30">
        <f>IF(ISBLANK(Inventory!A65),0,H65*Inventory!L65)</f>
        <v>0</v>
      </c>
    </row>
    <row r="66" spans="1:16" s="29" customFormat="1" ht="15" customHeight="1">
      <c r="A66" s="31" t="str">
        <f>IF(ISBLANK(Inventory!A66),"",Inventory!A66)</f>
        <v>Harveys Dune</v>
      </c>
      <c r="B66" s="31" t="str">
        <f>IF(ISBLANK(Inventory!A66),"",Inventory!C66)</f>
        <v>75cl</v>
      </c>
      <c r="C66" s="187"/>
      <c r="D66" s="192"/>
      <c r="E66" s="187"/>
      <c r="F66" s="187"/>
      <c r="G66" s="187"/>
      <c r="H66" s="37">
        <f>IF(ISBLANK(Inventory!A66),0,C66+SUM('Week 2'!E66:G66)-SUM(E66:G66))</f>
        <v>0</v>
      </c>
      <c r="I66" s="35" t="str">
        <f>IF(OR(ISBLANK(J66),J66=0),"",Settings!$B$14)</f>
        <v/>
      </c>
      <c r="J66" s="30">
        <f>IF(ISBLANK(C66),0,C66*Inventory!F66)</f>
        <v>0</v>
      </c>
      <c r="K66" s="35" t="str">
        <f>IF(OR(ISBLANK(L66),L66=0),"",Settings!$B$14)</f>
        <v/>
      </c>
      <c r="L66" s="30">
        <f>IF(ISBLANK(Inventory!A66),0,SUM(E66:G66)*Inventory!F66)</f>
        <v>0</v>
      </c>
      <c r="M66" s="35" t="str">
        <f>IF(OR(ISBLANK(N66),N66=0),"",Settings!$B$14)</f>
        <v/>
      </c>
      <c r="N66" s="30">
        <f>IF(ISBLANK(Inventory!A66),0,SUM(E66:G66)*Inventory!L66)</f>
        <v>0</v>
      </c>
      <c r="O66" s="35" t="str">
        <f>IF(OR(ISBLANK(P66),P66=0),"",Settings!$B$14)</f>
        <v/>
      </c>
      <c r="P66" s="30">
        <f>IF(ISBLANK(Inventory!A66),0,H66*Inventory!L66)</f>
        <v>0</v>
      </c>
    </row>
    <row r="67" spans="1:16" s="29" customFormat="1" ht="15" customHeight="1">
      <c r="A67" s="31" t="str">
        <f>IF(ISBLANK(Inventory!A67),"",Inventory!A67)</f>
        <v/>
      </c>
      <c r="B67" s="31" t="str">
        <f>IF(ISBLANK(Inventory!A67),"",Inventory!C67)</f>
        <v/>
      </c>
      <c r="C67" s="187"/>
      <c r="D67" s="192"/>
      <c r="E67" s="187"/>
      <c r="F67" s="187"/>
      <c r="G67" s="187"/>
      <c r="H67" s="37">
        <f>IF(ISBLANK(Inventory!A67),0,C67+SUM('Week 2'!E67:G67)-SUM(E67:G67))</f>
        <v>0</v>
      </c>
      <c r="I67" s="35" t="str">
        <f>IF(OR(ISBLANK(J67),J67=0),"",Settings!$B$14)</f>
        <v/>
      </c>
      <c r="J67" s="30">
        <f>IF(ISBLANK(C67),0,C67*Inventory!F67)</f>
        <v>0</v>
      </c>
      <c r="K67" s="35" t="str">
        <f>IF(OR(ISBLANK(L67),L67=0),"",Settings!$B$14)</f>
        <v/>
      </c>
      <c r="L67" s="30">
        <f>IF(ISBLANK(Inventory!A67),0,SUM(E67:G67)*Inventory!F67)</f>
        <v>0</v>
      </c>
      <c r="M67" s="35" t="str">
        <f>IF(OR(ISBLANK(N67),N67=0),"",Settings!$B$14)</f>
        <v/>
      </c>
      <c r="N67" s="30">
        <f>IF(ISBLANK(Inventory!A67),0,SUM(E67:G67)*Inventory!L67)</f>
        <v>0</v>
      </c>
      <c r="O67" s="35" t="str">
        <f>IF(OR(ISBLANK(P67),P67=0),"",Settings!$B$14)</f>
        <v/>
      </c>
      <c r="P67" s="30">
        <f>IF(ISBLANK(Inventory!A67),0,H67*Inventory!L67)</f>
        <v>0</v>
      </c>
    </row>
    <row r="68" spans="1:16" s="29" customFormat="1" ht="15" customHeight="1">
      <c r="A68" s="31" t="str">
        <f>IF(ISBLANK(Inventory!A68),"",Inventory!A68)</f>
        <v/>
      </c>
      <c r="B68" s="31" t="str">
        <f>IF(ISBLANK(Inventory!A68),"",Inventory!C68)</f>
        <v/>
      </c>
      <c r="C68" s="187"/>
      <c r="D68" s="192"/>
      <c r="E68" s="187"/>
      <c r="F68" s="187"/>
      <c r="G68" s="187"/>
      <c r="H68" s="37">
        <f>IF(ISBLANK(Inventory!A68),0,C68+SUM('Week 2'!E68:G68)-SUM(E68:G68))</f>
        <v>0</v>
      </c>
      <c r="I68" s="35" t="str">
        <f>IF(OR(ISBLANK(J68),J68=0),"",Settings!$B$14)</f>
        <v/>
      </c>
      <c r="J68" s="30">
        <f>IF(ISBLANK(C68),0,C68*Inventory!F68)</f>
        <v>0</v>
      </c>
      <c r="K68" s="35" t="str">
        <f>IF(OR(ISBLANK(L68),L68=0),"",Settings!$B$14)</f>
        <v/>
      </c>
      <c r="L68" s="30">
        <f>IF(ISBLANK(Inventory!A68),0,SUM(E68:G68)*Inventory!F68)</f>
        <v>0</v>
      </c>
      <c r="M68" s="35" t="str">
        <f>IF(OR(ISBLANK(N68),N68=0),"",Settings!$B$14)</f>
        <v/>
      </c>
      <c r="N68" s="30">
        <f>IF(ISBLANK(Inventory!A68),0,SUM(E68:G68)*Inventory!L68)</f>
        <v>0</v>
      </c>
      <c r="O68" s="35" t="str">
        <f>IF(OR(ISBLANK(P68),P68=0),"",Settings!$B$14)</f>
        <v/>
      </c>
      <c r="P68" s="30">
        <f>IF(ISBLANK(Inventory!A68),0,H68*Inventory!L68)</f>
        <v>0</v>
      </c>
    </row>
    <row r="69" spans="1:16" s="29" customFormat="1" ht="15" customHeight="1">
      <c r="A69" s="31" t="str">
        <f>IF(ISBLANK(Inventory!A69),"",Inventory!A69)</f>
        <v/>
      </c>
      <c r="B69" s="31" t="str">
        <f>IF(ISBLANK(Inventory!A69),"",Inventory!C69)</f>
        <v/>
      </c>
      <c r="C69" s="187"/>
      <c r="D69" s="192"/>
      <c r="E69" s="187"/>
      <c r="F69" s="187"/>
      <c r="G69" s="187"/>
      <c r="H69" s="37">
        <f>IF(ISBLANK(Inventory!A69),0,C69+SUM('Week 2'!E69:G69)-SUM(E69:G69))</f>
        <v>0</v>
      </c>
      <c r="I69" s="35" t="str">
        <f>IF(OR(ISBLANK(J69),J69=0),"",Settings!$B$14)</f>
        <v/>
      </c>
      <c r="J69" s="30">
        <f>IF(ISBLANK(C69),0,C69*Inventory!F69)</f>
        <v>0</v>
      </c>
      <c r="K69" s="35" t="str">
        <f>IF(OR(ISBLANK(L69),L69=0),"",Settings!$B$14)</f>
        <v/>
      </c>
      <c r="L69" s="30">
        <f>IF(ISBLANK(Inventory!A69),0,SUM(E69:G69)*Inventory!F69)</f>
        <v>0</v>
      </c>
      <c r="M69" s="35" t="str">
        <f>IF(OR(ISBLANK(N69),N69=0),"",Settings!$B$14)</f>
        <v/>
      </c>
      <c r="N69" s="30">
        <f>IF(ISBLANK(Inventory!A69),0,SUM(E69:G69)*Inventory!L69)</f>
        <v>0</v>
      </c>
      <c r="O69" s="35" t="str">
        <f>IF(OR(ISBLANK(P69),P69=0),"",Settings!$B$14)</f>
        <v/>
      </c>
      <c r="P69" s="30">
        <f>IF(ISBLANK(Inventory!A69),0,H69*Inventory!L69)</f>
        <v>0</v>
      </c>
    </row>
    <row r="70" spans="1:16" s="29" customFormat="1" ht="15" customHeight="1">
      <c r="A70" s="31" t="str">
        <f>IF(ISBLANK(Inventory!A70),"",Inventory!A70)</f>
        <v/>
      </c>
      <c r="B70" s="31" t="str">
        <f>IF(ISBLANK(Inventory!A70),"",Inventory!C70)</f>
        <v/>
      </c>
      <c r="C70" s="187"/>
      <c r="D70" s="192"/>
      <c r="E70" s="187"/>
      <c r="F70" s="187"/>
      <c r="G70" s="187"/>
      <c r="H70" s="37">
        <f>IF(ISBLANK(Inventory!A70),0,C70+SUM('Week 2'!E70:G70)-SUM(E70:G70))</f>
        <v>0</v>
      </c>
      <c r="I70" s="35" t="str">
        <f>IF(OR(ISBLANK(J70),J70=0),"",Settings!$B$14)</f>
        <v/>
      </c>
      <c r="J70" s="30">
        <f>IF(ISBLANK(C70),0,C70*Inventory!F70)</f>
        <v>0</v>
      </c>
      <c r="K70" s="35" t="str">
        <f>IF(OR(ISBLANK(L70),L70=0),"",Settings!$B$14)</f>
        <v/>
      </c>
      <c r="L70" s="30">
        <f>IF(ISBLANK(Inventory!A70),0,SUM(E70:G70)*Inventory!F70)</f>
        <v>0</v>
      </c>
      <c r="M70" s="35" t="str">
        <f>IF(OR(ISBLANK(N70),N70=0),"",Settings!$B$14)</f>
        <v/>
      </c>
      <c r="N70" s="30">
        <f>IF(ISBLANK(Inventory!A70),0,SUM(E70:G70)*Inventory!L70)</f>
        <v>0</v>
      </c>
      <c r="O70" s="35" t="str">
        <f>IF(OR(ISBLANK(P70),P70=0),"",Settings!$B$14)</f>
        <v/>
      </c>
      <c r="P70" s="30">
        <f>IF(ISBLANK(Inventory!A70),0,H70*Inventory!L70)</f>
        <v>0</v>
      </c>
    </row>
    <row r="71" spans="1:16" s="29" customFormat="1" ht="15" customHeight="1">
      <c r="A71" s="31" t="str">
        <f>IF(ISBLANK(Inventory!A71),"",Inventory!A71)</f>
        <v/>
      </c>
      <c r="B71" s="31" t="str">
        <f>IF(ISBLANK(Inventory!A71),"",Inventory!C71)</f>
        <v/>
      </c>
      <c r="C71" s="187"/>
      <c r="D71" s="192"/>
      <c r="E71" s="187"/>
      <c r="F71" s="187"/>
      <c r="G71" s="187"/>
      <c r="H71" s="37">
        <f>IF(ISBLANK(Inventory!A71),0,C71+SUM('Week 2'!E71:G71)-SUM(E71:G71))</f>
        <v>0</v>
      </c>
      <c r="I71" s="35" t="str">
        <f>IF(OR(ISBLANK(J71),J71=0),"",Settings!$B$14)</f>
        <v/>
      </c>
      <c r="J71" s="30">
        <f>IF(ISBLANK(C71),0,C71*Inventory!F71)</f>
        <v>0</v>
      </c>
      <c r="K71" s="35" t="str">
        <f>IF(OR(ISBLANK(L71),L71=0),"",Settings!$B$14)</f>
        <v/>
      </c>
      <c r="L71" s="30">
        <f>IF(ISBLANK(Inventory!A71),0,SUM(E71:G71)*Inventory!F71)</f>
        <v>0</v>
      </c>
      <c r="M71" s="35" t="str">
        <f>IF(OR(ISBLANK(N71),N71=0),"",Settings!$B$14)</f>
        <v/>
      </c>
      <c r="N71" s="30">
        <f>IF(ISBLANK(Inventory!A71),0,SUM(E71:G71)*Inventory!L71)</f>
        <v>0</v>
      </c>
      <c r="O71" s="35" t="str">
        <f>IF(OR(ISBLANK(P71),P71=0),"",Settings!$B$14)</f>
        <v/>
      </c>
      <c r="P71" s="30">
        <f>IF(ISBLANK(Inventory!A71),0,H71*Inventory!L71)</f>
        <v>0</v>
      </c>
    </row>
    <row r="72" spans="1:16" s="29" customFormat="1" ht="15" customHeight="1">
      <c r="A72" s="31" t="str">
        <f>IF(ISBLANK(Inventory!A72),"",Inventory!A72)</f>
        <v/>
      </c>
      <c r="B72" s="31" t="str">
        <f>IF(ISBLANK(Inventory!A72),"",Inventory!C72)</f>
        <v/>
      </c>
      <c r="C72" s="187"/>
      <c r="D72" s="192"/>
      <c r="E72" s="187"/>
      <c r="F72" s="187"/>
      <c r="G72" s="187"/>
      <c r="H72" s="37">
        <f>IF(ISBLANK(Inventory!A72),0,C72+SUM('Week 2'!E72:G72)-SUM(E72:G72))</f>
        <v>0</v>
      </c>
      <c r="I72" s="35" t="str">
        <f>IF(OR(ISBLANK(J72),J72=0),"",Settings!$B$14)</f>
        <v/>
      </c>
      <c r="J72" s="30">
        <f>IF(ISBLANK(C72),0,C72*Inventory!F72)</f>
        <v>0</v>
      </c>
      <c r="K72" s="35" t="str">
        <f>IF(OR(ISBLANK(L72),L72=0),"",Settings!$B$14)</f>
        <v/>
      </c>
      <c r="L72" s="30">
        <f>IF(ISBLANK(Inventory!A72),0,SUM(E72:G72)*Inventory!F72)</f>
        <v>0</v>
      </c>
      <c r="M72" s="35" t="str">
        <f>IF(OR(ISBLANK(N72),N72=0),"",Settings!$B$14)</f>
        <v/>
      </c>
      <c r="N72" s="30">
        <f>IF(ISBLANK(Inventory!A72),0,SUM(E72:G72)*Inventory!L72)</f>
        <v>0</v>
      </c>
      <c r="O72" s="35" t="str">
        <f>IF(OR(ISBLANK(P72),P72=0),"",Settings!$B$14)</f>
        <v/>
      </c>
      <c r="P72" s="30">
        <f>IF(ISBLANK(Inventory!A72),0,H72*Inventory!L72)</f>
        <v>0</v>
      </c>
    </row>
    <row r="73" spans="1:16" ht="6.95" customHeight="1">
      <c r="A73" s="24"/>
      <c r="B73" s="24"/>
      <c r="C73" s="69"/>
      <c r="D73" s="69"/>
      <c r="E73" s="69"/>
      <c r="F73" s="69"/>
      <c r="G73" s="69"/>
      <c r="H73" s="69"/>
      <c r="I73" s="69"/>
      <c r="J73" s="69"/>
      <c r="K73" s="69"/>
      <c r="L73" s="25"/>
      <c r="M73" s="62"/>
      <c r="N73" s="160"/>
      <c r="O73" s="25"/>
      <c r="P73" s="160"/>
    </row>
    <row r="74" spans="1:16" s="45" customFormat="1" ht="18" customHeight="1" thickBot="1">
      <c r="A74" s="78" t="str">
        <f>Inventory!A74</f>
        <v>TABLE WINES</v>
      </c>
      <c r="B74" s="78" t="str">
        <f>Inventory!C74</f>
        <v>VOLUME</v>
      </c>
      <c r="C74" s="22" t="s">
        <v>187</v>
      </c>
      <c r="D74" s="22"/>
      <c r="E74" s="22" t="s">
        <v>101</v>
      </c>
      <c r="F74" s="22" t="s">
        <v>102</v>
      </c>
      <c r="G74" s="23" t="s">
        <v>108</v>
      </c>
      <c r="H74" s="79" t="s">
        <v>119</v>
      </c>
      <c r="I74" s="253" t="s">
        <v>190</v>
      </c>
      <c r="J74" s="253"/>
      <c r="K74" s="235" t="s">
        <v>30</v>
      </c>
      <c r="L74" s="235"/>
      <c r="M74" s="235" t="s">
        <v>31</v>
      </c>
      <c r="N74" s="235"/>
      <c r="O74" s="235" t="s">
        <v>189</v>
      </c>
      <c r="P74" s="235"/>
    </row>
    <row r="75" spans="1:16" ht="6.95" customHeight="1" thickTop="1">
      <c r="A75" s="193"/>
      <c r="B75" s="194"/>
      <c r="C75" s="71"/>
      <c r="D75" s="71"/>
      <c r="E75" s="67"/>
      <c r="F75" s="67"/>
      <c r="G75" s="71"/>
      <c r="H75" s="71"/>
      <c r="I75" s="71"/>
      <c r="J75" s="71"/>
      <c r="K75" s="71"/>
      <c r="L75" s="67"/>
      <c r="M75" s="62"/>
      <c r="N75" s="67"/>
      <c r="O75" s="67"/>
      <c r="P75" s="67"/>
    </row>
    <row r="76" spans="1:16" s="29" customFormat="1" ht="15" customHeight="1">
      <c r="A76" s="31" t="str">
        <f>IF(ISBLANK(Inventory!A76),"",Inventory!A76)</f>
        <v>35º South Red</v>
      </c>
      <c r="B76" s="31" t="str">
        <f>IF(ISBLANK(Inventory!A76),"",Inventory!C76)</f>
        <v>750ml</v>
      </c>
      <c r="C76" s="187"/>
      <c r="D76" s="192"/>
      <c r="E76" s="187"/>
      <c r="F76" s="187"/>
      <c r="G76" s="187"/>
      <c r="H76" s="37">
        <f>IF(ISBLANK(Inventory!A76),0,C76+SUM('Week 2'!E76:G76)-SUM(E76:G76))</f>
        <v>0</v>
      </c>
      <c r="I76" s="35" t="str">
        <f>IF(OR(ISBLANK(J76),J76=0),"",Settings!$B$14)</f>
        <v/>
      </c>
      <c r="J76" s="30">
        <f>IF(ISBLANK(C76),0,C76*Inventory!H76)</f>
        <v>0</v>
      </c>
      <c r="K76" s="35" t="str">
        <f>IF(OR(ISBLANK(L76),L76=0),"",Settings!$B$14)</f>
        <v/>
      </c>
      <c r="L76" s="30">
        <f>IF(ISBLANK(Inventory!A76),0,SUM(E76:G76)*Inventory!H76)</f>
        <v>0</v>
      </c>
      <c r="M76" s="35" t="str">
        <f>IF(OR(ISBLANK(N76),N76=0),"",Settings!$B$14)</f>
        <v/>
      </c>
      <c r="N76" s="30">
        <f>IF(ISBLANK(Inventory!A76),0,SUM(E76:G76)*Inventory!J76)</f>
        <v>0</v>
      </c>
      <c r="O76" s="35" t="str">
        <f>IF(OR(ISBLANK(P76),P76=0),"",Settings!$B$14)</f>
        <v/>
      </c>
      <c r="P76" s="30">
        <f>IF(ISBLANK(Inventory!A76),0,H76*Inventory!J76)</f>
        <v>0</v>
      </c>
    </row>
    <row r="77" spans="1:16" s="29" customFormat="1" ht="15" customHeight="1">
      <c r="A77" s="31" t="str">
        <f>IF(ISBLANK(Inventory!A77),"",Inventory!A77)</f>
        <v>Lindemans' Chardonnay</v>
      </c>
      <c r="B77" s="31" t="str">
        <f>IF(ISBLANK(Inventory!A77),"",Inventory!C77)</f>
        <v>750ml</v>
      </c>
      <c r="C77" s="187"/>
      <c r="D77" s="192"/>
      <c r="E77" s="187"/>
      <c r="F77" s="187"/>
      <c r="G77" s="187"/>
      <c r="H77" s="37">
        <f>IF(ISBLANK(Inventory!A77),0,C77+SUM('Week 2'!E77:G77)-SUM(E77:G77))</f>
        <v>0</v>
      </c>
      <c r="I77" s="35" t="str">
        <f>IF(OR(ISBLANK(J77),J77=0),"",Settings!$B$14)</f>
        <v/>
      </c>
      <c r="J77" s="30">
        <f>IF(ISBLANK(C77),0,C77*Inventory!H77)</f>
        <v>0</v>
      </c>
      <c r="K77" s="35" t="str">
        <f>IF(OR(ISBLANK(L77),L77=0),"",Settings!$B$14)</f>
        <v/>
      </c>
      <c r="L77" s="30">
        <f>IF(ISBLANK(Inventory!A77),0,SUM(E77:G77)*Inventory!H77)</f>
        <v>0</v>
      </c>
      <c r="M77" s="35" t="str">
        <f>IF(OR(ISBLANK(N77),N77=0),"",Settings!$B$14)</f>
        <v/>
      </c>
      <c r="N77" s="30">
        <f>IF(ISBLANK(Inventory!A77),0,SUM(E77:G77)*Inventory!J77)</f>
        <v>0</v>
      </c>
      <c r="O77" s="35" t="str">
        <f>IF(OR(ISBLANK(P77),P77=0),"",Settings!$B$14)</f>
        <v/>
      </c>
      <c r="P77" s="30">
        <f>IF(ISBLANK(Inventory!A77),0,H77*Inventory!J77)</f>
        <v>0</v>
      </c>
    </row>
    <row r="78" spans="1:16" s="29" customFormat="1" ht="15" customHeight="1">
      <c r="A78" s="31" t="str">
        <f>IF(ISBLANK(Inventory!A78),"",Inventory!A78)</f>
        <v>Arniston Bay</v>
      </c>
      <c r="B78" s="31" t="str">
        <f>IF(ISBLANK(Inventory!A78),"",Inventory!C78)</f>
        <v>750ml</v>
      </c>
      <c r="C78" s="187"/>
      <c r="D78" s="192"/>
      <c r="E78" s="187"/>
      <c r="F78" s="187"/>
      <c r="G78" s="187"/>
      <c r="H78" s="37">
        <f>IF(ISBLANK(Inventory!A78),0,C78+SUM('Week 2'!E78:G78)-SUM(E78:G78))</f>
        <v>0</v>
      </c>
      <c r="I78" s="35" t="str">
        <f>IF(OR(ISBLANK(J78),J78=0),"",Settings!$B$14)</f>
        <v/>
      </c>
      <c r="J78" s="30">
        <f>IF(ISBLANK(C78),0,C78*Inventory!H78)</f>
        <v>0</v>
      </c>
      <c r="K78" s="35" t="str">
        <f>IF(OR(ISBLANK(L78),L78=0),"",Settings!$B$14)</f>
        <v/>
      </c>
      <c r="L78" s="30">
        <f>IF(ISBLANK(Inventory!A78),0,SUM(E78:G78)*Inventory!H78)</f>
        <v>0</v>
      </c>
      <c r="M78" s="35" t="str">
        <f>IF(OR(ISBLANK(N78),N78=0),"",Settings!$B$14)</f>
        <v/>
      </c>
      <c r="N78" s="30">
        <f>IF(ISBLANK(Inventory!A78),0,SUM(E78:G78)*Inventory!J78)</f>
        <v>0</v>
      </c>
      <c r="O78" s="35" t="str">
        <f>IF(OR(ISBLANK(P78),P78=0),"",Settings!$B$14)</f>
        <v/>
      </c>
      <c r="P78" s="30">
        <f>IF(ISBLANK(Inventory!A78),0,H78*Inventory!J78)</f>
        <v>0</v>
      </c>
    </row>
    <row r="79" spans="1:16" s="29" customFormat="1" ht="15" customHeight="1">
      <c r="A79" s="31" t="str">
        <f>IF(ISBLANK(Inventory!A79),"",Inventory!A79)</f>
        <v>Côtes du Rhône</v>
      </c>
      <c r="B79" s="31" t="str">
        <f>IF(ISBLANK(Inventory!A79),"",Inventory!C79)</f>
        <v>750ml</v>
      </c>
      <c r="C79" s="187"/>
      <c r="D79" s="192"/>
      <c r="E79" s="187"/>
      <c r="F79" s="187"/>
      <c r="G79" s="187"/>
      <c r="H79" s="37">
        <f>IF(ISBLANK(Inventory!A79),0,C79+SUM('Week 2'!E79:G79)-SUM(E79:G79))</f>
        <v>0</v>
      </c>
      <c r="I79" s="35" t="str">
        <f>IF(OR(ISBLANK(J79),J79=0),"",Settings!$B$14)</f>
        <v/>
      </c>
      <c r="J79" s="30">
        <f>IF(ISBLANK(C79),0,C79*Inventory!H79)</f>
        <v>0</v>
      </c>
      <c r="K79" s="35" t="str">
        <f>IF(OR(ISBLANK(L79),L79=0),"",Settings!$B$14)</f>
        <v/>
      </c>
      <c r="L79" s="30">
        <f>IF(ISBLANK(Inventory!A79),0,SUM(E79:G79)*Inventory!H79)</f>
        <v>0</v>
      </c>
      <c r="M79" s="35" t="str">
        <f>IF(OR(ISBLANK(N79),N79=0),"",Settings!$B$14)</f>
        <v/>
      </c>
      <c r="N79" s="30">
        <f>IF(ISBLANK(Inventory!A79),0,SUM(E79:G79)*Inventory!J79)</f>
        <v>0</v>
      </c>
      <c r="O79" s="35" t="str">
        <f>IF(OR(ISBLANK(P79),P79=0),"",Settings!$B$14)</f>
        <v/>
      </c>
      <c r="P79" s="30">
        <f>IF(ISBLANK(Inventory!A79),0,H79*Inventory!J79)</f>
        <v>0</v>
      </c>
    </row>
    <row r="80" spans="1:16" s="29" customFormat="1" ht="15" customHeight="1">
      <c r="A80" s="31" t="str">
        <f>IF(ISBLANK(Inventory!A80),"",Inventory!A80)</f>
        <v>Jacobs Creek</v>
      </c>
      <c r="B80" s="31" t="str">
        <f>IF(ISBLANK(Inventory!A80),"",Inventory!C80)</f>
        <v>750ml</v>
      </c>
      <c r="C80" s="187"/>
      <c r="D80" s="192"/>
      <c r="E80" s="187"/>
      <c r="F80" s="187"/>
      <c r="G80" s="187"/>
      <c r="H80" s="37">
        <f>IF(ISBLANK(Inventory!A80),0,C80+SUM('Week 2'!E80:G80)-SUM(E80:G80))</f>
        <v>0</v>
      </c>
      <c r="I80" s="35" t="str">
        <f>IF(OR(ISBLANK(J80),J80=0),"",Settings!$B$14)</f>
        <v/>
      </c>
      <c r="J80" s="30">
        <f>IF(ISBLANK(C80),0,C80*Inventory!H80)</f>
        <v>0</v>
      </c>
      <c r="K80" s="35" t="str">
        <f>IF(OR(ISBLANK(L80),L80=0),"",Settings!$B$14)</f>
        <v/>
      </c>
      <c r="L80" s="30">
        <f>IF(ISBLANK(Inventory!A80),0,SUM(E80:G80)*Inventory!H80)</f>
        <v>0</v>
      </c>
      <c r="M80" s="35" t="str">
        <f>IF(OR(ISBLANK(N80),N80=0),"",Settings!$B$14)</f>
        <v/>
      </c>
      <c r="N80" s="30">
        <f>IF(ISBLANK(Inventory!A80),0,SUM(E80:G80)*Inventory!J80)</f>
        <v>0</v>
      </c>
      <c r="O80" s="35" t="str">
        <f>IF(OR(ISBLANK(P80),P80=0),"",Settings!$B$14)</f>
        <v/>
      </c>
      <c r="P80" s="30">
        <f>IF(ISBLANK(Inventory!A80),0,H80*Inventory!J80)</f>
        <v>0</v>
      </c>
    </row>
    <row r="81" spans="1:16" s="29" customFormat="1" ht="15" customHeight="1">
      <c r="A81" s="31" t="str">
        <f>IF(ISBLANK(Inventory!A81),"",Inventory!A81)</f>
        <v>Louis Raymond</v>
      </c>
      <c r="B81" s="31" t="str">
        <f>IF(ISBLANK(Inventory!A81),"",Inventory!C81)</f>
        <v>375ml</v>
      </c>
      <c r="C81" s="187"/>
      <c r="D81" s="192"/>
      <c r="E81" s="187"/>
      <c r="F81" s="187"/>
      <c r="G81" s="187"/>
      <c r="H81" s="37">
        <f>IF(ISBLANK(Inventory!A81),0,C81+SUM('Week 2'!E81:G81)-SUM(E81:G81))</f>
        <v>0</v>
      </c>
      <c r="I81" s="35" t="str">
        <f>IF(OR(ISBLANK(J81),J81=0),"",Settings!$B$14)</f>
        <v/>
      </c>
      <c r="J81" s="30">
        <f>IF(ISBLANK(C81),0,C81*Inventory!H81)</f>
        <v>0</v>
      </c>
      <c r="K81" s="35" t="str">
        <f>IF(OR(ISBLANK(L81),L81=0),"",Settings!$B$14)</f>
        <v/>
      </c>
      <c r="L81" s="30">
        <f>IF(ISBLANK(Inventory!A81),0,SUM(E81:G81)*Inventory!H81)</f>
        <v>0</v>
      </c>
      <c r="M81" s="35" t="str">
        <f>IF(OR(ISBLANK(N81),N81=0),"",Settings!$B$14)</f>
        <v/>
      </c>
      <c r="N81" s="30">
        <f>IF(ISBLANK(Inventory!A81),0,SUM(E81:G81)*Inventory!J81)</f>
        <v>0</v>
      </c>
      <c r="O81" s="35" t="str">
        <f>IF(OR(ISBLANK(P81),P81=0),"",Settings!$B$14)</f>
        <v/>
      </c>
      <c r="P81" s="30">
        <f>IF(ISBLANK(Inventory!A81),0,H81*Inventory!J81)</f>
        <v>0</v>
      </c>
    </row>
    <row r="82" spans="1:16" s="29" customFormat="1" ht="15" customHeight="1">
      <c r="A82" s="31" t="str">
        <f>IF(ISBLANK(Inventory!A82),"",Inventory!A82)</f>
        <v>Castletorre</v>
      </c>
      <c r="B82" s="31" t="str">
        <f>IF(ISBLANK(Inventory!A82),"",Inventory!C82)</f>
        <v>375ml</v>
      </c>
      <c r="C82" s="187"/>
      <c r="D82" s="192"/>
      <c r="E82" s="187"/>
      <c r="F82" s="187"/>
      <c r="G82" s="187"/>
      <c r="H82" s="37">
        <f>IF(ISBLANK(Inventory!A82),0,C82+SUM('Week 2'!E82:G82)-SUM(E82:G82))</f>
        <v>0</v>
      </c>
      <c r="I82" s="35" t="str">
        <f>IF(OR(ISBLANK(J82),J82=0),"",Settings!$B$14)</f>
        <v/>
      </c>
      <c r="J82" s="30">
        <f>IF(ISBLANK(C82),0,C82*Inventory!H82)</f>
        <v>0</v>
      </c>
      <c r="K82" s="35" t="str">
        <f>IF(OR(ISBLANK(L82),L82=0),"",Settings!$B$14)</f>
        <v/>
      </c>
      <c r="L82" s="30">
        <f>IF(ISBLANK(Inventory!A82),0,SUM(E82:G82)*Inventory!H82)</f>
        <v>0</v>
      </c>
      <c r="M82" s="35" t="str">
        <f>IF(OR(ISBLANK(N82),N82=0),"",Settings!$B$14)</f>
        <v/>
      </c>
      <c r="N82" s="30">
        <f>IF(ISBLANK(Inventory!A82),0,SUM(E82:G82)*Inventory!J82)</f>
        <v>0</v>
      </c>
      <c r="O82" s="35" t="str">
        <f>IF(OR(ISBLANK(P82),P82=0),"",Settings!$B$14)</f>
        <v/>
      </c>
      <c r="P82" s="30">
        <f>IF(ISBLANK(Inventory!A82),0,H82*Inventory!J82)</f>
        <v>0</v>
      </c>
    </row>
    <row r="83" spans="1:16" s="29" customFormat="1" ht="15" customHeight="1">
      <c r="A83" s="31" t="str">
        <f>IF(ISBLANK(Inventory!A83),"",Inventory!A83)</f>
        <v>Muscadet</v>
      </c>
      <c r="B83" s="31" t="str">
        <f>IF(ISBLANK(Inventory!A83),"",Inventory!C83)</f>
        <v>750ml</v>
      </c>
      <c r="C83" s="187"/>
      <c r="D83" s="192"/>
      <c r="E83" s="187"/>
      <c r="F83" s="187"/>
      <c r="G83" s="187"/>
      <c r="H83" s="37">
        <f>IF(ISBLANK(Inventory!A83),0,C83+SUM('Week 2'!E83:G83)-SUM(E83:G83))</f>
        <v>0</v>
      </c>
      <c r="I83" s="35" t="str">
        <f>IF(OR(ISBLANK(J83),J83=0),"",Settings!$B$14)</f>
        <v/>
      </c>
      <c r="J83" s="30">
        <f>IF(ISBLANK(C83),0,C83*Inventory!H83)</f>
        <v>0</v>
      </c>
      <c r="K83" s="35" t="str">
        <f>IF(OR(ISBLANK(L83),L83=0),"",Settings!$B$14)</f>
        <v/>
      </c>
      <c r="L83" s="30">
        <f>IF(ISBLANK(Inventory!A83),0,SUM(E83:G83)*Inventory!H83)</f>
        <v>0</v>
      </c>
      <c r="M83" s="35" t="str">
        <f>IF(OR(ISBLANK(N83),N83=0),"",Settings!$B$14)</f>
        <v/>
      </c>
      <c r="N83" s="30">
        <f>IF(ISBLANK(Inventory!A83),0,SUM(E83:G83)*Inventory!J83)</f>
        <v>0</v>
      </c>
      <c r="O83" s="35" t="str">
        <f>IF(OR(ISBLANK(P83),P83=0),"",Settings!$B$14)</f>
        <v/>
      </c>
      <c r="P83" s="30">
        <f>IF(ISBLANK(Inventory!A83),0,H83*Inventory!J83)</f>
        <v>0</v>
      </c>
    </row>
    <row r="84" spans="1:16" s="29" customFormat="1" ht="15" customHeight="1">
      <c r="A84" s="31" t="str">
        <f>IF(ISBLANK(Inventory!A84),"",Inventory!A84)</f>
        <v>Piesporter</v>
      </c>
      <c r="B84" s="31" t="str">
        <f>IF(ISBLANK(Inventory!A84),"",Inventory!C84)</f>
        <v>750ml</v>
      </c>
      <c r="C84" s="187"/>
      <c r="D84" s="192"/>
      <c r="E84" s="187"/>
      <c r="F84" s="187"/>
      <c r="G84" s="187"/>
      <c r="H84" s="37">
        <f>IF(ISBLANK(Inventory!A84),0,C84+SUM('Week 2'!E84:G84)-SUM(E84:G84))</f>
        <v>0</v>
      </c>
      <c r="I84" s="35" t="str">
        <f>IF(OR(ISBLANK(J84),J84=0),"",Settings!$B$14)</f>
        <v/>
      </c>
      <c r="J84" s="30">
        <f>IF(ISBLANK(C84),0,C84*Inventory!H84)</f>
        <v>0</v>
      </c>
      <c r="K84" s="35" t="str">
        <f>IF(OR(ISBLANK(L84),L84=0),"",Settings!$B$14)</f>
        <v/>
      </c>
      <c r="L84" s="30">
        <f>IF(ISBLANK(Inventory!A84),0,SUM(E84:G84)*Inventory!H84)</f>
        <v>0</v>
      </c>
      <c r="M84" s="35" t="str">
        <f>IF(OR(ISBLANK(N84),N84=0),"",Settings!$B$14)</f>
        <v/>
      </c>
      <c r="N84" s="30">
        <f>IF(ISBLANK(Inventory!A84),0,SUM(E84:G84)*Inventory!J84)</f>
        <v>0</v>
      </c>
      <c r="O84" s="35" t="str">
        <f>IF(OR(ISBLANK(P84),P84=0),"",Settings!$B$14)</f>
        <v/>
      </c>
      <c r="P84" s="30">
        <f>IF(ISBLANK(Inventory!A84),0,H84*Inventory!J84)</f>
        <v>0</v>
      </c>
    </row>
    <row r="85" spans="1:16" s="29" customFormat="1" ht="15" customHeight="1">
      <c r="A85" s="31" t="str">
        <f>IF(ISBLANK(Inventory!A85),"",Inventory!A85)</f>
        <v>Piesporter (Small)</v>
      </c>
      <c r="B85" s="31" t="str">
        <f>IF(ISBLANK(Inventory!A85),"",Inventory!C85)</f>
        <v>375ml</v>
      </c>
      <c r="C85" s="187"/>
      <c r="D85" s="192"/>
      <c r="E85" s="187"/>
      <c r="F85" s="187"/>
      <c r="G85" s="187"/>
      <c r="H85" s="37">
        <f>IF(ISBLANK(Inventory!A85),0,C85+SUM('Week 2'!E85:G85)-SUM(E85:G85))</f>
        <v>0</v>
      </c>
      <c r="I85" s="35" t="str">
        <f>IF(OR(ISBLANK(J85),J85=0),"",Settings!$B$14)</f>
        <v/>
      </c>
      <c r="J85" s="30">
        <f>IF(ISBLANK(C85),0,C85*Inventory!H85)</f>
        <v>0</v>
      </c>
      <c r="K85" s="35" t="str">
        <f>IF(OR(ISBLANK(L85),L85=0),"",Settings!$B$14)</f>
        <v/>
      </c>
      <c r="L85" s="30">
        <f>IF(ISBLANK(Inventory!A85),0,SUM(E85:G85)*Inventory!H85)</f>
        <v>0</v>
      </c>
      <c r="M85" s="35" t="str">
        <f>IF(OR(ISBLANK(N85),N85=0),"",Settings!$B$14)</f>
        <v/>
      </c>
      <c r="N85" s="30">
        <f>IF(ISBLANK(Inventory!A85),0,SUM(E85:G85)*Inventory!J85)</f>
        <v>0</v>
      </c>
      <c r="O85" s="35" t="str">
        <f>IF(OR(ISBLANK(P85),P85=0),"",Settings!$B$14)</f>
        <v/>
      </c>
      <c r="P85" s="30">
        <f>IF(ISBLANK(Inventory!A85),0,H85*Inventory!J85)</f>
        <v>0</v>
      </c>
    </row>
    <row r="86" spans="1:16" s="29" customFormat="1" ht="15" customHeight="1">
      <c r="A86" s="31" t="str">
        <f>IF(ISBLANK(Inventory!A86),"",Inventory!A86)</f>
        <v>Pinot Grigio</v>
      </c>
      <c r="B86" s="31" t="str">
        <f>IF(ISBLANK(Inventory!A86),"",Inventory!C86)</f>
        <v>750ml</v>
      </c>
      <c r="C86" s="187"/>
      <c r="D86" s="192"/>
      <c r="E86" s="187"/>
      <c r="F86" s="187"/>
      <c r="G86" s="187"/>
      <c r="H86" s="37">
        <f>IF(ISBLANK(Inventory!A86),0,C86+SUM('Week 2'!E86:G86)-SUM(E86:G86))</f>
        <v>0</v>
      </c>
      <c r="I86" s="35" t="str">
        <f>IF(OR(ISBLANK(J86),J86=0),"",Settings!$B$14)</f>
        <v/>
      </c>
      <c r="J86" s="30">
        <f>IF(ISBLANK(C86),0,C86*Inventory!H86)</f>
        <v>0</v>
      </c>
      <c r="K86" s="35" t="str">
        <f>IF(OR(ISBLANK(L86),L86=0),"",Settings!$B$14)</f>
        <v/>
      </c>
      <c r="L86" s="30">
        <f>IF(ISBLANK(Inventory!A86),0,SUM(E86:G86)*Inventory!H86)</f>
        <v>0</v>
      </c>
      <c r="M86" s="35" t="str">
        <f>IF(OR(ISBLANK(N86),N86=0),"",Settings!$B$14)</f>
        <v/>
      </c>
      <c r="N86" s="30">
        <f>IF(ISBLANK(Inventory!A86),0,SUM(E86:G86)*Inventory!J86)</f>
        <v>0</v>
      </c>
      <c r="O86" s="35" t="str">
        <f>IF(OR(ISBLANK(P86),P86=0),"",Settings!$B$14)</f>
        <v/>
      </c>
      <c r="P86" s="30">
        <f>IF(ISBLANK(Inventory!A86),0,H86*Inventory!J86)</f>
        <v>0</v>
      </c>
    </row>
    <row r="87" spans="1:16" s="29" customFormat="1" ht="15" customHeight="1">
      <c r="A87" s="31" t="str">
        <f>IF(ISBLANK(Inventory!A87),"",Inventory!A87)</f>
        <v>Faustino Crianza</v>
      </c>
      <c r="B87" s="31" t="str">
        <f>IF(ISBLANK(Inventory!A87),"",Inventory!C87)</f>
        <v>750ml</v>
      </c>
      <c r="C87" s="187"/>
      <c r="D87" s="192"/>
      <c r="E87" s="187"/>
      <c r="F87" s="187"/>
      <c r="G87" s="187"/>
      <c r="H87" s="37">
        <f>IF(ISBLANK(Inventory!A87),0,C87+SUM('Week 2'!E87:G87)-SUM(E87:G87))</f>
        <v>0</v>
      </c>
      <c r="I87" s="35" t="str">
        <f>IF(OR(ISBLANK(J87),J87=0),"",Settings!$B$14)</f>
        <v/>
      </c>
      <c r="J87" s="30">
        <f>IF(ISBLANK(C87),0,C87*Inventory!H87)</f>
        <v>0</v>
      </c>
      <c r="K87" s="35" t="str">
        <f>IF(OR(ISBLANK(L87),L87=0),"",Settings!$B$14)</f>
        <v/>
      </c>
      <c r="L87" s="30">
        <f>IF(ISBLANK(Inventory!A87),0,SUM(E87:G87)*Inventory!H87)</f>
        <v>0</v>
      </c>
      <c r="M87" s="35" t="str">
        <f>IF(OR(ISBLANK(N87),N87=0),"",Settings!$B$14)</f>
        <v/>
      </c>
      <c r="N87" s="30">
        <f>IF(ISBLANK(Inventory!A87),0,SUM(E87:G87)*Inventory!J87)</f>
        <v>0</v>
      </c>
      <c r="O87" s="35" t="str">
        <f>IF(OR(ISBLANK(P87),P87=0),"",Settings!$B$14)</f>
        <v/>
      </c>
      <c r="P87" s="30">
        <f>IF(ISBLANK(Inventory!A87),0,H87*Inventory!J87)</f>
        <v>0</v>
      </c>
    </row>
    <row r="88" spans="1:16" s="29" customFormat="1" ht="15" customHeight="1">
      <c r="A88" s="31" t="str">
        <f>IF(ISBLANK(Inventory!A88),"",Inventory!A88)</f>
        <v>35º South White</v>
      </c>
      <c r="B88" s="31" t="str">
        <f>IF(ISBLANK(Inventory!A88),"",Inventory!C88)</f>
        <v>750ml</v>
      </c>
      <c r="C88" s="187"/>
      <c r="D88" s="192"/>
      <c r="E88" s="187"/>
      <c r="F88" s="187"/>
      <c r="G88" s="187"/>
      <c r="H88" s="37">
        <f>IF(ISBLANK(Inventory!A88),0,C88+SUM('Week 2'!E88:G88)-SUM(E88:G88))</f>
        <v>0</v>
      </c>
      <c r="I88" s="35" t="str">
        <f>IF(OR(ISBLANK(J88),J88=0),"",Settings!$B$14)</f>
        <v/>
      </c>
      <c r="J88" s="30">
        <f>IF(ISBLANK(C88),0,C88*Inventory!H88)</f>
        <v>0</v>
      </c>
      <c r="K88" s="35" t="str">
        <f>IF(OR(ISBLANK(L88),L88=0),"",Settings!$B$14)</f>
        <v/>
      </c>
      <c r="L88" s="30">
        <f>IF(ISBLANK(Inventory!A88),0,SUM(E88:G88)*Inventory!H88)</f>
        <v>0</v>
      </c>
      <c r="M88" s="35" t="str">
        <f>IF(OR(ISBLANK(N88),N88=0),"",Settings!$B$14)</f>
        <v/>
      </c>
      <c r="N88" s="30">
        <f>IF(ISBLANK(Inventory!A88),0,SUM(E88:G88)*Inventory!J88)</f>
        <v>0</v>
      </c>
      <c r="O88" s="35" t="str">
        <f>IF(OR(ISBLANK(P88),P88=0),"",Settings!$B$14)</f>
        <v/>
      </c>
      <c r="P88" s="30">
        <f>IF(ISBLANK(Inventory!A88),0,H88*Inventory!J88)</f>
        <v>0</v>
      </c>
    </row>
    <row r="89" spans="1:16" s="29" customFormat="1" ht="15" customHeight="1">
      <c r="A89" s="31" t="str">
        <f>IF(ISBLANK(Inventory!A89),"",Inventory!A89)</f>
        <v/>
      </c>
      <c r="B89" s="31" t="str">
        <f>IF(ISBLANK(Inventory!A89),"",Inventory!C89)</f>
        <v/>
      </c>
      <c r="C89" s="187"/>
      <c r="D89" s="192"/>
      <c r="E89" s="187"/>
      <c r="F89" s="187"/>
      <c r="G89" s="187"/>
      <c r="H89" s="37">
        <f>IF(ISBLANK(Inventory!A89),0,C89+SUM('Week 2'!E89:G89)-SUM(E89:G89))</f>
        <v>0</v>
      </c>
      <c r="I89" s="35" t="str">
        <f>IF(OR(ISBLANK(J89),J89=0),"",Settings!$B$14)</f>
        <v/>
      </c>
      <c r="J89" s="30">
        <f>IF(ISBLANK(C89),0,C89*Inventory!H89)</f>
        <v>0</v>
      </c>
      <c r="K89" s="35" t="str">
        <f>IF(OR(ISBLANK(L89),L89=0),"",Settings!$B$14)</f>
        <v/>
      </c>
      <c r="L89" s="30">
        <f>IF(ISBLANK(Inventory!A89),0,SUM(E89:G89)*Inventory!H89)</f>
        <v>0</v>
      </c>
      <c r="M89" s="35" t="str">
        <f>IF(OR(ISBLANK(N89),N89=0),"",Settings!$B$14)</f>
        <v/>
      </c>
      <c r="N89" s="30">
        <f>IF(ISBLANK(Inventory!A89),0,SUM(E89:G89)*Inventory!J89)</f>
        <v>0</v>
      </c>
      <c r="O89" s="35" t="str">
        <f>IF(OR(ISBLANK(P89),P89=0),"",Settings!$B$14)</f>
        <v/>
      </c>
      <c r="P89" s="30">
        <f>IF(ISBLANK(Inventory!A89),0,H89*Inventory!J89)</f>
        <v>0</v>
      </c>
    </row>
    <row r="90" spans="1:16" s="29" customFormat="1" ht="15" customHeight="1">
      <c r="A90" s="31" t="str">
        <f>IF(ISBLANK(Inventory!A90),"",Inventory!A90)</f>
        <v/>
      </c>
      <c r="B90" s="31" t="str">
        <f>IF(ISBLANK(Inventory!A90),"",Inventory!C90)</f>
        <v/>
      </c>
      <c r="C90" s="187"/>
      <c r="D90" s="192"/>
      <c r="E90" s="187"/>
      <c r="F90" s="187"/>
      <c r="G90" s="187"/>
      <c r="H90" s="37">
        <f>IF(ISBLANK(Inventory!A90),0,C90+SUM('Week 2'!E90:G90)-SUM(E90:G90))</f>
        <v>0</v>
      </c>
      <c r="I90" s="35" t="str">
        <f>IF(OR(ISBLANK(J90),J90=0),"",Settings!$B$14)</f>
        <v/>
      </c>
      <c r="J90" s="30">
        <f>IF(ISBLANK(C90),0,C90*Inventory!H90)</f>
        <v>0</v>
      </c>
      <c r="K90" s="35" t="str">
        <f>IF(OR(ISBLANK(L90),L90=0),"",Settings!$B$14)</f>
        <v/>
      </c>
      <c r="L90" s="30">
        <f>IF(ISBLANK(Inventory!A90),0,SUM(E90:G90)*Inventory!H90)</f>
        <v>0</v>
      </c>
      <c r="M90" s="35" t="str">
        <f>IF(OR(ISBLANK(N90),N90=0),"",Settings!$B$14)</f>
        <v/>
      </c>
      <c r="N90" s="30">
        <f>IF(ISBLANK(Inventory!A90),0,SUM(E90:G90)*Inventory!J90)</f>
        <v>0</v>
      </c>
      <c r="O90" s="35" t="str">
        <f>IF(OR(ISBLANK(P90),P90=0),"",Settings!$B$14)</f>
        <v/>
      </c>
      <c r="P90" s="30">
        <f>IF(ISBLANK(Inventory!A90),0,H90*Inventory!J90)</f>
        <v>0</v>
      </c>
    </row>
    <row r="91" spans="1:16" s="29" customFormat="1" ht="15" customHeight="1">
      <c r="A91" s="31" t="str">
        <f>IF(ISBLANK(Inventory!A91),"",Inventory!A91)</f>
        <v/>
      </c>
      <c r="B91" s="31" t="str">
        <f>IF(ISBLANK(Inventory!A91),"",Inventory!C91)</f>
        <v/>
      </c>
      <c r="C91" s="187"/>
      <c r="D91" s="192"/>
      <c r="E91" s="187"/>
      <c r="F91" s="187"/>
      <c r="G91" s="187"/>
      <c r="H91" s="37">
        <f>IF(ISBLANK(Inventory!A91),0,C91+SUM('Week 2'!E91:G91)-SUM(E91:G91))</f>
        <v>0</v>
      </c>
      <c r="I91" s="35" t="str">
        <f>IF(OR(ISBLANK(J91),J91=0),"",Settings!$B$14)</f>
        <v/>
      </c>
      <c r="J91" s="30">
        <f>IF(ISBLANK(C91),0,C91*Inventory!H91)</f>
        <v>0</v>
      </c>
      <c r="K91" s="35" t="str">
        <f>IF(OR(ISBLANK(L91),L91=0),"",Settings!$B$14)</f>
        <v/>
      </c>
      <c r="L91" s="30">
        <f>IF(ISBLANK(Inventory!A91),0,SUM(E91:G91)*Inventory!H91)</f>
        <v>0</v>
      </c>
      <c r="M91" s="35" t="str">
        <f>IF(OR(ISBLANK(N91),N91=0),"",Settings!$B$14)</f>
        <v/>
      </c>
      <c r="N91" s="30">
        <f>IF(ISBLANK(Inventory!A91),0,SUM(E91:G91)*Inventory!J91)</f>
        <v>0</v>
      </c>
      <c r="O91" s="35" t="str">
        <f>IF(OR(ISBLANK(P91),P91=0),"",Settings!$B$14)</f>
        <v/>
      </c>
      <c r="P91" s="30">
        <f>IF(ISBLANK(Inventory!A91),0,H91*Inventory!J91)</f>
        <v>0</v>
      </c>
    </row>
    <row r="92" spans="1:16" s="29" customFormat="1" ht="15" customHeight="1">
      <c r="A92" s="31" t="str">
        <f>IF(ISBLANK(Inventory!A92),"",Inventory!A92)</f>
        <v/>
      </c>
      <c r="B92" s="31" t="str">
        <f>IF(ISBLANK(Inventory!A92),"",Inventory!C92)</f>
        <v/>
      </c>
      <c r="C92" s="187"/>
      <c r="D92" s="192"/>
      <c r="E92" s="187"/>
      <c r="F92" s="187"/>
      <c r="G92" s="187"/>
      <c r="H92" s="37">
        <f>IF(ISBLANK(Inventory!A92),0,C92+SUM('Week 2'!E92:G92)-SUM(E92:G92))</f>
        <v>0</v>
      </c>
      <c r="I92" s="35" t="str">
        <f>IF(OR(ISBLANK(J92),J92=0),"",Settings!$B$14)</f>
        <v/>
      </c>
      <c r="J92" s="30">
        <f>IF(ISBLANK(C92),0,C92*Inventory!H92)</f>
        <v>0</v>
      </c>
      <c r="K92" s="35" t="str">
        <f>IF(OR(ISBLANK(L92),L92=0),"",Settings!$B$14)</f>
        <v/>
      </c>
      <c r="L92" s="30">
        <f>IF(ISBLANK(Inventory!A92),0,SUM(E92:G92)*Inventory!H92)</f>
        <v>0</v>
      </c>
      <c r="M92" s="35" t="str">
        <f>IF(OR(ISBLANK(N92),N92=0),"",Settings!$B$14)</f>
        <v/>
      </c>
      <c r="N92" s="30">
        <f>IF(ISBLANK(Inventory!A92),0,SUM(E92:G92)*Inventory!J92)</f>
        <v>0</v>
      </c>
      <c r="O92" s="35" t="str">
        <f>IF(OR(ISBLANK(P92),P92=0),"",Settings!$B$14)</f>
        <v/>
      </c>
      <c r="P92" s="30">
        <f>IF(ISBLANK(Inventory!A92),0,H92*Inventory!J92)</f>
        <v>0</v>
      </c>
    </row>
    <row r="93" spans="1:16" s="29" customFormat="1" ht="15" customHeight="1">
      <c r="A93" s="31" t="str">
        <f>IF(ISBLANK(Inventory!A93),"",Inventory!A93)</f>
        <v/>
      </c>
      <c r="B93" s="31" t="str">
        <f>IF(ISBLANK(Inventory!A93),"",Inventory!C93)</f>
        <v/>
      </c>
      <c r="C93" s="187"/>
      <c r="D93" s="192"/>
      <c r="E93" s="187"/>
      <c r="F93" s="187"/>
      <c r="G93" s="187"/>
      <c r="H93" s="37">
        <f>IF(ISBLANK(Inventory!A93),0,C93+SUM('Week 2'!E93:G93)-SUM(E93:G93))</f>
        <v>0</v>
      </c>
      <c r="I93" s="35" t="str">
        <f>IF(OR(ISBLANK(J93),J93=0),"",Settings!$B$14)</f>
        <v/>
      </c>
      <c r="J93" s="30">
        <f>IF(ISBLANK(C93),0,C93*Inventory!H93)</f>
        <v>0</v>
      </c>
      <c r="K93" s="35" t="str">
        <f>IF(OR(ISBLANK(L93),L93=0),"",Settings!$B$14)</f>
        <v/>
      </c>
      <c r="L93" s="30">
        <f>IF(ISBLANK(Inventory!A93),0,SUM(E93:G93)*Inventory!H93)</f>
        <v>0</v>
      </c>
      <c r="M93" s="35" t="str">
        <f>IF(OR(ISBLANK(N93),N93=0),"",Settings!$B$14)</f>
        <v/>
      </c>
      <c r="N93" s="30">
        <f>IF(ISBLANK(Inventory!A93),0,SUM(E93:G93)*Inventory!J93)</f>
        <v>0</v>
      </c>
      <c r="O93" s="35" t="str">
        <f>IF(OR(ISBLANK(P93),P93=0),"",Settings!$B$14)</f>
        <v/>
      </c>
      <c r="P93" s="30">
        <f>IF(ISBLANK(Inventory!A93),0,H93*Inventory!J93)</f>
        <v>0</v>
      </c>
    </row>
    <row r="94" spans="1:16" s="29" customFormat="1" ht="15" customHeight="1">
      <c r="A94" s="31" t="str">
        <f>IF(ISBLANK(Inventory!A94),"",Inventory!A94)</f>
        <v/>
      </c>
      <c r="B94" s="31" t="str">
        <f>IF(ISBLANK(Inventory!A94),"",Inventory!C94)</f>
        <v/>
      </c>
      <c r="C94" s="187"/>
      <c r="D94" s="192"/>
      <c r="E94" s="187"/>
      <c r="F94" s="187"/>
      <c r="G94" s="187"/>
      <c r="H94" s="37">
        <f>IF(ISBLANK(Inventory!A94),0,C94+SUM('Week 2'!E94:G94)-SUM(E94:G94))</f>
        <v>0</v>
      </c>
      <c r="I94" s="35" t="str">
        <f>IF(OR(ISBLANK(J94),J94=0),"",Settings!$B$14)</f>
        <v/>
      </c>
      <c r="J94" s="30">
        <f>IF(ISBLANK(C94),0,C94*Inventory!H94)</f>
        <v>0</v>
      </c>
      <c r="K94" s="35" t="str">
        <f>IF(OR(ISBLANK(L94),L94=0),"",Settings!$B$14)</f>
        <v/>
      </c>
      <c r="L94" s="30">
        <f>IF(ISBLANK(Inventory!A94),0,SUM(E94:G94)*Inventory!H94)</f>
        <v>0</v>
      </c>
      <c r="M94" s="35" t="str">
        <f>IF(OR(ISBLANK(N94),N94=0),"",Settings!$B$14)</f>
        <v/>
      </c>
      <c r="N94" s="30">
        <f>IF(ISBLANK(Inventory!A94),0,SUM(E94:G94)*Inventory!J94)</f>
        <v>0</v>
      </c>
      <c r="O94" s="35" t="str">
        <f>IF(OR(ISBLANK(P94),P94=0),"",Settings!$B$14)</f>
        <v/>
      </c>
      <c r="P94" s="30">
        <f>IF(ISBLANK(Inventory!A94),0,H94*Inventory!J94)</f>
        <v>0</v>
      </c>
    </row>
    <row r="95" spans="1:16" s="29" customFormat="1" ht="15" customHeight="1">
      <c r="A95" s="31" t="str">
        <f>IF(ISBLANK(Inventory!A95),"",Inventory!A95)</f>
        <v/>
      </c>
      <c r="B95" s="31" t="str">
        <f>IF(ISBLANK(Inventory!A95),"",Inventory!C95)</f>
        <v/>
      </c>
      <c r="C95" s="187"/>
      <c r="D95" s="192"/>
      <c r="E95" s="187"/>
      <c r="F95" s="187"/>
      <c r="G95" s="187"/>
      <c r="H95" s="37">
        <f>IF(ISBLANK(Inventory!A95),0,C95+SUM('Week 2'!E95:G95)-SUM(E95:G95))</f>
        <v>0</v>
      </c>
      <c r="I95" s="35" t="str">
        <f>IF(OR(ISBLANK(J95),J95=0),"",Settings!$B$14)</f>
        <v/>
      </c>
      <c r="J95" s="30">
        <f>IF(ISBLANK(C95),0,C95*Inventory!H95)</f>
        <v>0</v>
      </c>
      <c r="K95" s="35" t="str">
        <f>IF(OR(ISBLANK(L95),L95=0),"",Settings!$B$14)</f>
        <v/>
      </c>
      <c r="L95" s="30">
        <f>IF(ISBLANK(Inventory!A95),0,SUM(E95:G95)*Inventory!H95)</f>
        <v>0</v>
      </c>
      <c r="M95" s="35" t="str">
        <f>IF(OR(ISBLANK(N95),N95=0),"",Settings!$B$14)</f>
        <v/>
      </c>
      <c r="N95" s="30">
        <f>IF(ISBLANK(Inventory!A95),0,SUM(E95:G95)*Inventory!J95)</f>
        <v>0</v>
      </c>
      <c r="O95" s="35" t="str">
        <f>IF(OR(ISBLANK(P95),P95=0),"",Settings!$B$14)</f>
        <v/>
      </c>
      <c r="P95" s="30">
        <f>IF(ISBLANK(Inventory!A95),0,H95*Inventory!J95)</f>
        <v>0</v>
      </c>
    </row>
    <row r="96" spans="1:16" s="29" customFormat="1" ht="15" customHeight="1">
      <c r="A96" s="31" t="str">
        <f>IF(ISBLANK(Inventory!A96),"",Inventory!A96)</f>
        <v/>
      </c>
      <c r="B96" s="31" t="str">
        <f>IF(ISBLANK(Inventory!A96),"",Inventory!C96)</f>
        <v/>
      </c>
      <c r="C96" s="187"/>
      <c r="D96" s="192"/>
      <c r="E96" s="187"/>
      <c r="F96" s="187"/>
      <c r="G96" s="187"/>
      <c r="H96" s="37">
        <f>IF(ISBLANK(Inventory!A96),0,C96+SUM('Week 2'!E96:G96)-SUM(E96:G96))</f>
        <v>0</v>
      </c>
      <c r="I96" s="35" t="str">
        <f>IF(OR(ISBLANK(J96),J96=0),"",Settings!$B$14)</f>
        <v/>
      </c>
      <c r="J96" s="30">
        <f>IF(ISBLANK(C96),0,C96*Inventory!H96)</f>
        <v>0</v>
      </c>
      <c r="K96" s="35" t="str">
        <f>IF(OR(ISBLANK(L96),L96=0),"",Settings!$B$14)</f>
        <v/>
      </c>
      <c r="L96" s="30">
        <f>IF(ISBLANK(Inventory!A96),0,SUM(E96:G96)*Inventory!H96)</f>
        <v>0</v>
      </c>
      <c r="M96" s="35" t="str">
        <f>IF(OR(ISBLANK(N96),N96=0),"",Settings!$B$14)</f>
        <v/>
      </c>
      <c r="N96" s="30">
        <f>IF(ISBLANK(Inventory!A96),0,SUM(E96:G96)*Inventory!J96)</f>
        <v>0</v>
      </c>
      <c r="O96" s="35" t="str">
        <f>IF(OR(ISBLANK(P96),P96=0),"",Settings!$B$14)</f>
        <v/>
      </c>
      <c r="P96" s="30">
        <f>IF(ISBLANK(Inventory!A96),0,H96*Inventory!J96)</f>
        <v>0</v>
      </c>
    </row>
    <row r="97" spans="1:16" s="29" customFormat="1" ht="15" customHeight="1">
      <c r="A97" s="31" t="str">
        <f>IF(ISBLANK(Inventory!A97),"",Inventory!A97)</f>
        <v/>
      </c>
      <c r="B97" s="31" t="str">
        <f>IF(ISBLANK(Inventory!A97),"",Inventory!C97)</f>
        <v/>
      </c>
      <c r="C97" s="187"/>
      <c r="D97" s="192"/>
      <c r="E97" s="187"/>
      <c r="F97" s="187"/>
      <c r="G97" s="187"/>
      <c r="H97" s="37">
        <f>IF(ISBLANK(Inventory!A97),0,C97+SUM('Week 2'!E97:G97)-SUM(E97:G97))</f>
        <v>0</v>
      </c>
      <c r="I97" s="35" t="str">
        <f>IF(OR(ISBLANK(J97),J97=0),"",Settings!$B$14)</f>
        <v/>
      </c>
      <c r="J97" s="30">
        <f>IF(ISBLANK(C97),0,C97*Inventory!H97)</f>
        <v>0</v>
      </c>
      <c r="K97" s="35" t="str">
        <f>IF(OR(ISBLANK(L97),L97=0),"",Settings!$B$14)</f>
        <v/>
      </c>
      <c r="L97" s="30">
        <f>IF(ISBLANK(Inventory!A97),0,SUM(E97:G97)*Inventory!H97)</f>
        <v>0</v>
      </c>
      <c r="M97" s="35" t="str">
        <f>IF(OR(ISBLANK(N97),N97=0),"",Settings!$B$14)</f>
        <v/>
      </c>
      <c r="N97" s="30">
        <f>IF(ISBLANK(Inventory!A97),0,SUM(E97:G97)*Inventory!J97)</f>
        <v>0</v>
      </c>
      <c r="O97" s="35" t="str">
        <f>IF(OR(ISBLANK(P97),P97=0),"",Settings!$B$14)</f>
        <v/>
      </c>
      <c r="P97" s="30">
        <f>IF(ISBLANK(Inventory!A97),0,H97*Inventory!J97)</f>
        <v>0</v>
      </c>
    </row>
    <row r="98" spans="1:16" ht="6.95" customHeight="1">
      <c r="A98" s="24"/>
      <c r="B98" s="24"/>
      <c r="C98" s="69"/>
      <c r="D98" s="69"/>
      <c r="E98" s="69"/>
      <c r="F98" s="69"/>
      <c r="G98" s="69"/>
      <c r="H98" s="69"/>
      <c r="I98" s="69"/>
      <c r="J98" s="69"/>
      <c r="K98" s="69"/>
      <c r="L98" s="25"/>
      <c r="M98" s="62"/>
      <c r="N98" s="160"/>
      <c r="O98" s="25"/>
      <c r="P98" s="160"/>
    </row>
    <row r="99" spans="1:16" s="45" customFormat="1" ht="18" customHeight="1" thickBot="1">
      <c r="A99" s="78" t="str">
        <f>Inventory!A99</f>
        <v>DRAUGHT BEER</v>
      </c>
      <c r="B99" s="78" t="str">
        <f>Inventory!C99</f>
        <v>VOLUME</v>
      </c>
      <c r="C99" s="22" t="s">
        <v>187</v>
      </c>
      <c r="D99" s="22"/>
      <c r="E99" s="22" t="s">
        <v>101</v>
      </c>
      <c r="F99" s="22"/>
      <c r="G99" s="23" t="s">
        <v>108</v>
      </c>
      <c r="H99" s="79" t="s">
        <v>119</v>
      </c>
      <c r="I99" s="253" t="s">
        <v>190</v>
      </c>
      <c r="J99" s="253"/>
      <c r="K99" s="235" t="s">
        <v>30</v>
      </c>
      <c r="L99" s="235"/>
      <c r="M99" s="235" t="s">
        <v>31</v>
      </c>
      <c r="N99" s="235"/>
      <c r="O99" s="235" t="s">
        <v>189</v>
      </c>
      <c r="P99" s="235"/>
    </row>
    <row r="100" spans="1:16" ht="6.95" customHeight="1" thickTop="1">
      <c r="A100" s="193"/>
      <c r="B100" s="194"/>
      <c r="C100" s="71"/>
      <c r="D100" s="71"/>
      <c r="E100" s="67"/>
      <c r="F100" s="67"/>
      <c r="G100" s="71"/>
      <c r="H100" s="71"/>
      <c r="I100" s="71"/>
      <c r="J100" s="71"/>
      <c r="K100" s="71"/>
      <c r="L100" s="67"/>
      <c r="M100" s="62"/>
      <c r="N100" s="67"/>
      <c r="O100" s="67"/>
      <c r="P100" s="67"/>
    </row>
    <row r="101" spans="1:16" s="29" customFormat="1" ht="15" customHeight="1">
      <c r="A101" s="31" t="str">
        <f>IF(ISBLANK(Inventory!A101),"",Inventory!A101)</f>
        <v>Boddingtons</v>
      </c>
      <c r="B101" s="31" t="str">
        <f>IF(ISBLANK(Inventory!A101),"",Inventory!C101)</f>
        <v>22 Gallon</v>
      </c>
      <c r="C101" s="187">
        <v>1</v>
      </c>
      <c r="D101" s="192"/>
      <c r="E101" s="187">
        <v>1</v>
      </c>
      <c r="F101" s="173"/>
      <c r="G101" s="187">
        <v>0.5</v>
      </c>
      <c r="H101" s="37">
        <f>IF(ISBLANK(Inventory!A101),0,C101+SUM('Week 2'!E101:G101)-SUM(E101:G101))</f>
        <v>1</v>
      </c>
      <c r="I101" s="35" t="str">
        <f>IF(OR(ISBLANK(J101),J101=0),"",Settings!$B$14)</f>
        <v>$</v>
      </c>
      <c r="J101" s="30">
        <f>IF(ISBLANK(C101),0,C101*Inventory!F101)</f>
        <v>95.38</v>
      </c>
      <c r="K101" s="35" t="str">
        <f>IF(OR(ISBLANK(L101),L101=0),"",Settings!$B$14)</f>
        <v>$</v>
      </c>
      <c r="L101" s="30">
        <f>IF(ISBLANK(Inventory!A101),0,SUM(E101:G101)*Inventory!F101)</f>
        <v>143.07</v>
      </c>
      <c r="M101" s="35" t="str">
        <f>IF(OR(ISBLANK(N101),N101=0),"",Settings!$B$14)</f>
        <v>$</v>
      </c>
      <c r="N101" s="30">
        <f>IF(ISBLANK(Inventory!A101),0,SUM(E101:G101)*Inventory!L101)</f>
        <v>707.52</v>
      </c>
      <c r="O101" s="35" t="str">
        <f>IF(OR(ISBLANK(P101),P101=0),"",Settings!$B$14)</f>
        <v>$</v>
      </c>
      <c r="P101" s="30">
        <f>IF(ISBLANK(Inventory!A101),0,H101*Inventory!L101)</f>
        <v>471.68</v>
      </c>
    </row>
    <row r="102" spans="1:16" s="29" customFormat="1" ht="15" customHeight="1">
      <c r="A102" s="31" t="str">
        <f>IF(ISBLANK(Inventory!A102),"",Inventory!A102)</f>
        <v>Murphy's</v>
      </c>
      <c r="B102" s="31" t="str">
        <f>IF(ISBLANK(Inventory!A102),"",Inventory!C102)</f>
        <v>10 Gallon</v>
      </c>
      <c r="C102" s="187">
        <v>1</v>
      </c>
      <c r="D102" s="192"/>
      <c r="E102" s="187">
        <v>1</v>
      </c>
      <c r="F102" s="173"/>
      <c r="G102" s="187">
        <v>0.1</v>
      </c>
      <c r="H102" s="37">
        <f>IF(ISBLANK(Inventory!A102),0,C102+SUM('Week 2'!E102:G102)-SUM(E102:G102))</f>
        <v>1</v>
      </c>
      <c r="I102" s="35" t="str">
        <f>IF(OR(ISBLANK(J102),J102=0),"",Settings!$B$14)</f>
        <v>$</v>
      </c>
      <c r="J102" s="30">
        <f>IF(ISBLANK(C102),0,C102*Inventory!F102)</f>
        <v>53.25</v>
      </c>
      <c r="K102" s="35" t="str">
        <f>IF(OR(ISBLANK(L102),L102=0),"",Settings!$B$14)</f>
        <v>$</v>
      </c>
      <c r="L102" s="30">
        <f>IF(ISBLANK(Inventory!A102),0,SUM(E102:G102)*Inventory!F102)</f>
        <v>58.575000000000003</v>
      </c>
      <c r="M102" s="35" t="str">
        <f>IF(OR(ISBLANK(N102),N102=0),"",Settings!$B$14)</f>
        <v>$</v>
      </c>
      <c r="N102" s="30">
        <f>IF(ISBLANK(Inventory!A102),0,SUM(E102:G102)*Inventory!L102)</f>
        <v>256.96000000000004</v>
      </c>
      <c r="O102" s="35" t="str">
        <f>IF(OR(ISBLANK(P102),P102=0),"",Settings!$B$14)</f>
        <v>$</v>
      </c>
      <c r="P102" s="30">
        <f>IF(ISBLANK(Inventory!A102),0,H102*Inventory!L102)</f>
        <v>233.6</v>
      </c>
    </row>
    <row r="103" spans="1:16" s="29" customFormat="1" ht="15" customHeight="1">
      <c r="A103" s="31" t="str">
        <f>IF(ISBLANK(Inventory!A103),"",Inventory!A103)</f>
        <v/>
      </c>
      <c r="B103" s="31" t="str">
        <f>IF(ISBLANK(Inventory!A103),"",Inventory!C103)</f>
        <v/>
      </c>
      <c r="C103" s="187"/>
      <c r="D103" s="192"/>
      <c r="E103" s="187"/>
      <c r="F103" s="173"/>
      <c r="G103" s="187"/>
      <c r="H103" s="37">
        <f>IF(ISBLANK(Inventory!A103),0,C103+SUM('Week 2'!E103:G103)-SUM(E103:G103))</f>
        <v>0</v>
      </c>
      <c r="I103" s="35" t="str">
        <f>IF(OR(ISBLANK(J103),J103=0),"",Settings!$B$14)</f>
        <v/>
      </c>
      <c r="J103" s="30">
        <f>IF(ISBLANK(C103),0,C103*Inventory!F103)</f>
        <v>0</v>
      </c>
      <c r="K103" s="35" t="str">
        <f>IF(OR(ISBLANK(L103),L103=0),"",Settings!$B$14)</f>
        <v/>
      </c>
      <c r="L103" s="30">
        <f>IF(ISBLANK(Inventory!A103),0,SUM(E103:G103)*Inventory!F103)</f>
        <v>0</v>
      </c>
      <c r="M103" s="35" t="str">
        <f>IF(OR(ISBLANK(N103),N103=0),"",Settings!$B$14)</f>
        <v/>
      </c>
      <c r="N103" s="30">
        <f>IF(ISBLANK(Inventory!A103),0,SUM(E103:G103)*Inventory!L103)</f>
        <v>0</v>
      </c>
      <c r="O103" s="35" t="str">
        <f>IF(OR(ISBLANK(P103),P103=0),"",Settings!$B$14)</f>
        <v/>
      </c>
      <c r="P103" s="30">
        <f>IF(ISBLANK(Inventory!A103),0,H103*Inventory!L103)</f>
        <v>0</v>
      </c>
    </row>
    <row r="104" spans="1:16" s="29" customFormat="1" ht="15" customHeight="1">
      <c r="A104" s="31" t="str">
        <f>IF(ISBLANK(Inventory!A104),"",Inventory!A104)</f>
        <v/>
      </c>
      <c r="B104" s="31" t="str">
        <f>IF(ISBLANK(Inventory!A104),"",Inventory!C104)</f>
        <v/>
      </c>
      <c r="C104" s="187"/>
      <c r="D104" s="192"/>
      <c r="E104" s="187"/>
      <c r="F104" s="173"/>
      <c r="G104" s="187"/>
      <c r="H104" s="37">
        <f>IF(ISBLANK(Inventory!A104),0,C104+SUM('Week 2'!E104:G104)-SUM(E104:G104))</f>
        <v>0</v>
      </c>
      <c r="I104" s="35" t="str">
        <f>IF(OR(ISBLANK(J104),J104=0),"",Settings!$B$14)</f>
        <v/>
      </c>
      <c r="J104" s="30">
        <f>IF(ISBLANK(C104),0,C104*Inventory!F104)</f>
        <v>0</v>
      </c>
      <c r="K104" s="35" t="str">
        <f>IF(OR(ISBLANK(L104),L104=0),"",Settings!$B$14)</f>
        <v/>
      </c>
      <c r="L104" s="30">
        <f>IF(ISBLANK(Inventory!A104),0,SUM(E104:G104)*Inventory!F104)</f>
        <v>0</v>
      </c>
      <c r="M104" s="35" t="str">
        <f>IF(OR(ISBLANK(N104),N104=0),"",Settings!$B$14)</f>
        <v/>
      </c>
      <c r="N104" s="30">
        <f>IF(ISBLANK(Inventory!A104),0,SUM(E104:G104)*Inventory!L104)</f>
        <v>0</v>
      </c>
      <c r="O104" s="35" t="str">
        <f>IF(OR(ISBLANK(P104),P104=0),"",Settings!$B$14)</f>
        <v/>
      </c>
      <c r="P104" s="30">
        <f>IF(ISBLANK(Inventory!A104),0,H104*Inventory!L104)</f>
        <v>0</v>
      </c>
    </row>
    <row r="105" spans="1:16" s="29" customFormat="1" ht="15" customHeight="1">
      <c r="A105" s="31" t="str">
        <f>IF(ISBLANK(Inventory!A105),"",Inventory!A105)</f>
        <v/>
      </c>
      <c r="B105" s="31" t="str">
        <f>IF(ISBLANK(Inventory!A105),"",Inventory!C105)</f>
        <v/>
      </c>
      <c r="C105" s="187"/>
      <c r="D105" s="192"/>
      <c r="E105" s="187"/>
      <c r="F105" s="173"/>
      <c r="G105" s="187"/>
      <c r="H105" s="37">
        <f>IF(ISBLANK(Inventory!A105),0,C105+SUM('Week 2'!E105:G105)-SUM(E105:G105))</f>
        <v>0</v>
      </c>
      <c r="I105" s="35" t="str">
        <f>IF(OR(ISBLANK(J105),J105=0),"",Settings!$B$14)</f>
        <v/>
      </c>
      <c r="J105" s="30">
        <f>IF(ISBLANK(C105),0,C105*Inventory!F105)</f>
        <v>0</v>
      </c>
      <c r="K105" s="35" t="str">
        <f>IF(OR(ISBLANK(L105),L105=0),"",Settings!$B$14)</f>
        <v/>
      </c>
      <c r="L105" s="30">
        <f>IF(ISBLANK(Inventory!A105),0,SUM(E105:G105)*Inventory!F105)</f>
        <v>0</v>
      </c>
      <c r="M105" s="35" t="str">
        <f>IF(OR(ISBLANK(N105),N105=0),"",Settings!$B$14)</f>
        <v/>
      </c>
      <c r="N105" s="30">
        <f>IF(ISBLANK(Inventory!A105),0,SUM(E105:G105)*Inventory!L105)</f>
        <v>0</v>
      </c>
      <c r="O105" s="35" t="str">
        <f>IF(OR(ISBLANK(P105),P105=0),"",Settings!$B$14)</f>
        <v/>
      </c>
      <c r="P105" s="30">
        <f>IF(ISBLANK(Inventory!A105),0,H105*Inventory!L105)</f>
        <v>0</v>
      </c>
    </row>
    <row r="106" spans="1:16" s="29" customFormat="1" ht="15" customHeight="1">
      <c r="A106" s="31" t="str">
        <f>IF(ISBLANK(Inventory!A106),"",Inventory!A106)</f>
        <v/>
      </c>
      <c r="B106" s="31" t="str">
        <f>IF(ISBLANK(Inventory!A106),"",Inventory!C106)</f>
        <v/>
      </c>
      <c r="C106" s="187"/>
      <c r="D106" s="192"/>
      <c r="E106" s="187"/>
      <c r="F106" s="173"/>
      <c r="G106" s="187"/>
      <c r="H106" s="37">
        <f>IF(ISBLANK(Inventory!A106),0,C106+SUM('Week 2'!E106:G106)-SUM(E106:G106))</f>
        <v>0</v>
      </c>
      <c r="I106" s="35" t="str">
        <f>IF(OR(ISBLANK(J106),J106=0),"",Settings!$B$14)</f>
        <v/>
      </c>
      <c r="J106" s="30">
        <f>IF(ISBLANK(C106),0,C106*Inventory!F106)</f>
        <v>0</v>
      </c>
      <c r="K106" s="35" t="str">
        <f>IF(OR(ISBLANK(L106),L106=0),"",Settings!$B$14)</f>
        <v/>
      </c>
      <c r="L106" s="30">
        <f>IF(ISBLANK(Inventory!A106),0,SUM(E106:G106)*Inventory!F106)</f>
        <v>0</v>
      </c>
      <c r="M106" s="35" t="str">
        <f>IF(OR(ISBLANK(N106),N106=0),"",Settings!$B$14)</f>
        <v/>
      </c>
      <c r="N106" s="30">
        <f>IF(ISBLANK(Inventory!A106),0,SUM(E106:G106)*Inventory!L106)</f>
        <v>0</v>
      </c>
      <c r="O106" s="35" t="str">
        <f>IF(OR(ISBLANK(P106),P106=0),"",Settings!$B$14)</f>
        <v/>
      </c>
      <c r="P106" s="30">
        <f>IF(ISBLANK(Inventory!A106),0,H106*Inventory!L106)</f>
        <v>0</v>
      </c>
    </row>
    <row r="107" spans="1:16" ht="6.95" customHeight="1">
      <c r="A107" s="24"/>
      <c r="B107" s="24"/>
      <c r="C107" s="69"/>
      <c r="D107" s="69"/>
      <c r="E107" s="69"/>
      <c r="F107" s="69"/>
      <c r="G107" s="69"/>
      <c r="H107" s="69"/>
      <c r="I107" s="69"/>
      <c r="J107" s="69"/>
      <c r="K107" s="69"/>
      <c r="L107" s="25"/>
      <c r="M107" s="62"/>
      <c r="N107" s="160"/>
      <c r="O107" s="25"/>
      <c r="P107" s="160"/>
    </row>
    <row r="108" spans="1:16" s="45" customFormat="1" ht="18" customHeight="1" thickBot="1">
      <c r="A108" s="78" t="str">
        <f>Inventory!A108</f>
        <v>DRAUGHT LAGER</v>
      </c>
      <c r="B108" s="78" t="str">
        <f>Inventory!C108</f>
        <v>VOLUME</v>
      </c>
      <c r="C108" s="22" t="s">
        <v>187</v>
      </c>
      <c r="D108" s="22"/>
      <c r="E108" s="22" t="s">
        <v>101</v>
      </c>
      <c r="F108" s="22"/>
      <c r="G108" s="23" t="s">
        <v>108</v>
      </c>
      <c r="H108" s="79" t="s">
        <v>119</v>
      </c>
      <c r="I108" s="253" t="s">
        <v>190</v>
      </c>
      <c r="J108" s="253"/>
      <c r="K108" s="235" t="s">
        <v>30</v>
      </c>
      <c r="L108" s="235"/>
      <c r="M108" s="235" t="s">
        <v>31</v>
      </c>
      <c r="N108" s="235"/>
      <c r="O108" s="235" t="s">
        <v>189</v>
      </c>
      <c r="P108" s="235"/>
    </row>
    <row r="109" spans="1:16" ht="6.95" customHeight="1" thickTop="1">
      <c r="A109" s="193"/>
      <c r="B109" s="194"/>
      <c r="C109" s="71"/>
      <c r="D109" s="71"/>
      <c r="E109" s="67"/>
      <c r="F109" s="67"/>
      <c r="G109" s="71"/>
      <c r="H109" s="71"/>
      <c r="I109" s="71"/>
      <c r="J109" s="71"/>
      <c r="K109" s="71"/>
      <c r="L109" s="67"/>
      <c r="M109" s="62"/>
      <c r="N109" s="67"/>
      <c r="O109" s="67"/>
      <c r="P109" s="67"/>
    </row>
    <row r="110" spans="1:16" s="29" customFormat="1" ht="15" customHeight="1">
      <c r="A110" s="31" t="str">
        <f>IF(ISBLANK(Inventory!A110),"",Inventory!A110)</f>
        <v>Hoegaarden</v>
      </c>
      <c r="B110" s="31" t="str">
        <f>IF(ISBLANK(Inventory!A110),"",Inventory!C110)</f>
        <v>7.1 Gallon</v>
      </c>
      <c r="C110" s="187"/>
      <c r="D110" s="192"/>
      <c r="E110" s="187">
        <v>1</v>
      </c>
      <c r="F110" s="173"/>
      <c r="G110" s="187">
        <v>0.8</v>
      </c>
      <c r="H110" s="37">
        <f>IF(ISBLANK(Inventory!A110),0,C110+SUM('Week 2'!E110:G110)-SUM(E110:G110))</f>
        <v>0</v>
      </c>
      <c r="I110" s="35" t="str">
        <f>IF(OR(ISBLANK(J110),J110=0),"",Settings!$B$14)</f>
        <v/>
      </c>
      <c r="J110" s="30">
        <f>IF(ISBLANK(C110),0,C110*Inventory!F110)</f>
        <v>0</v>
      </c>
      <c r="K110" s="35" t="str">
        <f>IF(OR(ISBLANK(L110),L110=0),"",Settings!$B$14)</f>
        <v>$</v>
      </c>
      <c r="L110" s="30">
        <f>IF(ISBLANK(Inventory!A110),0,SUM(E110:G110)*Inventory!F110)</f>
        <v>63</v>
      </c>
      <c r="M110" s="35" t="str">
        <f>IF(OR(ISBLANK(N110),N110=0),"",Settings!$B$14)</f>
        <v>$</v>
      </c>
      <c r="N110" s="30">
        <f>IF(ISBLANK(Inventory!A110),0,SUM(E110:G110)*Inventory!L110)</f>
        <v>260.71199999999999</v>
      </c>
      <c r="O110" s="35" t="str">
        <f>IF(OR(ISBLANK(P110),P110=0),"",Settings!$B$14)</f>
        <v/>
      </c>
      <c r="P110" s="30">
        <f>IF(ISBLANK(Inventory!A110),0,H110*Inventory!L110)</f>
        <v>0</v>
      </c>
    </row>
    <row r="111" spans="1:16" s="29" customFormat="1" ht="15" customHeight="1">
      <c r="A111" s="31" t="str">
        <f>IF(ISBLANK(Inventory!A111),"",Inventory!A111)</f>
        <v>Stella Artois</v>
      </c>
      <c r="B111" s="31" t="str">
        <f>IF(ISBLANK(Inventory!A111),"",Inventory!C111)</f>
        <v>22 Gallon</v>
      </c>
      <c r="C111" s="187"/>
      <c r="D111" s="192"/>
      <c r="E111" s="187"/>
      <c r="F111" s="173"/>
      <c r="G111" s="187"/>
      <c r="H111" s="37">
        <f>IF(ISBLANK(Inventory!A111),0,C111+SUM('Week 2'!E111:G111)-SUM(E111:G111))</f>
        <v>0</v>
      </c>
      <c r="I111" s="35" t="str">
        <f>IF(OR(ISBLANK(J111),J111=0),"",Settings!$B$14)</f>
        <v/>
      </c>
      <c r="J111" s="30">
        <f>IF(ISBLANK(C111),0,C111*Inventory!F111)</f>
        <v>0</v>
      </c>
      <c r="K111" s="35" t="str">
        <f>IF(OR(ISBLANK(L111),L111=0),"",Settings!$B$14)</f>
        <v/>
      </c>
      <c r="L111" s="30">
        <f>IF(ISBLANK(Inventory!A111),0,SUM(E111:G111)*Inventory!F111)</f>
        <v>0</v>
      </c>
      <c r="M111" s="35" t="str">
        <f>IF(OR(ISBLANK(N111),N111=0),"",Settings!$B$14)</f>
        <v/>
      </c>
      <c r="N111" s="30">
        <f>IF(ISBLANK(Inventory!A111),0,SUM(E111:G111)*Inventory!L111)</f>
        <v>0</v>
      </c>
      <c r="O111" s="35" t="str">
        <f>IF(OR(ISBLANK(P111),P111=0),"",Settings!$B$14)</f>
        <v/>
      </c>
      <c r="P111" s="30">
        <f>IF(ISBLANK(Inventory!A111),0,H111*Inventory!L111)</f>
        <v>0</v>
      </c>
    </row>
    <row r="112" spans="1:16" s="29" customFormat="1" ht="15" customHeight="1">
      <c r="A112" s="31" t="str">
        <f>IF(ISBLANK(Inventory!A112),"",Inventory!A112)</f>
        <v>Stella Artois</v>
      </c>
      <c r="B112" s="31" t="str">
        <f>IF(ISBLANK(Inventory!A112),"",Inventory!C112)</f>
        <v>10 Gallon</v>
      </c>
      <c r="C112" s="187"/>
      <c r="D112" s="192"/>
      <c r="E112" s="187"/>
      <c r="F112" s="173"/>
      <c r="G112" s="187"/>
      <c r="H112" s="37">
        <f>IF(ISBLANK(Inventory!A112),0,C112+SUM('Week 2'!E112:G112)-SUM(E112:G112))</f>
        <v>0</v>
      </c>
      <c r="I112" s="35" t="str">
        <f>IF(OR(ISBLANK(J112),J112=0),"",Settings!$B$14)</f>
        <v/>
      </c>
      <c r="J112" s="30">
        <f>IF(ISBLANK(C112),0,C112*Inventory!F112)</f>
        <v>0</v>
      </c>
      <c r="K112" s="35" t="str">
        <f>IF(OR(ISBLANK(L112),L112=0),"",Settings!$B$14)</f>
        <v/>
      </c>
      <c r="L112" s="30">
        <f>IF(ISBLANK(Inventory!A112),0,SUM(E112:G112)*Inventory!F112)</f>
        <v>0</v>
      </c>
      <c r="M112" s="35" t="str">
        <f>IF(OR(ISBLANK(N112),N112=0),"",Settings!$B$14)</f>
        <v/>
      </c>
      <c r="N112" s="30">
        <f>IF(ISBLANK(Inventory!A112),0,SUM(E112:G112)*Inventory!L112)</f>
        <v>0</v>
      </c>
      <c r="O112" s="35" t="str">
        <f>IF(OR(ISBLANK(P112),P112=0),"",Settings!$B$14)</f>
        <v/>
      </c>
      <c r="P112" s="30">
        <f>IF(ISBLANK(Inventory!A112),0,H112*Inventory!L112)</f>
        <v>0</v>
      </c>
    </row>
    <row r="113" spans="1:16" s="29" customFormat="1" ht="15" customHeight="1">
      <c r="A113" s="31" t="str">
        <f>IF(ISBLANK(Inventory!A113),"",Inventory!A113)</f>
        <v/>
      </c>
      <c r="B113" s="31" t="str">
        <f>IF(ISBLANK(Inventory!A113),"",Inventory!C113)</f>
        <v/>
      </c>
      <c r="C113" s="187"/>
      <c r="D113" s="192"/>
      <c r="E113" s="187"/>
      <c r="F113" s="173"/>
      <c r="G113" s="187"/>
      <c r="H113" s="37">
        <f>IF(ISBLANK(Inventory!A113),0,C113+SUM('Week 2'!E113:G113)-SUM(E113:G113))</f>
        <v>0</v>
      </c>
      <c r="I113" s="35" t="str">
        <f>IF(OR(ISBLANK(J113),J113=0),"",Settings!$B$14)</f>
        <v/>
      </c>
      <c r="J113" s="30">
        <f>IF(ISBLANK(C113),0,C113*Inventory!F113)</f>
        <v>0</v>
      </c>
      <c r="K113" s="35" t="str">
        <f>IF(OR(ISBLANK(L113),L113=0),"",Settings!$B$14)</f>
        <v/>
      </c>
      <c r="L113" s="30">
        <f>IF(ISBLANK(Inventory!A113),0,SUM(E113:G113)*Inventory!F113)</f>
        <v>0</v>
      </c>
      <c r="M113" s="35" t="str">
        <f>IF(OR(ISBLANK(N113),N113=0),"",Settings!$B$14)</f>
        <v/>
      </c>
      <c r="N113" s="30">
        <f>IF(ISBLANK(Inventory!A113),0,SUM(E113:G113)*Inventory!L113)</f>
        <v>0</v>
      </c>
      <c r="O113" s="35" t="str">
        <f>IF(OR(ISBLANK(P113),P113=0),"",Settings!$B$14)</f>
        <v/>
      </c>
      <c r="P113" s="30">
        <f>IF(ISBLANK(Inventory!A113),0,H113*Inventory!L113)</f>
        <v>0</v>
      </c>
    </row>
    <row r="114" spans="1:16" s="29" customFormat="1" ht="15" customHeight="1">
      <c r="A114" s="31" t="str">
        <f>IF(ISBLANK(Inventory!A114),"",Inventory!A114)</f>
        <v/>
      </c>
      <c r="B114" s="31" t="str">
        <f>IF(ISBLANK(Inventory!A114),"",Inventory!C114)</f>
        <v/>
      </c>
      <c r="C114" s="187"/>
      <c r="D114" s="192"/>
      <c r="E114" s="187"/>
      <c r="F114" s="173"/>
      <c r="G114" s="187"/>
      <c r="H114" s="37">
        <f>IF(ISBLANK(Inventory!A114),0,C114+SUM('Week 2'!E114:G114)-SUM(E114:G114))</f>
        <v>0</v>
      </c>
      <c r="I114" s="35" t="str">
        <f>IF(OR(ISBLANK(J114),J114=0),"",Settings!$B$14)</f>
        <v/>
      </c>
      <c r="J114" s="30">
        <f>IF(ISBLANK(C114),0,C114*Inventory!F114)</f>
        <v>0</v>
      </c>
      <c r="K114" s="35" t="str">
        <f>IF(OR(ISBLANK(L114),L114=0),"",Settings!$B$14)</f>
        <v/>
      </c>
      <c r="L114" s="30">
        <f>IF(ISBLANK(Inventory!A114),0,SUM(E114:G114)*Inventory!F114)</f>
        <v>0</v>
      </c>
      <c r="M114" s="35" t="str">
        <f>IF(OR(ISBLANK(N114),N114=0),"",Settings!$B$14)</f>
        <v/>
      </c>
      <c r="N114" s="30">
        <f>IF(ISBLANK(Inventory!A114),0,SUM(E114:G114)*Inventory!L114)</f>
        <v>0</v>
      </c>
      <c r="O114" s="35" t="str">
        <f>IF(OR(ISBLANK(P114),P114=0),"",Settings!$B$14)</f>
        <v/>
      </c>
      <c r="P114" s="30">
        <f>IF(ISBLANK(Inventory!A114),0,H114*Inventory!L114)</f>
        <v>0</v>
      </c>
    </row>
    <row r="115" spans="1:16" s="29" customFormat="1" ht="15" customHeight="1">
      <c r="A115" s="31" t="str">
        <f>IF(ISBLANK(Inventory!A115),"",Inventory!A115)</f>
        <v/>
      </c>
      <c r="B115" s="31" t="str">
        <f>IF(ISBLANK(Inventory!A115),"",Inventory!C115)</f>
        <v/>
      </c>
      <c r="C115" s="187"/>
      <c r="D115" s="192"/>
      <c r="E115" s="187"/>
      <c r="F115" s="173"/>
      <c r="G115" s="187"/>
      <c r="H115" s="37">
        <f>IF(ISBLANK(Inventory!A115),0,C115+SUM('Week 2'!E115:G115)-SUM(E115:G115))</f>
        <v>0</v>
      </c>
      <c r="I115" s="35" t="str">
        <f>IF(OR(ISBLANK(J115),J115=0),"",Settings!$B$14)</f>
        <v/>
      </c>
      <c r="J115" s="30">
        <f>IF(ISBLANK(C115),0,C115*Inventory!F115)</f>
        <v>0</v>
      </c>
      <c r="K115" s="35" t="str">
        <f>IF(OR(ISBLANK(L115),L115=0),"",Settings!$B$14)</f>
        <v/>
      </c>
      <c r="L115" s="30">
        <f>IF(ISBLANK(Inventory!A115),0,SUM(E115:G115)*Inventory!F115)</f>
        <v>0</v>
      </c>
      <c r="M115" s="35" t="str">
        <f>IF(OR(ISBLANK(N115),N115=0),"",Settings!$B$14)</f>
        <v/>
      </c>
      <c r="N115" s="30">
        <f>IF(ISBLANK(Inventory!A115),0,SUM(E115:G115)*Inventory!L115)</f>
        <v>0</v>
      </c>
      <c r="O115" s="35" t="str">
        <f>IF(OR(ISBLANK(P115),P115=0),"",Settings!$B$14)</f>
        <v/>
      </c>
      <c r="P115" s="30">
        <f>IF(ISBLANK(Inventory!A115),0,H115*Inventory!L115)</f>
        <v>0</v>
      </c>
    </row>
    <row r="116" spans="1:16" ht="6.95" customHeight="1">
      <c r="A116" s="24"/>
      <c r="B116" s="24"/>
      <c r="C116" s="69"/>
      <c r="D116" s="69"/>
      <c r="E116" s="69"/>
      <c r="F116" s="69"/>
      <c r="G116" s="69"/>
      <c r="H116" s="69"/>
      <c r="I116" s="69"/>
      <c r="J116" s="69"/>
      <c r="K116" s="69"/>
      <c r="L116" s="25"/>
      <c r="M116" s="62"/>
      <c r="N116" s="160"/>
      <c r="O116" s="25"/>
      <c r="P116" s="160"/>
    </row>
    <row r="117" spans="1:16" s="45" customFormat="1" ht="18" customHeight="1" thickBot="1">
      <c r="A117" s="78" t="str">
        <f>Inventory!A117</f>
        <v>BOTTLED BEER</v>
      </c>
      <c r="B117" s="78" t="str">
        <f>Inventory!C117</f>
        <v>VOLUME</v>
      </c>
      <c r="C117" s="22" t="s">
        <v>187</v>
      </c>
      <c r="D117" s="22"/>
      <c r="E117" s="22" t="s">
        <v>101</v>
      </c>
      <c r="F117" s="22" t="s">
        <v>102</v>
      </c>
      <c r="G117" s="23"/>
      <c r="H117" s="79" t="s">
        <v>119</v>
      </c>
      <c r="I117" s="253" t="s">
        <v>190</v>
      </c>
      <c r="J117" s="253"/>
      <c r="K117" s="235" t="s">
        <v>30</v>
      </c>
      <c r="L117" s="235"/>
      <c r="M117" s="235" t="s">
        <v>31</v>
      </c>
      <c r="N117" s="235"/>
      <c r="O117" s="235" t="s">
        <v>189</v>
      </c>
      <c r="P117" s="235"/>
    </row>
    <row r="118" spans="1:16" ht="6.95" customHeight="1" thickTop="1">
      <c r="A118" s="193"/>
      <c r="B118" s="194"/>
      <c r="C118" s="71"/>
      <c r="D118" s="71"/>
      <c r="E118" s="67"/>
      <c r="F118" s="67"/>
      <c r="G118" s="71"/>
      <c r="H118" s="71"/>
      <c r="I118" s="71"/>
      <c r="J118" s="71"/>
      <c r="K118" s="71"/>
      <c r="L118" s="67"/>
      <c r="M118" s="62"/>
      <c r="N118" s="67"/>
      <c r="O118" s="67"/>
      <c r="P118" s="67"/>
    </row>
    <row r="119" spans="1:16" s="29" customFormat="1" ht="15" customHeight="1">
      <c r="A119" s="31" t="str">
        <f>IF(ISBLANK(Inventory!A119),"",Inventory!A119)</f>
        <v>Labatt Ice</v>
      </c>
      <c r="B119" s="31" t="str">
        <f>IF(ISBLANK(Inventory!A119),"",Inventory!C119)</f>
        <v>330ml</v>
      </c>
      <c r="C119" s="187"/>
      <c r="D119" s="192"/>
      <c r="E119" s="187">
        <v>20</v>
      </c>
      <c r="F119" s="187"/>
      <c r="G119" s="173"/>
      <c r="H119" s="37">
        <f>IF(ISBLANK(Inventory!A119),0,C119+SUM('Week 2'!E119:G119)-SUM(E119:G119))</f>
        <v>0</v>
      </c>
      <c r="I119" s="35" t="str">
        <f>IF(OR(ISBLANK(J119),J119=0),"",Settings!$B$14)</f>
        <v/>
      </c>
      <c r="J119" s="30">
        <f>IF(ISBLANK(C119),0,C119*Inventory!H119)</f>
        <v>0</v>
      </c>
      <c r="K119" s="35" t="str">
        <f>IF(OR(ISBLANK(L119),L119=0),"",Settings!$B$14)</f>
        <v>$</v>
      </c>
      <c r="L119" s="30">
        <f>IF(ISBLANK(Inventory!A119),0,SUM(E119:G119)*Inventory!H119)</f>
        <v>11.100000000000001</v>
      </c>
      <c r="M119" s="35" t="str">
        <f>IF(OR(ISBLANK(N119),N119=0),"",Settings!$B$14)</f>
        <v>$</v>
      </c>
      <c r="N119" s="30">
        <f>IF(ISBLANK(Inventory!A119),0,SUM(E119:G119)*Inventory!J119)</f>
        <v>54.400000000000006</v>
      </c>
      <c r="O119" s="35" t="str">
        <f>IF(OR(ISBLANK(P119),P119=0),"",Settings!$B$14)</f>
        <v/>
      </c>
      <c r="P119" s="30">
        <f>IF(ISBLANK(Inventory!A119),0,H119*Inventory!J119)</f>
        <v>0</v>
      </c>
    </row>
    <row r="120" spans="1:16" s="29" customFormat="1" ht="15" customHeight="1">
      <c r="A120" s="31" t="str">
        <f>IF(ISBLANK(Inventory!A120),"",Inventory!A120)</f>
        <v>Stella Artois</v>
      </c>
      <c r="B120" s="31" t="str">
        <f>IF(ISBLANK(Inventory!A120),"",Inventory!C120)</f>
        <v>330ml</v>
      </c>
      <c r="C120" s="187"/>
      <c r="D120" s="192"/>
      <c r="E120" s="187"/>
      <c r="F120" s="187"/>
      <c r="G120" s="173"/>
      <c r="H120" s="37">
        <f>IF(ISBLANK(Inventory!A120),0,C120+SUM('Week 2'!E120:G120)-SUM(E120:G120))</f>
        <v>0</v>
      </c>
      <c r="I120" s="35" t="str">
        <f>IF(OR(ISBLANK(J120),J120=0),"",Settings!$B$14)</f>
        <v/>
      </c>
      <c r="J120" s="30">
        <f>IF(ISBLANK(C120),0,C120*Inventory!H120)</f>
        <v>0</v>
      </c>
      <c r="K120" s="35" t="str">
        <f>IF(OR(ISBLANK(L120),L120=0),"",Settings!$B$14)</f>
        <v/>
      </c>
      <c r="L120" s="30">
        <f>IF(ISBLANK(Inventory!A120),0,SUM(E120:G120)*Inventory!H120)</f>
        <v>0</v>
      </c>
      <c r="M120" s="35" t="str">
        <f>IF(OR(ISBLANK(N120),N120=0),"",Settings!$B$14)</f>
        <v/>
      </c>
      <c r="N120" s="30">
        <f>IF(ISBLANK(Inventory!A120),0,SUM(E120:G120)*Inventory!J120)</f>
        <v>0</v>
      </c>
      <c r="O120" s="35" t="str">
        <f>IF(OR(ISBLANK(P120),P120=0),"",Settings!$B$14)</f>
        <v/>
      </c>
      <c r="P120" s="30">
        <f>IF(ISBLANK(Inventory!A120),0,H120*Inventory!J120)</f>
        <v>0</v>
      </c>
    </row>
    <row r="121" spans="1:16" s="29" customFormat="1" ht="15" customHeight="1">
      <c r="A121" s="31" t="str">
        <f>IF(ISBLANK(Inventory!A121),"",Inventory!A121)</f>
        <v>Budweiser</v>
      </c>
      <c r="B121" s="31" t="str">
        <f>IF(ISBLANK(Inventory!A121),"",Inventory!C121)</f>
        <v>330ml</v>
      </c>
      <c r="C121" s="187"/>
      <c r="D121" s="192"/>
      <c r="E121" s="187"/>
      <c r="F121" s="187"/>
      <c r="G121" s="173"/>
      <c r="H121" s="37">
        <f>IF(ISBLANK(Inventory!A121),0,C121+SUM('Week 2'!E121:G121)-SUM(E121:G121))</f>
        <v>0</v>
      </c>
      <c r="I121" s="35" t="str">
        <f>IF(OR(ISBLANK(J121),J121=0),"",Settings!$B$14)</f>
        <v/>
      </c>
      <c r="J121" s="30">
        <f>IF(ISBLANK(C121),0,C121*Inventory!H121)</f>
        <v>0</v>
      </c>
      <c r="K121" s="35" t="str">
        <f>IF(OR(ISBLANK(L121),L121=0),"",Settings!$B$14)</f>
        <v/>
      </c>
      <c r="L121" s="30">
        <f>IF(ISBLANK(Inventory!A121),0,SUM(E121:G121)*Inventory!H121)</f>
        <v>0</v>
      </c>
      <c r="M121" s="35" t="str">
        <f>IF(OR(ISBLANK(N121),N121=0),"",Settings!$B$14)</f>
        <v/>
      </c>
      <c r="N121" s="30">
        <f>IF(ISBLANK(Inventory!A121),0,SUM(E121:G121)*Inventory!J121)</f>
        <v>0</v>
      </c>
      <c r="O121" s="35" t="str">
        <f>IF(OR(ISBLANK(P121),P121=0),"",Settings!$B$14)</f>
        <v/>
      </c>
      <c r="P121" s="30">
        <f>IF(ISBLANK(Inventory!A121),0,H121*Inventory!J121)</f>
        <v>0</v>
      </c>
    </row>
    <row r="122" spans="1:16" s="29" customFormat="1" ht="15" customHeight="1">
      <c r="A122" s="31" t="str">
        <f>IF(ISBLANK(Inventory!A122),"",Inventory!A122)</f>
        <v>Becks</v>
      </c>
      <c r="B122" s="31" t="str">
        <f>IF(ISBLANK(Inventory!A122),"",Inventory!C122)</f>
        <v>275ml</v>
      </c>
      <c r="C122" s="187"/>
      <c r="D122" s="192"/>
      <c r="E122" s="187"/>
      <c r="F122" s="187"/>
      <c r="G122" s="173"/>
      <c r="H122" s="37">
        <f>IF(ISBLANK(Inventory!A122),0,C122+SUM('Week 2'!E122:G122)-SUM(E122:G122))</f>
        <v>0</v>
      </c>
      <c r="I122" s="35" t="str">
        <f>IF(OR(ISBLANK(J122),J122=0),"",Settings!$B$14)</f>
        <v/>
      </c>
      <c r="J122" s="30">
        <f>IF(ISBLANK(C122),0,C122*Inventory!H122)</f>
        <v>0</v>
      </c>
      <c r="K122" s="35" t="str">
        <f>IF(OR(ISBLANK(L122),L122=0),"",Settings!$B$14)</f>
        <v/>
      </c>
      <c r="L122" s="30">
        <f>IF(ISBLANK(Inventory!A122),0,SUM(E122:G122)*Inventory!H122)</f>
        <v>0</v>
      </c>
      <c r="M122" s="35" t="str">
        <f>IF(OR(ISBLANK(N122),N122=0),"",Settings!$B$14)</f>
        <v/>
      </c>
      <c r="N122" s="30">
        <f>IF(ISBLANK(Inventory!A122),0,SUM(E122:G122)*Inventory!J122)</f>
        <v>0</v>
      </c>
      <c r="O122" s="35" t="str">
        <f>IF(OR(ISBLANK(P122),P122=0),"",Settings!$B$14)</f>
        <v/>
      </c>
      <c r="P122" s="30">
        <f>IF(ISBLANK(Inventory!A122),0,H122*Inventory!J122)</f>
        <v>0</v>
      </c>
    </row>
    <row r="123" spans="1:16" s="29" customFormat="1" ht="15" customHeight="1">
      <c r="A123" s="31" t="str">
        <f>IF(ISBLANK(Inventory!A123),"",Inventory!A123)</f>
        <v>Old Speckled Hen</v>
      </c>
      <c r="B123" s="31" t="str">
        <f>IF(ISBLANK(Inventory!A123),"",Inventory!C123)</f>
        <v>500ml</v>
      </c>
      <c r="C123" s="187"/>
      <c r="D123" s="192"/>
      <c r="E123" s="187"/>
      <c r="F123" s="187"/>
      <c r="G123" s="173"/>
      <c r="H123" s="37">
        <f>IF(ISBLANK(Inventory!A123),0,C123+SUM('Week 2'!E123:G123)-SUM(E123:G123))</f>
        <v>0</v>
      </c>
      <c r="I123" s="35" t="str">
        <f>IF(OR(ISBLANK(J123),J123=0),"",Settings!$B$14)</f>
        <v/>
      </c>
      <c r="J123" s="30">
        <f>IF(ISBLANK(C123),0,C123*Inventory!H123)</f>
        <v>0</v>
      </c>
      <c r="K123" s="35" t="str">
        <f>IF(OR(ISBLANK(L123),L123=0),"",Settings!$B$14)</f>
        <v/>
      </c>
      <c r="L123" s="30">
        <f>IF(ISBLANK(Inventory!A123),0,SUM(E123:G123)*Inventory!H123)</f>
        <v>0</v>
      </c>
      <c r="M123" s="35" t="str">
        <f>IF(OR(ISBLANK(N123),N123=0),"",Settings!$B$14)</f>
        <v/>
      </c>
      <c r="N123" s="30">
        <f>IF(ISBLANK(Inventory!A123),0,SUM(E123:G123)*Inventory!J123)</f>
        <v>0</v>
      </c>
      <c r="O123" s="35" t="str">
        <f>IF(OR(ISBLANK(P123),P123=0),"",Settings!$B$14)</f>
        <v/>
      </c>
      <c r="P123" s="30">
        <f>IF(ISBLANK(Inventory!A123),0,H123*Inventory!J123)</f>
        <v>0</v>
      </c>
    </row>
    <row r="124" spans="1:16" s="29" customFormat="1" ht="15" customHeight="1">
      <c r="A124" s="31" t="str">
        <f>IF(ISBLANK(Inventory!A124),"",Inventory!A124)</f>
        <v>Bacardi Breezer</v>
      </c>
      <c r="B124" s="31" t="str">
        <f>IF(ISBLANK(Inventory!A124),"",Inventory!C124)</f>
        <v>275ml</v>
      </c>
      <c r="C124" s="187"/>
      <c r="D124" s="192"/>
      <c r="E124" s="187"/>
      <c r="F124" s="187"/>
      <c r="G124" s="173"/>
      <c r="H124" s="37">
        <f>IF(ISBLANK(Inventory!A124),0,C124+SUM('Week 2'!E124:G124)-SUM(E124:G124))</f>
        <v>0</v>
      </c>
      <c r="I124" s="35" t="str">
        <f>IF(OR(ISBLANK(J124),J124=0),"",Settings!$B$14)</f>
        <v/>
      </c>
      <c r="J124" s="30">
        <f>IF(ISBLANK(C124),0,C124*Inventory!H124)</f>
        <v>0</v>
      </c>
      <c r="K124" s="35" t="str">
        <f>IF(OR(ISBLANK(L124),L124=0),"",Settings!$B$14)</f>
        <v/>
      </c>
      <c r="L124" s="30">
        <f>IF(ISBLANK(Inventory!A124),0,SUM(E124:G124)*Inventory!H124)</f>
        <v>0</v>
      </c>
      <c r="M124" s="35" t="str">
        <f>IF(OR(ISBLANK(N124),N124=0),"",Settings!$B$14)</f>
        <v/>
      </c>
      <c r="N124" s="30">
        <f>IF(ISBLANK(Inventory!A124),0,SUM(E124:G124)*Inventory!J124)</f>
        <v>0</v>
      </c>
      <c r="O124" s="35" t="str">
        <f>IF(OR(ISBLANK(P124),P124=0),"",Settings!$B$14)</f>
        <v/>
      </c>
      <c r="P124" s="30">
        <f>IF(ISBLANK(Inventory!A124),0,H124*Inventory!J124)</f>
        <v>0</v>
      </c>
    </row>
    <row r="125" spans="1:16" s="29" customFormat="1" ht="15" customHeight="1">
      <c r="A125" s="31" t="str">
        <f>IF(ISBLANK(Inventory!A125),"",Inventory!A125)</f>
        <v>WKD Blue/Iron Brew</v>
      </c>
      <c r="B125" s="31" t="str">
        <f>IF(ISBLANK(Inventory!A125),"",Inventory!C125)</f>
        <v>275ml</v>
      </c>
      <c r="C125" s="187"/>
      <c r="D125" s="192"/>
      <c r="E125" s="187"/>
      <c r="F125" s="187"/>
      <c r="G125" s="173"/>
      <c r="H125" s="37">
        <f>IF(ISBLANK(Inventory!A125),0,C125+SUM('Week 2'!E125:G125)-SUM(E125:G125))</f>
        <v>0</v>
      </c>
      <c r="I125" s="35" t="str">
        <f>IF(OR(ISBLANK(J125),J125=0),"",Settings!$B$14)</f>
        <v/>
      </c>
      <c r="J125" s="30">
        <f>IF(ISBLANK(C125),0,C125*Inventory!H125)</f>
        <v>0</v>
      </c>
      <c r="K125" s="35" t="str">
        <f>IF(OR(ISBLANK(L125),L125=0),"",Settings!$B$14)</f>
        <v/>
      </c>
      <c r="L125" s="30">
        <f>IF(ISBLANK(Inventory!A125),0,SUM(E125:G125)*Inventory!H125)</f>
        <v>0</v>
      </c>
      <c r="M125" s="35" t="str">
        <f>IF(OR(ISBLANK(N125),N125=0),"",Settings!$B$14)</f>
        <v/>
      </c>
      <c r="N125" s="30">
        <f>IF(ISBLANK(Inventory!A125),0,SUM(E125:G125)*Inventory!J125)</f>
        <v>0</v>
      </c>
      <c r="O125" s="35" t="str">
        <f>IF(OR(ISBLANK(P125),P125=0),"",Settings!$B$14)</f>
        <v/>
      </c>
      <c r="P125" s="30">
        <f>IF(ISBLANK(Inventory!A125),0,H125*Inventory!J125)</f>
        <v>0</v>
      </c>
    </row>
    <row r="126" spans="1:16" s="29" customFormat="1" ht="15" customHeight="1">
      <c r="A126" s="31" t="str">
        <f>IF(ISBLANK(Inventory!A126),"",Inventory!A126)</f>
        <v>Smirnoff Ice/Black Ice</v>
      </c>
      <c r="B126" s="31" t="str">
        <f>IF(ISBLANK(Inventory!A126),"",Inventory!C126)</f>
        <v>275ml</v>
      </c>
      <c r="C126" s="187"/>
      <c r="D126" s="192"/>
      <c r="E126" s="187"/>
      <c r="F126" s="187"/>
      <c r="G126" s="173"/>
      <c r="H126" s="37">
        <f>IF(ISBLANK(Inventory!A126),0,C126+SUM('Week 2'!E126:G126)-SUM(E126:G126))</f>
        <v>0</v>
      </c>
      <c r="I126" s="35" t="str">
        <f>IF(OR(ISBLANK(J126),J126=0),"",Settings!$B$14)</f>
        <v/>
      </c>
      <c r="J126" s="30">
        <f>IF(ISBLANK(C126),0,C126*Inventory!H126)</f>
        <v>0</v>
      </c>
      <c r="K126" s="35" t="str">
        <f>IF(OR(ISBLANK(L126),L126=0),"",Settings!$B$14)</f>
        <v/>
      </c>
      <c r="L126" s="30">
        <f>IF(ISBLANK(Inventory!A126),0,SUM(E126:G126)*Inventory!H126)</f>
        <v>0</v>
      </c>
      <c r="M126" s="35" t="str">
        <f>IF(OR(ISBLANK(N126),N126=0),"",Settings!$B$14)</f>
        <v/>
      </c>
      <c r="N126" s="30">
        <f>IF(ISBLANK(Inventory!A126),0,SUM(E126:G126)*Inventory!J126)</f>
        <v>0</v>
      </c>
      <c r="O126" s="35" t="str">
        <f>IF(OR(ISBLANK(P126),P126=0),"",Settings!$B$14)</f>
        <v/>
      </c>
      <c r="P126" s="30">
        <f>IF(ISBLANK(Inventory!A126),0,H126*Inventory!J126)</f>
        <v>0</v>
      </c>
    </row>
    <row r="127" spans="1:16" s="29" customFormat="1" ht="15" customHeight="1">
      <c r="A127" s="31" t="str">
        <f>IF(ISBLANK(Inventory!A127),"",Inventory!A127)</f>
        <v/>
      </c>
      <c r="B127" s="31" t="str">
        <f>IF(ISBLANK(Inventory!A127),"",Inventory!C127)</f>
        <v/>
      </c>
      <c r="C127" s="187"/>
      <c r="D127" s="192"/>
      <c r="E127" s="187"/>
      <c r="F127" s="187"/>
      <c r="G127" s="173"/>
      <c r="H127" s="37">
        <f>IF(ISBLANK(Inventory!A127),0,C127+SUM('Week 2'!E127:G127)-SUM(E127:G127))</f>
        <v>0</v>
      </c>
      <c r="I127" s="35" t="str">
        <f>IF(OR(ISBLANK(J127),J127=0),"",Settings!$B$14)</f>
        <v/>
      </c>
      <c r="J127" s="30">
        <f>IF(ISBLANK(C127),0,C127*Inventory!H127)</f>
        <v>0</v>
      </c>
      <c r="K127" s="35" t="str">
        <f>IF(OR(ISBLANK(L127),L127=0),"",Settings!$B$14)</f>
        <v/>
      </c>
      <c r="L127" s="30">
        <f>IF(ISBLANK(Inventory!A127),0,SUM(E127:G127)*Inventory!H127)</f>
        <v>0</v>
      </c>
      <c r="M127" s="35" t="str">
        <f>IF(OR(ISBLANK(N127),N127=0),"",Settings!$B$14)</f>
        <v/>
      </c>
      <c r="N127" s="30">
        <f>IF(ISBLANK(Inventory!A127),0,SUM(E127:G127)*Inventory!J127)</f>
        <v>0</v>
      </c>
      <c r="O127" s="35" t="str">
        <f>IF(OR(ISBLANK(P127),P127=0),"",Settings!$B$14)</f>
        <v/>
      </c>
      <c r="P127" s="30">
        <f>IF(ISBLANK(Inventory!A127),0,H127*Inventory!J127)</f>
        <v>0</v>
      </c>
    </row>
    <row r="128" spans="1:16" s="29" customFormat="1" ht="15" customHeight="1">
      <c r="A128" s="31" t="str">
        <f>IF(ISBLANK(Inventory!A128),"",Inventory!A128)</f>
        <v/>
      </c>
      <c r="B128" s="31" t="str">
        <f>IF(ISBLANK(Inventory!A128),"",Inventory!C128)</f>
        <v/>
      </c>
      <c r="C128" s="187"/>
      <c r="D128" s="192"/>
      <c r="E128" s="187"/>
      <c r="F128" s="187"/>
      <c r="G128" s="173"/>
      <c r="H128" s="37">
        <f>IF(ISBLANK(Inventory!A128),0,C128+SUM('Week 2'!E128:G128)-SUM(E128:G128))</f>
        <v>0</v>
      </c>
      <c r="I128" s="35" t="str">
        <f>IF(OR(ISBLANK(J128),J128=0),"",Settings!$B$14)</f>
        <v/>
      </c>
      <c r="J128" s="30">
        <f>IF(ISBLANK(C128),0,C128*Inventory!H128)</f>
        <v>0</v>
      </c>
      <c r="K128" s="35" t="str">
        <f>IF(OR(ISBLANK(L128),L128=0),"",Settings!$B$14)</f>
        <v/>
      </c>
      <c r="L128" s="30">
        <f>IF(ISBLANK(Inventory!A128),0,SUM(E128:G128)*Inventory!H128)</f>
        <v>0</v>
      </c>
      <c r="M128" s="35" t="str">
        <f>IF(OR(ISBLANK(N128),N128=0),"",Settings!$B$14)</f>
        <v/>
      </c>
      <c r="N128" s="30">
        <f>IF(ISBLANK(Inventory!A128),0,SUM(E128:G128)*Inventory!J128)</f>
        <v>0</v>
      </c>
      <c r="O128" s="35" t="str">
        <f>IF(OR(ISBLANK(P128),P128=0),"",Settings!$B$14)</f>
        <v/>
      </c>
      <c r="P128" s="30">
        <f>IF(ISBLANK(Inventory!A128),0,H128*Inventory!J128)</f>
        <v>0</v>
      </c>
    </row>
    <row r="129" spans="1:16" s="29" customFormat="1" ht="15" customHeight="1">
      <c r="A129" s="31" t="str">
        <f>IF(ISBLANK(Inventory!A129),"",Inventory!A129)</f>
        <v/>
      </c>
      <c r="B129" s="31" t="str">
        <f>IF(ISBLANK(Inventory!A129),"",Inventory!C129)</f>
        <v/>
      </c>
      <c r="C129" s="187"/>
      <c r="D129" s="192"/>
      <c r="E129" s="187"/>
      <c r="F129" s="187"/>
      <c r="G129" s="173"/>
      <c r="H129" s="37">
        <f>IF(ISBLANK(Inventory!A129),0,C129+SUM('Week 2'!E129:G129)-SUM(E129:G129))</f>
        <v>0</v>
      </c>
      <c r="I129" s="35" t="str">
        <f>IF(OR(ISBLANK(J129),J129=0),"",Settings!$B$14)</f>
        <v/>
      </c>
      <c r="J129" s="30">
        <f>IF(ISBLANK(C129),0,C129*Inventory!H129)</f>
        <v>0</v>
      </c>
      <c r="K129" s="35" t="str">
        <f>IF(OR(ISBLANK(L129),L129=0),"",Settings!$B$14)</f>
        <v/>
      </c>
      <c r="L129" s="30">
        <f>IF(ISBLANK(Inventory!A129),0,SUM(E129:G129)*Inventory!H129)</f>
        <v>0</v>
      </c>
      <c r="M129" s="35" t="str">
        <f>IF(OR(ISBLANK(N129),N129=0),"",Settings!$B$14)</f>
        <v/>
      </c>
      <c r="N129" s="30">
        <f>IF(ISBLANK(Inventory!A129),0,SUM(E129:G129)*Inventory!J129)</f>
        <v>0</v>
      </c>
      <c r="O129" s="35" t="str">
        <f>IF(OR(ISBLANK(P129),P129=0),"",Settings!$B$14)</f>
        <v/>
      </c>
      <c r="P129" s="30">
        <f>IF(ISBLANK(Inventory!A129),0,H129*Inventory!J129)</f>
        <v>0</v>
      </c>
    </row>
    <row r="130" spans="1:16" s="29" customFormat="1" ht="15" customHeight="1">
      <c r="A130" s="31" t="str">
        <f>IF(ISBLANK(Inventory!A130),"",Inventory!A130)</f>
        <v/>
      </c>
      <c r="B130" s="31" t="str">
        <f>IF(ISBLANK(Inventory!A130),"",Inventory!C130)</f>
        <v/>
      </c>
      <c r="C130" s="187"/>
      <c r="D130" s="192"/>
      <c r="E130" s="187"/>
      <c r="F130" s="187"/>
      <c r="G130" s="173"/>
      <c r="H130" s="37">
        <f>IF(ISBLANK(Inventory!A130),0,C130+SUM('Week 2'!E130:G130)-SUM(E130:G130))</f>
        <v>0</v>
      </c>
      <c r="I130" s="35" t="str">
        <f>IF(OR(ISBLANK(J130),J130=0),"",Settings!$B$14)</f>
        <v/>
      </c>
      <c r="J130" s="30">
        <f>IF(ISBLANK(C130),0,C130*Inventory!H130)</f>
        <v>0</v>
      </c>
      <c r="K130" s="35" t="str">
        <f>IF(OR(ISBLANK(L130),L130=0),"",Settings!$B$14)</f>
        <v/>
      </c>
      <c r="L130" s="30">
        <f>IF(ISBLANK(Inventory!A130),0,SUM(E130:G130)*Inventory!H130)</f>
        <v>0</v>
      </c>
      <c r="M130" s="35" t="str">
        <f>IF(OR(ISBLANK(N130),N130=0),"",Settings!$B$14)</f>
        <v/>
      </c>
      <c r="N130" s="30">
        <f>IF(ISBLANK(Inventory!A130),0,SUM(E130:G130)*Inventory!J130)</f>
        <v>0</v>
      </c>
      <c r="O130" s="35" t="str">
        <f>IF(OR(ISBLANK(P130),P130=0),"",Settings!$B$14)</f>
        <v/>
      </c>
      <c r="P130" s="30">
        <f>IF(ISBLANK(Inventory!A130),0,H130*Inventory!J130)</f>
        <v>0</v>
      </c>
    </row>
    <row r="131" spans="1:16" s="29" customFormat="1" ht="15" customHeight="1">
      <c r="A131" s="31" t="str">
        <f>IF(ISBLANK(Inventory!A131),"",Inventory!A131)</f>
        <v/>
      </c>
      <c r="B131" s="31" t="str">
        <f>IF(ISBLANK(Inventory!A131),"",Inventory!C131)</f>
        <v/>
      </c>
      <c r="C131" s="187"/>
      <c r="D131" s="192"/>
      <c r="E131" s="187"/>
      <c r="F131" s="187"/>
      <c r="G131" s="173"/>
      <c r="H131" s="37">
        <f>IF(ISBLANK(Inventory!A131),0,C131+SUM('Week 2'!E131:G131)-SUM(E131:G131))</f>
        <v>0</v>
      </c>
      <c r="I131" s="35" t="str">
        <f>IF(OR(ISBLANK(J131),J131=0),"",Settings!$B$14)</f>
        <v/>
      </c>
      <c r="J131" s="30">
        <f>IF(ISBLANK(C131),0,C131*Inventory!H131)</f>
        <v>0</v>
      </c>
      <c r="K131" s="35" t="str">
        <f>IF(OR(ISBLANK(L131),L131=0),"",Settings!$B$14)</f>
        <v/>
      </c>
      <c r="L131" s="30">
        <f>IF(ISBLANK(Inventory!A131),0,SUM(E131:G131)*Inventory!H131)</f>
        <v>0</v>
      </c>
      <c r="M131" s="35" t="str">
        <f>IF(OR(ISBLANK(N131),N131=0),"",Settings!$B$14)</f>
        <v/>
      </c>
      <c r="N131" s="30">
        <f>IF(ISBLANK(Inventory!A131),0,SUM(E131:G131)*Inventory!J131)</f>
        <v>0</v>
      </c>
      <c r="O131" s="35" t="str">
        <f>IF(OR(ISBLANK(P131),P131=0),"",Settings!$B$14)</f>
        <v/>
      </c>
      <c r="P131" s="30">
        <f>IF(ISBLANK(Inventory!A131),0,H131*Inventory!J131)</f>
        <v>0</v>
      </c>
    </row>
    <row r="132" spans="1:16" s="29" customFormat="1" ht="15" customHeight="1">
      <c r="A132" s="31" t="str">
        <f>IF(ISBLANK(Inventory!A132),"",Inventory!A132)</f>
        <v/>
      </c>
      <c r="B132" s="31" t="str">
        <f>IF(ISBLANK(Inventory!A132),"",Inventory!C132)</f>
        <v/>
      </c>
      <c r="C132" s="187"/>
      <c r="D132" s="192"/>
      <c r="E132" s="187"/>
      <c r="F132" s="187"/>
      <c r="G132" s="173"/>
      <c r="H132" s="37">
        <f>IF(ISBLANK(Inventory!A132),0,C132+SUM('Week 2'!E132:G132)-SUM(E132:G132))</f>
        <v>0</v>
      </c>
      <c r="I132" s="35" t="str">
        <f>IF(OR(ISBLANK(J132),J132=0),"",Settings!$B$14)</f>
        <v/>
      </c>
      <c r="J132" s="30">
        <f>IF(ISBLANK(C132),0,C132*Inventory!H132)</f>
        <v>0</v>
      </c>
      <c r="K132" s="35" t="str">
        <f>IF(OR(ISBLANK(L132),L132=0),"",Settings!$B$14)</f>
        <v/>
      </c>
      <c r="L132" s="30">
        <f>IF(ISBLANK(Inventory!A132),0,SUM(E132:G132)*Inventory!H132)</f>
        <v>0</v>
      </c>
      <c r="M132" s="35" t="str">
        <f>IF(OR(ISBLANK(N132),N132=0),"",Settings!$B$14)</f>
        <v/>
      </c>
      <c r="N132" s="30">
        <f>IF(ISBLANK(Inventory!A132),0,SUM(E132:G132)*Inventory!J132)</f>
        <v>0</v>
      </c>
      <c r="O132" s="35" t="str">
        <f>IF(OR(ISBLANK(P132),P132=0),"",Settings!$B$14)</f>
        <v/>
      </c>
      <c r="P132" s="30">
        <f>IF(ISBLANK(Inventory!A132),0,H132*Inventory!J132)</f>
        <v>0</v>
      </c>
    </row>
    <row r="133" spans="1:16" s="29" customFormat="1" ht="15" customHeight="1">
      <c r="A133" s="31" t="str">
        <f>IF(ISBLANK(Inventory!A133),"",Inventory!A133)</f>
        <v/>
      </c>
      <c r="B133" s="31" t="str">
        <f>IF(ISBLANK(Inventory!A133),"",Inventory!C133)</f>
        <v/>
      </c>
      <c r="C133" s="187"/>
      <c r="D133" s="192"/>
      <c r="E133" s="187"/>
      <c r="F133" s="187"/>
      <c r="G133" s="173"/>
      <c r="H133" s="37">
        <f>IF(ISBLANK(Inventory!A133),0,C133+SUM('Week 2'!E133:G133)-SUM(E133:G133))</f>
        <v>0</v>
      </c>
      <c r="I133" s="35" t="str">
        <f>IF(OR(ISBLANK(J133),J133=0),"",Settings!$B$14)</f>
        <v/>
      </c>
      <c r="J133" s="30">
        <f>IF(ISBLANK(C133),0,C133*Inventory!H133)</f>
        <v>0</v>
      </c>
      <c r="K133" s="35" t="str">
        <f>IF(OR(ISBLANK(L133),L133=0),"",Settings!$B$14)</f>
        <v/>
      </c>
      <c r="L133" s="30">
        <f>IF(ISBLANK(Inventory!A133),0,SUM(E133:G133)*Inventory!H133)</f>
        <v>0</v>
      </c>
      <c r="M133" s="35" t="str">
        <f>IF(OR(ISBLANK(N133),N133=0),"",Settings!$B$14)</f>
        <v/>
      </c>
      <c r="N133" s="30">
        <f>IF(ISBLANK(Inventory!A133),0,SUM(E133:G133)*Inventory!J133)</f>
        <v>0</v>
      </c>
      <c r="O133" s="35" t="str">
        <f>IF(OR(ISBLANK(P133),P133=0),"",Settings!$B$14)</f>
        <v/>
      </c>
      <c r="P133" s="30">
        <f>IF(ISBLANK(Inventory!A133),0,H133*Inventory!J133)</f>
        <v>0</v>
      </c>
    </row>
    <row r="134" spans="1:16" s="29" customFormat="1" ht="15" customHeight="1">
      <c r="A134" s="31" t="str">
        <f>IF(ISBLANK(Inventory!A134),"",Inventory!A134)</f>
        <v/>
      </c>
      <c r="B134" s="31" t="str">
        <f>IF(ISBLANK(Inventory!A134),"",Inventory!C134)</f>
        <v/>
      </c>
      <c r="C134" s="187"/>
      <c r="D134" s="192"/>
      <c r="E134" s="187"/>
      <c r="F134" s="187"/>
      <c r="G134" s="173"/>
      <c r="H134" s="37">
        <f>IF(ISBLANK(Inventory!A134),0,C134+SUM('Week 2'!E134:G134)-SUM(E134:G134))</f>
        <v>0</v>
      </c>
      <c r="I134" s="35" t="str">
        <f>IF(OR(ISBLANK(J134),J134=0),"",Settings!$B$14)</f>
        <v/>
      </c>
      <c r="J134" s="30">
        <f>IF(ISBLANK(C134),0,C134*Inventory!H134)</f>
        <v>0</v>
      </c>
      <c r="K134" s="35" t="str">
        <f>IF(OR(ISBLANK(L134),L134=0),"",Settings!$B$14)</f>
        <v/>
      </c>
      <c r="L134" s="30">
        <f>IF(ISBLANK(Inventory!A134),0,SUM(E134:G134)*Inventory!H134)</f>
        <v>0</v>
      </c>
      <c r="M134" s="35" t="str">
        <f>IF(OR(ISBLANK(N134),N134=0),"",Settings!$B$14)</f>
        <v/>
      </c>
      <c r="N134" s="30">
        <f>IF(ISBLANK(Inventory!A134),0,SUM(E134:G134)*Inventory!J134)</f>
        <v>0</v>
      </c>
      <c r="O134" s="35" t="str">
        <f>IF(OR(ISBLANK(P134),P134=0),"",Settings!$B$14)</f>
        <v/>
      </c>
      <c r="P134" s="30">
        <f>IF(ISBLANK(Inventory!A134),0,H134*Inventory!J134)</f>
        <v>0</v>
      </c>
    </row>
    <row r="135" spans="1:16" ht="6.95" customHeight="1">
      <c r="A135" s="24"/>
      <c r="B135" s="24"/>
      <c r="C135" s="69"/>
      <c r="D135" s="69"/>
      <c r="E135" s="69"/>
      <c r="F135" s="69"/>
      <c r="G135" s="69"/>
      <c r="H135" s="69"/>
      <c r="I135" s="69"/>
      <c r="J135" s="69"/>
      <c r="K135" s="69"/>
      <c r="L135" s="25"/>
      <c r="M135" s="62"/>
      <c r="N135" s="160"/>
      <c r="O135" s="25"/>
      <c r="P135" s="160"/>
    </row>
    <row r="136" spans="1:16" s="45" customFormat="1" ht="18" customHeight="1" thickBot="1">
      <c r="A136" s="78" t="str">
        <f>Inventory!A136</f>
        <v>CIDER</v>
      </c>
      <c r="B136" s="78" t="str">
        <f>Inventory!C136</f>
        <v>VOLUME</v>
      </c>
      <c r="C136" s="22" t="s">
        <v>187</v>
      </c>
      <c r="D136" s="22"/>
      <c r="E136" s="22" t="s">
        <v>101</v>
      </c>
      <c r="F136" s="22" t="s">
        <v>102</v>
      </c>
      <c r="G136" s="23"/>
      <c r="H136" s="79" t="s">
        <v>119</v>
      </c>
      <c r="I136" s="253" t="s">
        <v>190</v>
      </c>
      <c r="J136" s="253"/>
      <c r="K136" s="235" t="s">
        <v>30</v>
      </c>
      <c r="L136" s="235"/>
      <c r="M136" s="235" t="s">
        <v>31</v>
      </c>
      <c r="N136" s="235"/>
      <c r="O136" s="235" t="s">
        <v>189</v>
      </c>
      <c r="P136" s="235"/>
    </row>
    <row r="137" spans="1:16" ht="6.95" customHeight="1" thickTop="1">
      <c r="A137" s="193"/>
      <c r="B137" s="194"/>
      <c r="C137" s="71"/>
      <c r="D137" s="71"/>
      <c r="E137" s="67"/>
      <c r="F137" s="67"/>
      <c r="G137" s="71"/>
      <c r="H137" s="71"/>
      <c r="I137" s="71"/>
      <c r="J137" s="71"/>
      <c r="K137" s="71"/>
      <c r="L137" s="67"/>
      <c r="M137" s="62"/>
      <c r="N137" s="67"/>
      <c r="O137" s="67"/>
      <c r="P137" s="67"/>
    </row>
    <row r="138" spans="1:16" s="195" customFormat="1" ht="15" customHeight="1">
      <c r="A138" s="31" t="str">
        <f>IF(ISBLANK(Inventory!A138),"",Inventory!A138)</f>
        <v>Strongbow</v>
      </c>
      <c r="B138" s="31" t="str">
        <f>IF(ISBLANK(Inventory!A138),"",Inventory!C138)</f>
        <v>275ml</v>
      </c>
      <c r="C138" s="187"/>
      <c r="D138" s="192"/>
      <c r="E138" s="187"/>
      <c r="F138" s="187"/>
      <c r="G138" s="173"/>
      <c r="H138" s="37">
        <f>IF(ISBLANK(Inventory!A138),0,C138+SUM('Week 2'!E138:G138)-SUM(E138:G138))</f>
        <v>0</v>
      </c>
      <c r="I138" s="35" t="str">
        <f>IF(OR(ISBLANK(J138),J138=0),"",Settings!$B$14)</f>
        <v/>
      </c>
      <c r="J138" s="30">
        <f>IF(ISBLANK(C138),0,C138*Inventory!H138)</f>
        <v>0</v>
      </c>
      <c r="K138" s="35" t="str">
        <f>IF(OR(ISBLANK(L138),L138=0),"",Settings!$B$14)</f>
        <v/>
      </c>
      <c r="L138" s="30">
        <f>IF(ISBLANK(Inventory!A138),0,SUM(E138:G138)*Inventory!H138)</f>
        <v>0</v>
      </c>
      <c r="M138" s="35" t="str">
        <f>IF(OR(ISBLANK(N138),N138=0),"",Settings!$B$14)</f>
        <v/>
      </c>
      <c r="N138" s="30">
        <f>IF(ISBLANK(Inventory!A138),0,SUM(E138:G138)*Inventory!J138)</f>
        <v>0</v>
      </c>
      <c r="O138" s="35" t="str">
        <f>IF(OR(ISBLANK(P138),P138=0),"",Settings!$B$14)</f>
        <v/>
      </c>
      <c r="P138" s="30">
        <f>IF(ISBLANK(Inventory!A138),0,H138*Inventory!J138)</f>
        <v>0</v>
      </c>
    </row>
    <row r="139" spans="1:16" s="195" customFormat="1" ht="15" customHeight="1">
      <c r="A139" s="31" t="str">
        <f>IF(ISBLANK(Inventory!A139),"",Inventory!A139)</f>
        <v>Woodpecker</v>
      </c>
      <c r="B139" s="31" t="str">
        <f>IF(ISBLANK(Inventory!A139),"",Inventory!C139)</f>
        <v>275ml</v>
      </c>
      <c r="C139" s="187"/>
      <c r="D139" s="192"/>
      <c r="E139" s="187"/>
      <c r="F139" s="187"/>
      <c r="G139" s="173"/>
      <c r="H139" s="37">
        <f>IF(ISBLANK(Inventory!A139),0,C139+SUM('Week 2'!E139:G139)-SUM(E139:G139))</f>
        <v>0</v>
      </c>
      <c r="I139" s="35" t="str">
        <f>IF(OR(ISBLANK(J139),J139=0),"",Settings!$B$14)</f>
        <v/>
      </c>
      <c r="J139" s="30">
        <f>IF(ISBLANK(C139),0,C139*Inventory!H139)</f>
        <v>0</v>
      </c>
      <c r="K139" s="35" t="str">
        <f>IF(OR(ISBLANK(L139),L139=0),"",Settings!$B$14)</f>
        <v/>
      </c>
      <c r="L139" s="30">
        <f>IF(ISBLANK(Inventory!A139),0,SUM(E139:G139)*Inventory!H139)</f>
        <v>0</v>
      </c>
      <c r="M139" s="35" t="str">
        <f>IF(OR(ISBLANK(N139),N139=0),"",Settings!$B$14)</f>
        <v/>
      </c>
      <c r="N139" s="30">
        <f>IF(ISBLANK(Inventory!A139),0,SUM(E139:G139)*Inventory!J139)</f>
        <v>0</v>
      </c>
      <c r="O139" s="35" t="str">
        <f>IF(OR(ISBLANK(P139),P139=0),"",Settings!$B$14)</f>
        <v/>
      </c>
      <c r="P139" s="30">
        <f>IF(ISBLANK(Inventory!A139),0,H139*Inventory!J139)</f>
        <v>0</v>
      </c>
    </row>
    <row r="140" spans="1:16" s="195" customFormat="1" ht="15" customHeight="1">
      <c r="A140" s="31" t="str">
        <f>IF(ISBLANK(Inventory!A140),"",Inventory!A140)</f>
        <v/>
      </c>
      <c r="B140" s="31" t="str">
        <f>IF(ISBLANK(Inventory!A140),"",Inventory!C140)</f>
        <v/>
      </c>
      <c r="C140" s="187"/>
      <c r="D140" s="192"/>
      <c r="E140" s="187"/>
      <c r="F140" s="187"/>
      <c r="G140" s="173"/>
      <c r="H140" s="37">
        <f>IF(ISBLANK(Inventory!A140),0,C140+SUM('Week 2'!E140:G140)-SUM(E140:G140))</f>
        <v>0</v>
      </c>
      <c r="I140" s="35" t="str">
        <f>IF(OR(ISBLANK(J140),J140=0),"",Settings!$B$14)</f>
        <v/>
      </c>
      <c r="J140" s="30">
        <f>IF(ISBLANK(C140),0,C140*Inventory!H140)</f>
        <v>0</v>
      </c>
      <c r="K140" s="35" t="str">
        <f>IF(OR(ISBLANK(L140),L140=0),"",Settings!$B$14)</f>
        <v/>
      </c>
      <c r="L140" s="30">
        <f>IF(ISBLANK(Inventory!A140),0,SUM(E140:G140)*Inventory!H140)</f>
        <v>0</v>
      </c>
      <c r="M140" s="35" t="str">
        <f>IF(OR(ISBLANK(N140),N140=0),"",Settings!$B$14)</f>
        <v/>
      </c>
      <c r="N140" s="30">
        <f>IF(ISBLANK(Inventory!A140),0,SUM(E140:G140)*Inventory!J140)</f>
        <v>0</v>
      </c>
      <c r="O140" s="35" t="str">
        <f>IF(OR(ISBLANK(P140),P140=0),"",Settings!$B$14)</f>
        <v/>
      </c>
      <c r="P140" s="30">
        <f>IF(ISBLANK(Inventory!A140),0,H140*Inventory!J140)</f>
        <v>0</v>
      </c>
    </row>
    <row r="141" spans="1:16" s="195" customFormat="1" ht="15" customHeight="1">
      <c r="A141" s="31" t="str">
        <f>IF(ISBLANK(Inventory!A141),"",Inventory!A141)</f>
        <v/>
      </c>
      <c r="B141" s="31" t="str">
        <f>IF(ISBLANK(Inventory!A141),"",Inventory!C141)</f>
        <v/>
      </c>
      <c r="C141" s="187"/>
      <c r="D141" s="192"/>
      <c r="E141" s="187"/>
      <c r="F141" s="187"/>
      <c r="G141" s="173"/>
      <c r="H141" s="37">
        <f>IF(ISBLANK(Inventory!A141),0,C141+SUM('Week 2'!E141:G141)-SUM(E141:G141))</f>
        <v>0</v>
      </c>
      <c r="I141" s="35" t="str">
        <f>IF(OR(ISBLANK(J141),J141=0),"",Settings!$B$14)</f>
        <v/>
      </c>
      <c r="J141" s="30">
        <f>IF(ISBLANK(C141),0,C141*Inventory!H141)</f>
        <v>0</v>
      </c>
      <c r="K141" s="35" t="str">
        <f>IF(OR(ISBLANK(L141),L141=0),"",Settings!$B$14)</f>
        <v/>
      </c>
      <c r="L141" s="30">
        <f>IF(ISBLANK(Inventory!A141),0,SUM(E141:G141)*Inventory!H141)</f>
        <v>0</v>
      </c>
      <c r="M141" s="35" t="str">
        <f>IF(OR(ISBLANK(N141),N141=0),"",Settings!$B$14)</f>
        <v/>
      </c>
      <c r="N141" s="30">
        <f>IF(ISBLANK(Inventory!A141),0,SUM(E141:G141)*Inventory!J141)</f>
        <v>0</v>
      </c>
      <c r="O141" s="35" t="str">
        <f>IF(OR(ISBLANK(P141),P141=0),"",Settings!$B$14)</f>
        <v/>
      </c>
      <c r="P141" s="30">
        <f>IF(ISBLANK(Inventory!A141),0,H141*Inventory!J141)</f>
        <v>0</v>
      </c>
    </row>
    <row r="142" spans="1:16" s="195" customFormat="1" ht="15" customHeight="1">
      <c r="A142" s="31" t="str">
        <f>IF(ISBLANK(Inventory!A142),"",Inventory!A142)</f>
        <v/>
      </c>
      <c r="B142" s="31" t="str">
        <f>IF(ISBLANK(Inventory!A142),"",Inventory!C142)</f>
        <v/>
      </c>
      <c r="C142" s="187"/>
      <c r="D142" s="192"/>
      <c r="E142" s="187"/>
      <c r="F142" s="187"/>
      <c r="G142" s="173"/>
      <c r="H142" s="37">
        <f>IF(ISBLANK(Inventory!A142),0,C142+SUM('Week 2'!E142:G142)-SUM(E142:G142))</f>
        <v>0</v>
      </c>
      <c r="I142" s="35" t="str">
        <f>IF(OR(ISBLANK(J142),J142=0),"",Settings!$B$14)</f>
        <v/>
      </c>
      <c r="J142" s="30">
        <f>IF(ISBLANK(C142),0,C142*Inventory!H142)</f>
        <v>0</v>
      </c>
      <c r="K142" s="35" t="str">
        <f>IF(OR(ISBLANK(L142),L142=0),"",Settings!$B$14)</f>
        <v/>
      </c>
      <c r="L142" s="30">
        <f>IF(ISBLANK(Inventory!A142),0,SUM(E142:G142)*Inventory!H142)</f>
        <v>0</v>
      </c>
      <c r="M142" s="35" t="str">
        <f>IF(OR(ISBLANK(N142),N142=0),"",Settings!$B$14)</f>
        <v/>
      </c>
      <c r="N142" s="30">
        <f>IF(ISBLANK(Inventory!A142),0,SUM(E142:G142)*Inventory!J142)</f>
        <v>0</v>
      </c>
      <c r="O142" s="35" t="str">
        <f>IF(OR(ISBLANK(P142),P142=0),"",Settings!$B$14)</f>
        <v/>
      </c>
      <c r="P142" s="30">
        <f>IF(ISBLANK(Inventory!A142),0,H142*Inventory!J142)</f>
        <v>0</v>
      </c>
    </row>
    <row r="143" spans="1:16" s="195" customFormat="1" ht="15" customHeight="1">
      <c r="A143" s="31" t="str">
        <f>IF(ISBLANK(Inventory!A143),"",Inventory!A143)</f>
        <v/>
      </c>
      <c r="B143" s="31" t="str">
        <f>IF(ISBLANK(Inventory!A143),"",Inventory!C143)</f>
        <v/>
      </c>
      <c r="C143" s="187"/>
      <c r="D143" s="192"/>
      <c r="E143" s="187"/>
      <c r="F143" s="187"/>
      <c r="G143" s="173"/>
      <c r="H143" s="37">
        <f>IF(ISBLANK(Inventory!A143),0,C143+SUM('Week 2'!E143:G143)-SUM(E143:G143))</f>
        <v>0</v>
      </c>
      <c r="I143" s="35" t="str">
        <f>IF(OR(ISBLANK(J143),J143=0),"",Settings!$B$14)</f>
        <v/>
      </c>
      <c r="J143" s="30">
        <f>IF(ISBLANK(C143),0,C143*Inventory!H143)</f>
        <v>0</v>
      </c>
      <c r="K143" s="35" t="str">
        <f>IF(OR(ISBLANK(L143),L143=0),"",Settings!$B$14)</f>
        <v/>
      </c>
      <c r="L143" s="30">
        <f>IF(ISBLANK(Inventory!A143),0,SUM(E143:G143)*Inventory!H143)</f>
        <v>0</v>
      </c>
      <c r="M143" s="35" t="str">
        <f>IF(OR(ISBLANK(N143),N143=0),"",Settings!$B$14)</f>
        <v/>
      </c>
      <c r="N143" s="30">
        <f>IF(ISBLANK(Inventory!A143),0,SUM(E143:G143)*Inventory!J143)</f>
        <v>0</v>
      </c>
      <c r="O143" s="35" t="str">
        <f>IF(OR(ISBLANK(P143),P143=0),"",Settings!$B$14)</f>
        <v/>
      </c>
      <c r="P143" s="30">
        <f>IF(ISBLANK(Inventory!A143),0,H143*Inventory!J143)</f>
        <v>0</v>
      </c>
    </row>
    <row r="144" spans="1:16" s="195" customFormat="1" ht="15" customHeight="1">
      <c r="A144" s="31" t="str">
        <f>IF(ISBLANK(Inventory!A144),"",Inventory!A144)</f>
        <v/>
      </c>
      <c r="B144" s="31" t="str">
        <f>IF(ISBLANK(Inventory!A144),"",Inventory!C144)</f>
        <v/>
      </c>
      <c r="C144" s="187"/>
      <c r="D144" s="192"/>
      <c r="E144" s="187"/>
      <c r="F144" s="187"/>
      <c r="G144" s="173"/>
      <c r="H144" s="37">
        <f>IF(ISBLANK(Inventory!A144),0,C144+SUM('Week 2'!E144:G144)-SUM(E144:G144))</f>
        <v>0</v>
      </c>
      <c r="I144" s="35" t="str">
        <f>IF(OR(ISBLANK(J144),J144=0),"",Settings!$B$14)</f>
        <v/>
      </c>
      <c r="J144" s="30">
        <f>IF(ISBLANK(C144),0,C144*Inventory!H144)</f>
        <v>0</v>
      </c>
      <c r="K144" s="35" t="str">
        <f>IF(OR(ISBLANK(L144),L144=0),"",Settings!$B$14)</f>
        <v/>
      </c>
      <c r="L144" s="30">
        <f>IF(ISBLANK(Inventory!A144),0,SUM(E144:G144)*Inventory!H144)</f>
        <v>0</v>
      </c>
      <c r="M144" s="35" t="str">
        <f>IF(OR(ISBLANK(N144),N144=0),"",Settings!$B$14)</f>
        <v/>
      </c>
      <c r="N144" s="30">
        <f>IF(ISBLANK(Inventory!A144),0,SUM(E144:G144)*Inventory!J144)</f>
        <v>0</v>
      </c>
      <c r="O144" s="35" t="str">
        <f>IF(OR(ISBLANK(P144),P144=0),"",Settings!$B$14)</f>
        <v/>
      </c>
      <c r="P144" s="30">
        <f>IF(ISBLANK(Inventory!A144),0,H144*Inventory!J144)</f>
        <v>0</v>
      </c>
    </row>
    <row r="145" spans="1:16" s="195" customFormat="1" ht="15" customHeight="1">
      <c r="A145" s="31" t="str">
        <f>IF(ISBLANK(Inventory!A145),"",Inventory!A145)</f>
        <v/>
      </c>
      <c r="B145" s="31" t="str">
        <f>IF(ISBLANK(Inventory!A145),"",Inventory!C145)</f>
        <v/>
      </c>
      <c r="C145" s="187"/>
      <c r="D145" s="192"/>
      <c r="E145" s="187"/>
      <c r="F145" s="187"/>
      <c r="G145" s="173"/>
      <c r="H145" s="37">
        <f>IF(ISBLANK(Inventory!A145),0,C145+SUM('Week 2'!E145:G145)-SUM(E145:G145))</f>
        <v>0</v>
      </c>
      <c r="I145" s="35" t="str">
        <f>IF(OR(ISBLANK(J145),J145=0),"",Settings!$B$14)</f>
        <v/>
      </c>
      <c r="J145" s="30">
        <f>IF(ISBLANK(C145),0,C145*Inventory!H145)</f>
        <v>0</v>
      </c>
      <c r="K145" s="35" t="str">
        <f>IF(OR(ISBLANK(L145),L145=0),"",Settings!$B$14)</f>
        <v/>
      </c>
      <c r="L145" s="30">
        <f>IF(ISBLANK(Inventory!A145),0,SUM(E145:G145)*Inventory!H145)</f>
        <v>0</v>
      </c>
      <c r="M145" s="35" t="str">
        <f>IF(OR(ISBLANK(N145),N145=0),"",Settings!$B$14)</f>
        <v/>
      </c>
      <c r="N145" s="30">
        <f>IF(ISBLANK(Inventory!A145),0,SUM(E145:G145)*Inventory!J145)</f>
        <v>0</v>
      </c>
      <c r="O145" s="35" t="str">
        <f>IF(OR(ISBLANK(P145),P145=0),"",Settings!$B$14)</f>
        <v/>
      </c>
      <c r="P145" s="30">
        <f>IF(ISBLANK(Inventory!A145),0,H145*Inventory!J145)</f>
        <v>0</v>
      </c>
    </row>
    <row r="146" spans="1:16" s="195" customFormat="1" ht="15" customHeight="1">
      <c r="A146" s="31" t="str">
        <f>IF(ISBLANK(Inventory!A146),"",Inventory!A146)</f>
        <v/>
      </c>
      <c r="B146" s="31" t="str">
        <f>IF(ISBLANK(Inventory!A146),"",Inventory!C146)</f>
        <v/>
      </c>
      <c r="C146" s="187"/>
      <c r="D146" s="192"/>
      <c r="E146" s="187"/>
      <c r="F146" s="187"/>
      <c r="G146" s="173"/>
      <c r="H146" s="37">
        <f>IF(ISBLANK(Inventory!A146),0,C146+SUM('Week 2'!E146:G146)-SUM(E146:G146))</f>
        <v>0</v>
      </c>
      <c r="I146" s="35" t="str">
        <f>IF(OR(ISBLANK(J146),J146=0),"",Settings!$B$14)</f>
        <v/>
      </c>
      <c r="J146" s="30">
        <f>IF(ISBLANK(C146),0,C146*Inventory!H146)</f>
        <v>0</v>
      </c>
      <c r="K146" s="35" t="str">
        <f>IF(OR(ISBLANK(L146),L146=0),"",Settings!$B$14)</f>
        <v/>
      </c>
      <c r="L146" s="30">
        <f>IF(ISBLANK(Inventory!A146),0,SUM(E146:G146)*Inventory!H146)</f>
        <v>0</v>
      </c>
      <c r="M146" s="35" t="str">
        <f>IF(OR(ISBLANK(N146),N146=0),"",Settings!$B$14)</f>
        <v/>
      </c>
      <c r="N146" s="30">
        <f>IF(ISBLANK(Inventory!A146),0,SUM(E146:G146)*Inventory!J146)</f>
        <v>0</v>
      </c>
      <c r="O146" s="35" t="str">
        <f>IF(OR(ISBLANK(P146),P146=0),"",Settings!$B$14)</f>
        <v/>
      </c>
      <c r="P146" s="30">
        <f>IF(ISBLANK(Inventory!A146),0,H146*Inventory!J146)</f>
        <v>0</v>
      </c>
    </row>
    <row r="147" spans="1:16" ht="6.95" customHeight="1">
      <c r="A147" s="24"/>
      <c r="B147" s="24"/>
      <c r="C147" s="69"/>
      <c r="D147" s="69"/>
      <c r="E147" s="69"/>
      <c r="F147" s="69"/>
      <c r="G147" s="69"/>
      <c r="H147" s="69"/>
      <c r="I147" s="69"/>
      <c r="J147" s="69"/>
      <c r="K147" s="69"/>
      <c r="L147" s="25"/>
      <c r="M147" s="62"/>
      <c r="N147" s="160"/>
      <c r="O147" s="25"/>
      <c r="P147" s="160"/>
    </row>
    <row r="148" spans="1:16" s="45" customFormat="1" ht="18" customHeight="1" thickBot="1">
      <c r="A148" s="78" t="str">
        <f>Inventory!A148</f>
        <v>MINERALS/JUICES</v>
      </c>
      <c r="B148" s="78" t="str">
        <f>Inventory!C148</f>
        <v>VOLUME</v>
      </c>
      <c r="C148" s="22" t="s">
        <v>187</v>
      </c>
      <c r="D148" s="22"/>
      <c r="E148" s="22" t="s">
        <v>101</v>
      </c>
      <c r="F148" s="22" t="s">
        <v>102</v>
      </c>
      <c r="G148" s="23" t="s">
        <v>108</v>
      </c>
      <c r="H148" s="79" t="s">
        <v>119</v>
      </c>
      <c r="I148" s="253" t="s">
        <v>190</v>
      </c>
      <c r="J148" s="253"/>
      <c r="K148" s="235" t="s">
        <v>30</v>
      </c>
      <c r="L148" s="235"/>
      <c r="M148" s="235" t="s">
        <v>31</v>
      </c>
      <c r="N148" s="235"/>
      <c r="O148" s="235" t="s">
        <v>189</v>
      </c>
      <c r="P148" s="235"/>
    </row>
    <row r="149" spans="1:16" ht="6.95" customHeight="1" thickTop="1">
      <c r="A149" s="193"/>
      <c r="B149" s="194"/>
      <c r="C149" s="71"/>
      <c r="D149" s="71"/>
      <c r="E149" s="67"/>
      <c r="F149" s="67"/>
      <c r="G149" s="71"/>
      <c r="H149" s="71"/>
      <c r="I149" s="71"/>
      <c r="J149" s="71"/>
      <c r="K149" s="71"/>
      <c r="L149" s="67"/>
      <c r="M149" s="62"/>
      <c r="N149" s="67"/>
      <c r="O149" s="67"/>
      <c r="P149" s="67"/>
    </row>
    <row r="150" spans="1:16" s="29" customFormat="1" ht="15" customHeight="1">
      <c r="A150" s="31" t="str">
        <f>IF(ISBLANK(Inventory!A150),"",Inventory!A150)</f>
        <v>Britvic J20</v>
      </c>
      <c r="B150" s="31" t="str">
        <f>IF(ISBLANK(Inventory!A150),"",Inventory!C150)</f>
        <v>275ml</v>
      </c>
      <c r="C150" s="187"/>
      <c r="D150" s="192"/>
      <c r="E150" s="187"/>
      <c r="F150" s="187"/>
      <c r="G150" s="187"/>
      <c r="H150" s="37">
        <f>IF(ISBLANK(Inventory!A150),0,C150+SUM('Week 2'!E150:G150)-SUM(E150:G150))</f>
        <v>0</v>
      </c>
      <c r="I150" s="35" t="str">
        <f>IF(OR(ISBLANK(J150),J150=0),"",Settings!$B$14)</f>
        <v/>
      </c>
      <c r="J150" s="30">
        <f>IF(ISBLANK(C150),0,C150*Inventory!H150)</f>
        <v>0</v>
      </c>
      <c r="K150" s="35" t="str">
        <f>IF(OR(ISBLANK(L150),L150=0),"",Settings!$B$14)</f>
        <v/>
      </c>
      <c r="L150" s="30">
        <f>IF(ISBLANK(Inventory!A150),0,SUM(E150:G150)*Inventory!H150)</f>
        <v>0</v>
      </c>
      <c r="M150" s="35" t="str">
        <f>IF(OR(ISBLANK(N150),N150=0),"",Settings!$B$14)</f>
        <v/>
      </c>
      <c r="N150" s="30">
        <f>IF(ISBLANK(Inventory!A150),0,SUM(E150:G150)*Inventory!J150)</f>
        <v>0</v>
      </c>
      <c r="O150" s="35" t="str">
        <f>IF(OR(ISBLANK(P150),P150=0),"",Settings!$B$14)</f>
        <v/>
      </c>
      <c r="P150" s="30">
        <f>IF(ISBLANK(Inventory!A150),0,H150*Inventory!J150)</f>
        <v>0</v>
      </c>
    </row>
    <row r="151" spans="1:16" s="29" customFormat="1" ht="15" customHeight="1">
      <c r="A151" s="31" t="str">
        <f>IF(ISBLANK(Inventory!A151),"",Inventory!A151)</f>
        <v>Coke/Diet Coke</v>
      </c>
      <c r="B151" s="31" t="str">
        <f>IF(ISBLANK(Inventory!A151),"",Inventory!C151)</f>
        <v>330ml</v>
      </c>
      <c r="C151" s="187"/>
      <c r="D151" s="192"/>
      <c r="E151" s="187"/>
      <c r="F151" s="187"/>
      <c r="G151" s="187"/>
      <c r="H151" s="37">
        <f>IF(ISBLANK(Inventory!A151),0,C151+SUM('Week 2'!E151:G151)-SUM(E151:G151))</f>
        <v>0</v>
      </c>
      <c r="I151" s="35" t="str">
        <f>IF(OR(ISBLANK(J151),J151=0),"",Settings!$B$14)</f>
        <v/>
      </c>
      <c r="J151" s="30">
        <f>IF(ISBLANK(C151),0,C151*Inventory!H151)</f>
        <v>0</v>
      </c>
      <c r="K151" s="35" t="str">
        <f>IF(OR(ISBLANK(L151),L151=0),"",Settings!$B$14)</f>
        <v/>
      </c>
      <c r="L151" s="30">
        <f>IF(ISBLANK(Inventory!A151),0,SUM(E151:G151)*Inventory!H151)</f>
        <v>0</v>
      </c>
      <c r="M151" s="35" t="str">
        <f>IF(OR(ISBLANK(N151),N151=0),"",Settings!$B$14)</f>
        <v/>
      </c>
      <c r="N151" s="30">
        <f>IF(ISBLANK(Inventory!A151),0,SUM(E151:G151)*Inventory!J151)</f>
        <v>0</v>
      </c>
      <c r="O151" s="35" t="str">
        <f>IF(OR(ISBLANK(P151),P151=0),"",Settings!$B$14)</f>
        <v/>
      </c>
      <c r="P151" s="30">
        <f>IF(ISBLANK(Inventory!A151),0,H151*Inventory!J151)</f>
        <v>0</v>
      </c>
    </row>
    <row r="152" spans="1:16" s="29" customFormat="1" ht="15" customHeight="1">
      <c r="A152" s="31" t="str">
        <f>IF(ISBLANK(Inventory!A152),"",Inventory!A152)</f>
        <v>Fruit Juices</v>
      </c>
      <c r="B152" s="31" t="str">
        <f>IF(ISBLANK(Inventory!A152),"",Inventory!C152)</f>
        <v>180ml</v>
      </c>
      <c r="C152" s="187"/>
      <c r="D152" s="192"/>
      <c r="E152" s="187"/>
      <c r="F152" s="187"/>
      <c r="G152" s="187"/>
      <c r="H152" s="37">
        <f>IF(ISBLANK(Inventory!A152),0,C152+SUM('Week 2'!E152:G152)-SUM(E152:G152))</f>
        <v>0</v>
      </c>
      <c r="I152" s="35" t="str">
        <f>IF(OR(ISBLANK(J152),J152=0),"",Settings!$B$14)</f>
        <v/>
      </c>
      <c r="J152" s="30">
        <f>IF(ISBLANK(C152),0,C152*Inventory!H152)</f>
        <v>0</v>
      </c>
      <c r="K152" s="35" t="str">
        <f>IF(OR(ISBLANK(L152),L152=0),"",Settings!$B$14)</f>
        <v/>
      </c>
      <c r="L152" s="30">
        <f>IF(ISBLANK(Inventory!A152),0,SUM(E152:G152)*Inventory!H152)</f>
        <v>0</v>
      </c>
      <c r="M152" s="35" t="str">
        <f>IF(OR(ISBLANK(N152),N152=0),"",Settings!$B$14)</f>
        <v/>
      </c>
      <c r="N152" s="30">
        <f>IF(ISBLANK(Inventory!A152),0,SUM(E152:G152)*Inventory!J152)</f>
        <v>0</v>
      </c>
      <c r="O152" s="35" t="str">
        <f>IF(OR(ISBLANK(P152),P152=0),"",Settings!$B$14)</f>
        <v/>
      </c>
      <c r="P152" s="30">
        <f>IF(ISBLANK(Inventory!A152),0,H152*Inventory!J152)</f>
        <v>0</v>
      </c>
    </row>
    <row r="153" spans="1:16" s="29" customFormat="1" ht="15" customHeight="1">
      <c r="A153" s="31" t="str">
        <f>IF(ISBLANK(Inventory!A153),"",Inventory!A153)</f>
        <v>Fruit Juices</v>
      </c>
      <c r="B153" s="31" t="str">
        <f>IF(ISBLANK(Inventory!A153),"",Inventory!C153)</f>
        <v>113ml</v>
      </c>
      <c r="C153" s="187"/>
      <c r="D153" s="192"/>
      <c r="E153" s="187"/>
      <c r="F153" s="187"/>
      <c r="G153" s="187"/>
      <c r="H153" s="37">
        <f>IF(ISBLANK(Inventory!A153),0,C153+SUM('Week 2'!E153:G153)-SUM(E153:G153))</f>
        <v>0</v>
      </c>
      <c r="I153" s="35" t="str">
        <f>IF(OR(ISBLANK(J153),J153=0),"",Settings!$B$14)</f>
        <v/>
      </c>
      <c r="J153" s="30">
        <f>IF(ISBLANK(C153),0,C153*Inventory!H153)</f>
        <v>0</v>
      </c>
      <c r="K153" s="35" t="str">
        <f>IF(OR(ISBLANK(L153),L153=0),"",Settings!$B$14)</f>
        <v/>
      </c>
      <c r="L153" s="30">
        <f>IF(ISBLANK(Inventory!A153),0,SUM(E153:G153)*Inventory!H153)</f>
        <v>0</v>
      </c>
      <c r="M153" s="35" t="str">
        <f>IF(OR(ISBLANK(N153),N153=0),"",Settings!$B$14)</f>
        <v/>
      </c>
      <c r="N153" s="30">
        <f>IF(ISBLANK(Inventory!A153),0,SUM(E153:G153)*Inventory!J153)</f>
        <v>0</v>
      </c>
      <c r="O153" s="35" t="str">
        <f>IF(OR(ISBLANK(P153),P153=0),"",Settings!$B$14)</f>
        <v/>
      </c>
      <c r="P153" s="30">
        <f>IF(ISBLANK(Inventory!A153),0,H153*Inventory!J153)</f>
        <v>0</v>
      </c>
    </row>
    <row r="154" spans="1:16" s="29" customFormat="1" ht="15" customHeight="1">
      <c r="A154" s="31" t="str">
        <f>IF(ISBLANK(Inventory!A154),"",Inventory!A154)</f>
        <v>Minerals</v>
      </c>
      <c r="B154" s="31" t="str">
        <f>IF(ISBLANK(Inventory!A154),"",Inventory!C154)</f>
        <v>180ml</v>
      </c>
      <c r="C154" s="187"/>
      <c r="D154" s="192"/>
      <c r="E154" s="187"/>
      <c r="F154" s="187"/>
      <c r="G154" s="187"/>
      <c r="H154" s="37">
        <f>IF(ISBLANK(Inventory!A154),0,C154+SUM('Week 2'!E154:G154)-SUM(E154:G154))</f>
        <v>0</v>
      </c>
      <c r="I154" s="35" t="str">
        <f>IF(OR(ISBLANK(J154),J154=0),"",Settings!$B$14)</f>
        <v/>
      </c>
      <c r="J154" s="30">
        <f>IF(ISBLANK(C154),0,C154*Inventory!H154)</f>
        <v>0</v>
      </c>
      <c r="K154" s="35" t="str">
        <f>IF(OR(ISBLANK(L154),L154=0),"",Settings!$B$14)</f>
        <v/>
      </c>
      <c r="L154" s="30">
        <f>IF(ISBLANK(Inventory!A154),0,SUM(E154:G154)*Inventory!H154)</f>
        <v>0</v>
      </c>
      <c r="M154" s="35" t="str">
        <f>IF(OR(ISBLANK(N154),N154=0),"",Settings!$B$14)</f>
        <v/>
      </c>
      <c r="N154" s="30">
        <f>IF(ISBLANK(Inventory!A154),0,SUM(E154:G154)*Inventory!J154)</f>
        <v>0</v>
      </c>
      <c r="O154" s="35" t="str">
        <f>IF(OR(ISBLANK(P154),P154=0),"",Settings!$B$14)</f>
        <v/>
      </c>
      <c r="P154" s="30">
        <f>IF(ISBLANK(Inventory!A154),0,H154*Inventory!J154)</f>
        <v>0</v>
      </c>
    </row>
    <row r="155" spans="1:16" s="29" customFormat="1" ht="15" customHeight="1">
      <c r="A155" s="31" t="str">
        <f>IF(ISBLANK(Inventory!A155),"",Inventory!A155)</f>
        <v>Minerals</v>
      </c>
      <c r="B155" s="31" t="str">
        <f>IF(ISBLANK(Inventory!A155),"",Inventory!C155)</f>
        <v>113ml</v>
      </c>
      <c r="C155" s="187"/>
      <c r="D155" s="192"/>
      <c r="E155" s="187"/>
      <c r="F155" s="187"/>
      <c r="G155" s="187"/>
      <c r="H155" s="37">
        <f>IF(ISBLANK(Inventory!A155),0,C155+SUM('Week 2'!E155:G155)-SUM(E155:G155))</f>
        <v>0</v>
      </c>
      <c r="I155" s="35" t="str">
        <f>IF(OR(ISBLANK(J155),J155=0),"",Settings!$B$14)</f>
        <v/>
      </c>
      <c r="J155" s="30">
        <f>IF(ISBLANK(C155),0,C155*Inventory!H155)</f>
        <v>0</v>
      </c>
      <c r="K155" s="35" t="str">
        <f>IF(OR(ISBLANK(L155),L155=0),"",Settings!$B$14)</f>
        <v/>
      </c>
      <c r="L155" s="30">
        <f>IF(ISBLANK(Inventory!A155),0,SUM(E155:G155)*Inventory!H155)</f>
        <v>0</v>
      </c>
      <c r="M155" s="35" t="str">
        <f>IF(OR(ISBLANK(N155),N155=0),"",Settings!$B$14)</f>
        <v/>
      </c>
      <c r="N155" s="30">
        <f>IF(ISBLANK(Inventory!A155),0,SUM(E155:G155)*Inventory!J155)</f>
        <v>0</v>
      </c>
      <c r="O155" s="35" t="str">
        <f>IF(OR(ISBLANK(P155),P155=0),"",Settings!$B$14)</f>
        <v/>
      </c>
      <c r="P155" s="30">
        <f>IF(ISBLANK(Inventory!A155),0,H155*Inventory!J155)</f>
        <v>0</v>
      </c>
    </row>
    <row r="156" spans="1:16" s="29" customFormat="1" ht="15" customHeight="1">
      <c r="A156" s="31" t="str">
        <f>IF(ISBLANK(Inventory!A156),"",Inventory!A156)</f>
        <v>Tango Diet</v>
      </c>
      <c r="B156" s="31" t="str">
        <f>IF(ISBLANK(Inventory!A156),"",Inventory!C156)</f>
        <v>180ml</v>
      </c>
      <c r="C156" s="187"/>
      <c r="D156" s="192"/>
      <c r="E156" s="187"/>
      <c r="F156" s="187"/>
      <c r="G156" s="187"/>
      <c r="H156" s="37">
        <f>IF(ISBLANK(Inventory!A156),0,C156+SUM('Week 2'!E156:G156)-SUM(E156:G156))</f>
        <v>0</v>
      </c>
      <c r="I156" s="35" t="str">
        <f>IF(OR(ISBLANK(J156),J156=0),"",Settings!$B$14)</f>
        <v/>
      </c>
      <c r="J156" s="30">
        <f>IF(ISBLANK(C156),0,C156*Inventory!H156)</f>
        <v>0</v>
      </c>
      <c r="K156" s="35" t="str">
        <f>IF(OR(ISBLANK(L156),L156=0),"",Settings!$B$14)</f>
        <v/>
      </c>
      <c r="L156" s="30">
        <f>IF(ISBLANK(Inventory!A156),0,SUM(E156:G156)*Inventory!H156)</f>
        <v>0</v>
      </c>
      <c r="M156" s="35" t="str">
        <f>IF(OR(ISBLANK(N156),N156=0),"",Settings!$B$14)</f>
        <v/>
      </c>
      <c r="N156" s="30">
        <f>IF(ISBLANK(Inventory!A156),0,SUM(E156:G156)*Inventory!J156)</f>
        <v>0</v>
      </c>
      <c r="O156" s="35" t="str">
        <f>IF(OR(ISBLANK(P156),P156=0),"",Settings!$B$14)</f>
        <v/>
      </c>
      <c r="P156" s="30">
        <f>IF(ISBLANK(Inventory!A156),0,H156*Inventory!J156)</f>
        <v>0</v>
      </c>
    </row>
    <row r="157" spans="1:16" s="29" customFormat="1" ht="15" customHeight="1">
      <c r="A157" s="31" t="str">
        <f>IF(ISBLANK(Inventory!A157),"",Inventory!A157)</f>
        <v>Strathmore</v>
      </c>
      <c r="B157" s="31" t="str">
        <f>IF(ISBLANK(Inventory!A157),"",Inventory!C157)</f>
        <v>1Ltr</v>
      </c>
      <c r="C157" s="187"/>
      <c r="D157" s="192"/>
      <c r="E157" s="187"/>
      <c r="F157" s="187"/>
      <c r="G157" s="187"/>
      <c r="H157" s="37">
        <f>IF(ISBLANK(Inventory!A157),0,C157+SUM('Week 2'!E157:G157)-SUM(E157:G157))</f>
        <v>0</v>
      </c>
      <c r="I157" s="35" t="str">
        <f>IF(OR(ISBLANK(J157),J157=0),"",Settings!$B$14)</f>
        <v/>
      </c>
      <c r="J157" s="30">
        <f>IF(ISBLANK(C157),0,C157*Inventory!H157)</f>
        <v>0</v>
      </c>
      <c r="K157" s="35" t="str">
        <f>IF(OR(ISBLANK(L157),L157=0),"",Settings!$B$14)</f>
        <v/>
      </c>
      <c r="L157" s="30">
        <f>IF(ISBLANK(Inventory!A157),0,SUM(E157:G157)*Inventory!H157)</f>
        <v>0</v>
      </c>
      <c r="M157" s="35" t="str">
        <f>IF(OR(ISBLANK(N157),N157=0),"",Settings!$B$14)</f>
        <v/>
      </c>
      <c r="N157" s="30">
        <f>IF(ISBLANK(Inventory!A157),0,SUM(E157:G157)*Inventory!J157)</f>
        <v>0</v>
      </c>
      <c r="O157" s="35" t="str">
        <f>IF(OR(ISBLANK(P157),P157=0),"",Settings!$B$14)</f>
        <v/>
      </c>
      <c r="P157" s="30">
        <f>IF(ISBLANK(Inventory!A157),0,H157*Inventory!J157)</f>
        <v>0</v>
      </c>
    </row>
    <row r="158" spans="1:16" s="29" customFormat="1" ht="15" customHeight="1">
      <c r="A158" s="31" t="str">
        <f>IF(ISBLANK(Inventory!A158),"",Inventory!A158)</f>
        <v>Strathmore</v>
      </c>
      <c r="B158" s="31" t="str">
        <f>IF(ISBLANK(Inventory!A158),"",Inventory!C158)</f>
        <v>330ml</v>
      </c>
      <c r="C158" s="187"/>
      <c r="D158" s="192"/>
      <c r="E158" s="187"/>
      <c r="F158" s="187"/>
      <c r="G158" s="187"/>
      <c r="H158" s="37">
        <f>IF(ISBLANK(Inventory!A158),0,C158+SUM('Week 2'!E158:G158)-SUM(E158:G158))</f>
        <v>0</v>
      </c>
      <c r="I158" s="35" t="str">
        <f>IF(OR(ISBLANK(J158),J158=0),"",Settings!$B$14)</f>
        <v/>
      </c>
      <c r="J158" s="30">
        <f>IF(ISBLANK(C158),0,C158*Inventory!H158)</f>
        <v>0</v>
      </c>
      <c r="K158" s="35" t="str">
        <f>IF(OR(ISBLANK(L158),L158=0),"",Settings!$B$14)</f>
        <v/>
      </c>
      <c r="L158" s="30">
        <f>IF(ISBLANK(Inventory!A158),0,SUM(E158:G158)*Inventory!H158)</f>
        <v>0</v>
      </c>
      <c r="M158" s="35" t="str">
        <f>IF(OR(ISBLANK(N158),N158=0),"",Settings!$B$14)</f>
        <v/>
      </c>
      <c r="N158" s="30">
        <f>IF(ISBLANK(Inventory!A158),0,SUM(E158:G158)*Inventory!J158)</f>
        <v>0</v>
      </c>
      <c r="O158" s="35" t="str">
        <f>IF(OR(ISBLANK(P158),P158=0),"",Settings!$B$14)</f>
        <v/>
      </c>
      <c r="P158" s="30">
        <f>IF(ISBLANK(Inventory!A158),0,H158*Inventory!J158)</f>
        <v>0</v>
      </c>
    </row>
    <row r="159" spans="1:16" s="29" customFormat="1" ht="15" customHeight="1">
      <c r="A159" s="31" t="str">
        <f>IF(ISBLANK(Inventory!A159),"",Inventory!A159)</f>
        <v>Red Bull</v>
      </c>
      <c r="B159" s="31" t="str">
        <f>IF(ISBLANK(Inventory!A159),"",Inventory!C159)</f>
        <v>250ml</v>
      </c>
      <c r="C159" s="187"/>
      <c r="D159" s="192"/>
      <c r="E159" s="187"/>
      <c r="F159" s="187"/>
      <c r="G159" s="187"/>
      <c r="H159" s="37">
        <f>IF(ISBLANK(Inventory!A159),0,C159+SUM('Week 2'!E159:G159)-SUM(E159:G159))</f>
        <v>0</v>
      </c>
      <c r="I159" s="35" t="str">
        <f>IF(OR(ISBLANK(J159),J159=0),"",Settings!$B$14)</f>
        <v/>
      </c>
      <c r="J159" s="30">
        <f>IF(ISBLANK(C159),0,C159*Inventory!H159)</f>
        <v>0</v>
      </c>
      <c r="K159" s="35" t="str">
        <f>IF(OR(ISBLANK(L159),L159=0),"",Settings!$B$14)</f>
        <v/>
      </c>
      <c r="L159" s="30">
        <f>IF(ISBLANK(Inventory!A159),0,SUM(E159:G159)*Inventory!H159)</f>
        <v>0</v>
      </c>
      <c r="M159" s="35" t="str">
        <f>IF(OR(ISBLANK(N159),N159=0),"",Settings!$B$14)</f>
        <v/>
      </c>
      <c r="N159" s="30">
        <f>IF(ISBLANK(Inventory!A159),0,SUM(E159:G159)*Inventory!J159)</f>
        <v>0</v>
      </c>
      <c r="O159" s="35" t="str">
        <f>IF(OR(ISBLANK(P159),P159=0),"",Settings!$B$14)</f>
        <v/>
      </c>
      <c r="P159" s="30">
        <f>IF(ISBLANK(Inventory!A159),0,H159*Inventory!J159)</f>
        <v>0</v>
      </c>
    </row>
    <row r="160" spans="1:16" s="29" customFormat="1" ht="15" customHeight="1">
      <c r="A160" s="31" t="str">
        <f>IF(ISBLANK(Inventory!A160),"",Inventory!A160)</f>
        <v>Squash/Cordial</v>
      </c>
      <c r="B160" s="31" t="str">
        <f>IF(ISBLANK(Inventory!A160),"",Inventory!C160)</f>
        <v>1Ltr</v>
      </c>
      <c r="C160" s="187"/>
      <c r="D160" s="192"/>
      <c r="E160" s="187"/>
      <c r="F160" s="187"/>
      <c r="G160" s="187"/>
      <c r="H160" s="37">
        <f>IF(ISBLANK(Inventory!A160),0,C160+SUM('Week 2'!E160:G160)-SUM(E160:G160))</f>
        <v>0</v>
      </c>
      <c r="I160" s="35" t="str">
        <f>IF(OR(ISBLANK(J160),J160=0),"",Settings!$B$14)</f>
        <v/>
      </c>
      <c r="J160" s="30">
        <f>IF(ISBLANK(C160),0,C160*Inventory!H160)</f>
        <v>0</v>
      </c>
      <c r="K160" s="35" t="str">
        <f>IF(OR(ISBLANK(L160),L160=0),"",Settings!$B$14)</f>
        <v/>
      </c>
      <c r="L160" s="30">
        <f>IF(ISBLANK(Inventory!A160),0,SUM(E160:G160)*Inventory!H160)</f>
        <v>0</v>
      </c>
      <c r="M160" s="35" t="str">
        <f>IF(OR(ISBLANK(N160),N160=0),"",Settings!$B$14)</f>
        <v/>
      </c>
      <c r="N160" s="30">
        <f>IF(ISBLANK(Inventory!A160),0,SUM(E160:G160)*Inventory!J160)</f>
        <v>0</v>
      </c>
      <c r="O160" s="35" t="str">
        <f>IF(OR(ISBLANK(P160),P160=0),"",Settings!$B$14)</f>
        <v/>
      </c>
      <c r="P160" s="30">
        <f>IF(ISBLANK(Inventory!A160),0,H160*Inventory!J160)</f>
        <v>0</v>
      </c>
    </row>
    <row r="161" spans="1:16" s="29" customFormat="1" ht="15" customHeight="1">
      <c r="A161" s="31" t="str">
        <f>IF(ISBLANK(Inventory!A161),"",Inventory!A161)</f>
        <v>Lime Cordial</v>
      </c>
      <c r="B161" s="31" t="str">
        <f>IF(ISBLANK(Inventory!A161),"",Inventory!C161)</f>
        <v>1Ltr</v>
      </c>
      <c r="C161" s="187"/>
      <c r="D161" s="192"/>
      <c r="E161" s="187"/>
      <c r="F161" s="187"/>
      <c r="G161" s="187">
        <v>0.9</v>
      </c>
      <c r="H161" s="37">
        <f>IF(ISBLANK(Inventory!A161),0,C161+SUM('Week 2'!E161:G161)-SUM(E161:G161))</f>
        <v>0</v>
      </c>
      <c r="I161" s="35" t="str">
        <f>IF(OR(ISBLANK(J161),J161=0),"",Settings!$B$14)</f>
        <v/>
      </c>
      <c r="J161" s="30">
        <f>IF(ISBLANK(C161),0,C161*Inventory!H161)</f>
        <v>0</v>
      </c>
      <c r="K161" s="35" t="str">
        <f>IF(OR(ISBLANK(L161),L161=0),"",Settings!$B$14)</f>
        <v>$</v>
      </c>
      <c r="L161" s="30">
        <f>IF(ISBLANK(Inventory!A161),0,SUM(E161:G161)*Inventory!H161)</f>
        <v>1.0912500000000001</v>
      </c>
      <c r="M161" s="35" t="str">
        <f>IF(OR(ISBLANK(N161),N161=0),"",Settings!$B$14)</f>
        <v>$</v>
      </c>
      <c r="N161" s="30">
        <f>IF(ISBLANK(Inventory!A161),0,SUM(E161:G161)*Inventory!J161)</f>
        <v>5.67</v>
      </c>
      <c r="O161" s="35" t="str">
        <f>IF(OR(ISBLANK(P161),P161=0),"",Settings!$B$14)</f>
        <v/>
      </c>
      <c r="P161" s="30">
        <f>IF(ISBLANK(Inventory!A161),0,H161*Inventory!J161)</f>
        <v>0</v>
      </c>
    </row>
    <row r="162" spans="1:16" s="29" customFormat="1" ht="15" customHeight="1">
      <c r="A162" s="31" t="str">
        <f>IF(ISBLANK(Inventory!A162),"",Inventory!A162)</f>
        <v>Coke/Diet Coke (Cans)</v>
      </c>
      <c r="B162" s="31" t="str">
        <f>IF(ISBLANK(Inventory!A162),"",Inventory!C162)</f>
        <v>330ml</v>
      </c>
      <c r="C162" s="187"/>
      <c r="D162" s="192"/>
      <c r="E162" s="187"/>
      <c r="F162" s="187"/>
      <c r="G162" s="187"/>
      <c r="H162" s="37">
        <f>IF(ISBLANK(Inventory!A162),0,C162+SUM('Week 2'!E162:G162)-SUM(E162:G162))</f>
        <v>0</v>
      </c>
      <c r="I162" s="35" t="str">
        <f>IF(OR(ISBLANK(J162),J162=0),"",Settings!$B$14)</f>
        <v/>
      </c>
      <c r="J162" s="30">
        <f>IF(ISBLANK(C162),0,C162*Inventory!H162)</f>
        <v>0</v>
      </c>
      <c r="K162" s="35" t="str">
        <f>IF(OR(ISBLANK(L162),L162=0),"",Settings!$B$14)</f>
        <v/>
      </c>
      <c r="L162" s="30">
        <f>IF(ISBLANK(Inventory!A162),0,SUM(E162:G162)*Inventory!H162)</f>
        <v>0</v>
      </c>
      <c r="M162" s="35" t="str">
        <f>IF(OR(ISBLANK(N162),N162=0),"",Settings!$B$14)</f>
        <v/>
      </c>
      <c r="N162" s="30">
        <f>IF(ISBLANK(Inventory!A162),0,SUM(E162:G162)*Inventory!J162)</f>
        <v>0</v>
      </c>
      <c r="O162" s="35" t="str">
        <f>IF(OR(ISBLANK(P162),P162=0),"",Settings!$B$14)</f>
        <v/>
      </c>
      <c r="P162" s="30">
        <f>IF(ISBLANK(Inventory!A162),0,H162*Inventory!J162)</f>
        <v>0</v>
      </c>
    </row>
    <row r="163" spans="1:16" s="29" customFormat="1" ht="15" customHeight="1">
      <c r="A163" s="31" t="str">
        <f>IF(ISBLANK(Inventory!A163),"",Inventory!A163)</f>
        <v/>
      </c>
      <c r="B163" s="31" t="str">
        <f>IF(ISBLANK(Inventory!A163),"",Inventory!C163)</f>
        <v/>
      </c>
      <c r="C163" s="187"/>
      <c r="D163" s="192"/>
      <c r="E163" s="187"/>
      <c r="F163" s="187"/>
      <c r="G163" s="187"/>
      <c r="H163" s="37">
        <f>IF(ISBLANK(Inventory!A163),0,C163+SUM('Week 2'!E163:G163)-SUM(E163:G163))</f>
        <v>0</v>
      </c>
      <c r="I163" s="35" t="str">
        <f>IF(OR(ISBLANK(J163),J163=0),"",Settings!$B$14)</f>
        <v/>
      </c>
      <c r="J163" s="30">
        <f>IF(ISBLANK(C163),0,C163*Inventory!H163)</f>
        <v>0</v>
      </c>
      <c r="K163" s="35" t="str">
        <f>IF(OR(ISBLANK(L163),L163=0),"",Settings!$B$14)</f>
        <v/>
      </c>
      <c r="L163" s="30">
        <f>IF(ISBLANK(Inventory!A163),0,SUM(E163:G163)*Inventory!H163)</f>
        <v>0</v>
      </c>
      <c r="M163" s="35" t="str">
        <f>IF(OR(ISBLANK(N163),N163=0),"",Settings!$B$14)</f>
        <v/>
      </c>
      <c r="N163" s="30">
        <f>IF(ISBLANK(Inventory!A163),0,SUM(E163:G163)*Inventory!J163)</f>
        <v>0</v>
      </c>
      <c r="O163" s="35" t="str">
        <f>IF(OR(ISBLANK(P163),P163=0),"",Settings!$B$14)</f>
        <v/>
      </c>
      <c r="P163" s="30">
        <f>IF(ISBLANK(Inventory!A163),0,H163*Inventory!J163)</f>
        <v>0</v>
      </c>
    </row>
    <row r="164" spans="1:16" s="29" customFormat="1" ht="15" customHeight="1">
      <c r="A164" s="31" t="str">
        <f>IF(ISBLANK(Inventory!A164),"",Inventory!A164)</f>
        <v/>
      </c>
      <c r="B164" s="31" t="str">
        <f>IF(ISBLANK(Inventory!A164),"",Inventory!C164)</f>
        <v/>
      </c>
      <c r="C164" s="187"/>
      <c r="D164" s="192"/>
      <c r="E164" s="187"/>
      <c r="F164" s="187"/>
      <c r="G164" s="187"/>
      <c r="H164" s="37">
        <f>IF(ISBLANK(Inventory!A164),0,C164+SUM('Week 2'!E164:G164)-SUM(E164:G164))</f>
        <v>0</v>
      </c>
      <c r="I164" s="35" t="str">
        <f>IF(OR(ISBLANK(J164),J164=0),"",Settings!$B$14)</f>
        <v/>
      </c>
      <c r="J164" s="30">
        <f>IF(ISBLANK(C164),0,C164*Inventory!H164)</f>
        <v>0</v>
      </c>
      <c r="K164" s="35" t="str">
        <f>IF(OR(ISBLANK(L164),L164=0),"",Settings!$B$14)</f>
        <v/>
      </c>
      <c r="L164" s="30">
        <f>IF(ISBLANK(Inventory!A164),0,SUM(E164:G164)*Inventory!H164)</f>
        <v>0</v>
      </c>
      <c r="M164" s="35" t="str">
        <f>IF(OR(ISBLANK(N164),N164=0),"",Settings!$B$14)</f>
        <v/>
      </c>
      <c r="N164" s="30">
        <f>IF(ISBLANK(Inventory!A164),0,SUM(E164:G164)*Inventory!J164)</f>
        <v>0</v>
      </c>
      <c r="O164" s="35" t="str">
        <f>IF(OR(ISBLANK(P164),P164=0),"",Settings!$B$14)</f>
        <v/>
      </c>
      <c r="P164" s="30">
        <f>IF(ISBLANK(Inventory!A164),0,H164*Inventory!J164)</f>
        <v>0</v>
      </c>
    </row>
    <row r="165" spans="1:16" s="29" customFormat="1" ht="15" customHeight="1">
      <c r="A165" s="31" t="str">
        <f>IF(ISBLANK(Inventory!A165),"",Inventory!A165)</f>
        <v/>
      </c>
      <c r="B165" s="31" t="str">
        <f>IF(ISBLANK(Inventory!A165),"",Inventory!C165)</f>
        <v/>
      </c>
      <c r="C165" s="187"/>
      <c r="D165" s="192"/>
      <c r="E165" s="187"/>
      <c r="F165" s="187"/>
      <c r="G165" s="187"/>
      <c r="H165" s="37">
        <f>IF(ISBLANK(Inventory!A165),0,C165+SUM('Week 2'!E165:G165)-SUM(E165:G165))</f>
        <v>0</v>
      </c>
      <c r="I165" s="35" t="str">
        <f>IF(OR(ISBLANK(J165),J165=0),"",Settings!$B$14)</f>
        <v/>
      </c>
      <c r="J165" s="30">
        <f>IF(ISBLANK(C165),0,C165*Inventory!H165)</f>
        <v>0</v>
      </c>
      <c r="K165" s="35" t="str">
        <f>IF(OR(ISBLANK(L165),L165=0),"",Settings!$B$14)</f>
        <v/>
      </c>
      <c r="L165" s="30">
        <f>IF(ISBLANK(Inventory!A165),0,SUM(E165:G165)*Inventory!H165)</f>
        <v>0</v>
      </c>
      <c r="M165" s="35" t="str">
        <f>IF(OR(ISBLANK(N165),N165=0),"",Settings!$B$14)</f>
        <v/>
      </c>
      <c r="N165" s="30">
        <f>IF(ISBLANK(Inventory!A165),0,SUM(E165:G165)*Inventory!J165)</f>
        <v>0</v>
      </c>
      <c r="O165" s="35" t="str">
        <f>IF(OR(ISBLANK(P165),P165=0),"",Settings!$B$14)</f>
        <v/>
      </c>
      <c r="P165" s="30">
        <f>IF(ISBLANK(Inventory!A165),0,H165*Inventory!J165)</f>
        <v>0</v>
      </c>
    </row>
    <row r="166" spans="1:16" s="29" customFormat="1" ht="15" customHeight="1">
      <c r="A166" s="31" t="str">
        <f>IF(ISBLANK(Inventory!A166),"",Inventory!A166)</f>
        <v/>
      </c>
      <c r="B166" s="31" t="str">
        <f>IF(ISBLANK(Inventory!A166),"",Inventory!C166)</f>
        <v/>
      </c>
      <c r="C166" s="187"/>
      <c r="D166" s="192"/>
      <c r="E166" s="187"/>
      <c r="F166" s="187"/>
      <c r="G166" s="187"/>
      <c r="H166" s="37">
        <f>IF(ISBLANK(Inventory!A166),0,C166+SUM('Week 2'!E166:G166)-SUM(E166:G166))</f>
        <v>0</v>
      </c>
      <c r="I166" s="35" t="str">
        <f>IF(OR(ISBLANK(J166),J166=0),"",Settings!$B$14)</f>
        <v/>
      </c>
      <c r="J166" s="30">
        <f>IF(ISBLANK(C166),0,C166*Inventory!H166)</f>
        <v>0</v>
      </c>
      <c r="K166" s="35" t="str">
        <f>IF(OR(ISBLANK(L166),L166=0),"",Settings!$B$14)</f>
        <v/>
      </c>
      <c r="L166" s="30">
        <f>IF(ISBLANK(Inventory!A166),0,SUM(E166:G166)*Inventory!H166)</f>
        <v>0</v>
      </c>
      <c r="M166" s="35" t="str">
        <f>IF(OR(ISBLANK(N166),N166=0),"",Settings!$B$14)</f>
        <v/>
      </c>
      <c r="N166" s="30">
        <f>IF(ISBLANK(Inventory!A166),0,SUM(E166:G166)*Inventory!J166)</f>
        <v>0</v>
      </c>
      <c r="O166" s="35" t="str">
        <f>IF(OR(ISBLANK(P166),P166=0),"",Settings!$B$14)</f>
        <v/>
      </c>
      <c r="P166" s="30">
        <f>IF(ISBLANK(Inventory!A166),0,H166*Inventory!J166)</f>
        <v>0</v>
      </c>
    </row>
    <row r="167" spans="1:16" s="29" customFormat="1" ht="15" customHeight="1">
      <c r="A167" s="31" t="str">
        <f>IF(ISBLANK(Inventory!A167),"",Inventory!A167)</f>
        <v/>
      </c>
      <c r="B167" s="31" t="str">
        <f>IF(ISBLANK(Inventory!A167),"",Inventory!C167)</f>
        <v/>
      </c>
      <c r="C167" s="187"/>
      <c r="D167" s="192"/>
      <c r="E167" s="187"/>
      <c r="F167" s="187"/>
      <c r="G167" s="187"/>
      <c r="H167" s="37">
        <f>IF(ISBLANK(Inventory!A167),0,C167+SUM('Week 2'!E167:G167)-SUM(E167:G167))</f>
        <v>0</v>
      </c>
      <c r="I167" s="35" t="str">
        <f>IF(OR(ISBLANK(J167),J167=0),"",Settings!$B$14)</f>
        <v/>
      </c>
      <c r="J167" s="30">
        <f>IF(ISBLANK(C167),0,C167*Inventory!H167)</f>
        <v>0</v>
      </c>
      <c r="K167" s="35" t="str">
        <f>IF(OR(ISBLANK(L167),L167=0),"",Settings!$B$14)</f>
        <v/>
      </c>
      <c r="L167" s="30">
        <f>IF(ISBLANK(Inventory!A167),0,SUM(E167:G167)*Inventory!H167)</f>
        <v>0</v>
      </c>
      <c r="M167" s="35" t="str">
        <f>IF(OR(ISBLANK(N167),N167=0),"",Settings!$B$14)</f>
        <v/>
      </c>
      <c r="N167" s="30">
        <f>IF(ISBLANK(Inventory!A167),0,SUM(E167:G167)*Inventory!J167)</f>
        <v>0</v>
      </c>
      <c r="O167" s="35" t="str">
        <f>IF(OR(ISBLANK(P167),P167=0),"",Settings!$B$14)</f>
        <v/>
      </c>
      <c r="P167" s="30">
        <f>IF(ISBLANK(Inventory!A167),0,H167*Inventory!J167)</f>
        <v>0</v>
      </c>
    </row>
    <row r="168" spans="1:16" s="29" customFormat="1" ht="15" customHeight="1">
      <c r="A168" s="31" t="str">
        <f>IF(ISBLANK(Inventory!A168),"",Inventory!A168)</f>
        <v/>
      </c>
      <c r="B168" s="31" t="str">
        <f>IF(ISBLANK(Inventory!A168),"",Inventory!C168)</f>
        <v/>
      </c>
      <c r="C168" s="187"/>
      <c r="D168" s="192"/>
      <c r="E168" s="187"/>
      <c r="F168" s="187"/>
      <c r="G168" s="187"/>
      <c r="H168" s="37">
        <f>IF(ISBLANK(Inventory!A168),0,C168+SUM('Week 2'!E168:G168)-SUM(E168:G168))</f>
        <v>0</v>
      </c>
      <c r="I168" s="35" t="str">
        <f>IF(OR(ISBLANK(J168),J168=0),"",Settings!$B$14)</f>
        <v/>
      </c>
      <c r="J168" s="30">
        <f>IF(ISBLANK(C168),0,C168*Inventory!H168)</f>
        <v>0</v>
      </c>
      <c r="K168" s="35" t="str">
        <f>IF(OR(ISBLANK(L168),L168=0),"",Settings!$B$14)</f>
        <v/>
      </c>
      <c r="L168" s="30">
        <f>IF(ISBLANK(Inventory!A168),0,SUM(E168:G168)*Inventory!H168)</f>
        <v>0</v>
      </c>
      <c r="M168" s="35" t="str">
        <f>IF(OR(ISBLANK(N168),N168=0),"",Settings!$B$14)</f>
        <v/>
      </c>
      <c r="N168" s="30">
        <f>IF(ISBLANK(Inventory!A168),0,SUM(E168:G168)*Inventory!J168)</f>
        <v>0</v>
      </c>
      <c r="O168" s="35" t="str">
        <f>IF(OR(ISBLANK(P168),P168=0),"",Settings!$B$14)</f>
        <v/>
      </c>
      <c r="P168" s="30">
        <f>IF(ISBLANK(Inventory!A168),0,H168*Inventory!J168)</f>
        <v>0</v>
      </c>
    </row>
    <row r="169" spans="1:16" s="29" customFormat="1" ht="15" customHeight="1">
      <c r="A169" s="31" t="str">
        <f>IF(ISBLANK(Inventory!A169),"",Inventory!A169)</f>
        <v/>
      </c>
      <c r="B169" s="31" t="str">
        <f>IF(ISBLANK(Inventory!A169),"",Inventory!C169)</f>
        <v/>
      </c>
      <c r="C169" s="187"/>
      <c r="D169" s="192"/>
      <c r="E169" s="187"/>
      <c r="F169" s="187"/>
      <c r="G169" s="187"/>
      <c r="H169" s="37">
        <f>IF(ISBLANK(Inventory!A169),0,C169+SUM('Week 2'!E169:G169)-SUM(E169:G169))</f>
        <v>0</v>
      </c>
      <c r="I169" s="35" t="str">
        <f>IF(OR(ISBLANK(J169),J169=0),"",Settings!$B$14)</f>
        <v/>
      </c>
      <c r="J169" s="30">
        <f>IF(ISBLANK(C169),0,C169*Inventory!H169)</f>
        <v>0</v>
      </c>
      <c r="K169" s="35" t="str">
        <f>IF(OR(ISBLANK(L169),L169=0),"",Settings!$B$14)</f>
        <v/>
      </c>
      <c r="L169" s="30">
        <f>IF(ISBLANK(Inventory!A169),0,SUM(E169:G169)*Inventory!H169)</f>
        <v>0</v>
      </c>
      <c r="M169" s="35" t="str">
        <f>IF(OR(ISBLANK(N169),N169=0),"",Settings!$B$14)</f>
        <v/>
      </c>
      <c r="N169" s="30">
        <f>IF(ISBLANK(Inventory!A169),0,SUM(E169:G169)*Inventory!J169)</f>
        <v>0</v>
      </c>
      <c r="O169" s="35" t="str">
        <f>IF(OR(ISBLANK(P169),P169=0),"",Settings!$B$14)</f>
        <v/>
      </c>
      <c r="P169" s="30">
        <f>IF(ISBLANK(Inventory!A169),0,H169*Inventory!J169)</f>
        <v>0</v>
      </c>
    </row>
    <row r="170" spans="1:16" ht="6.95" customHeight="1">
      <c r="A170" s="24"/>
      <c r="B170" s="24"/>
      <c r="C170" s="69"/>
      <c r="D170" s="69"/>
      <c r="E170" s="69"/>
      <c r="F170" s="69"/>
      <c r="G170" s="69"/>
      <c r="H170" s="69"/>
      <c r="I170" s="69"/>
      <c r="J170" s="69"/>
      <c r="K170" s="69"/>
      <c r="L170" s="25"/>
      <c r="M170" s="62"/>
      <c r="N170" s="160"/>
      <c r="O170" s="25"/>
      <c r="P170" s="160"/>
    </row>
    <row r="171" spans="1:16" s="45" customFormat="1" ht="18" customHeight="1" thickBot="1">
      <c r="A171" s="78" t="str">
        <f>Inventory!A171</f>
        <v>POST-MIX DRINKS</v>
      </c>
      <c r="B171" s="78" t="str">
        <f>Inventory!C171</f>
        <v>VOLUME</v>
      </c>
      <c r="C171" s="22" t="s">
        <v>187</v>
      </c>
      <c r="D171" s="22"/>
      <c r="E171" s="22" t="s">
        <v>101</v>
      </c>
      <c r="F171" s="22"/>
      <c r="G171" s="23" t="s">
        <v>108</v>
      </c>
      <c r="H171" s="79" t="s">
        <v>119</v>
      </c>
      <c r="I171" s="253" t="s">
        <v>190</v>
      </c>
      <c r="J171" s="253"/>
      <c r="K171" s="235" t="s">
        <v>30</v>
      </c>
      <c r="L171" s="235"/>
      <c r="M171" s="235" t="s">
        <v>31</v>
      </c>
      <c r="N171" s="235"/>
      <c r="O171" s="235" t="s">
        <v>189</v>
      </c>
      <c r="P171" s="235"/>
    </row>
    <row r="172" spans="1:16" ht="6.95" customHeight="1" thickTop="1">
      <c r="A172" s="193"/>
      <c r="B172" s="194"/>
      <c r="C172" s="71"/>
      <c r="D172" s="71"/>
      <c r="E172" s="67"/>
      <c r="F172" s="67"/>
      <c r="G172" s="71"/>
      <c r="H172" s="71"/>
      <c r="I172" s="71"/>
      <c r="J172" s="71"/>
      <c r="K172" s="71"/>
      <c r="L172" s="67"/>
      <c r="M172" s="62"/>
      <c r="N172" s="67"/>
      <c r="O172" s="72"/>
      <c r="P172" s="67"/>
    </row>
    <row r="173" spans="1:16" ht="15" customHeight="1">
      <c r="A173" s="31" t="str">
        <f>IF(ISBLANK(Inventory!A173),"",Inventory!A173)</f>
        <v>Post-Mix Pepsi/Diet</v>
      </c>
      <c r="B173" s="31" t="str">
        <f>IF(ISBLANK(Inventory!A173),"",Inventory!C173)</f>
        <v>20ml</v>
      </c>
      <c r="C173" s="187">
        <v>1</v>
      </c>
      <c r="D173" s="192"/>
      <c r="E173" s="187"/>
      <c r="F173" s="173"/>
      <c r="G173" s="187"/>
      <c r="H173" s="37">
        <f>IF(ISBLANK(Inventory!A173),0,C173+SUM('Week 2'!E173:G173)-SUM(E173:G173))</f>
        <v>1</v>
      </c>
      <c r="I173" s="35" t="str">
        <f>IF(OR(ISBLANK(J173),J173=0),"",Settings!$B$14)</f>
        <v>$</v>
      </c>
      <c r="J173" s="30">
        <f>IF(ISBLANK(C173),0,C173*Inventory!F173)</f>
        <v>15.25</v>
      </c>
      <c r="K173" s="35" t="str">
        <f>IF(OR(ISBLANK(L173),L173=0),"",Settings!$B$14)</f>
        <v/>
      </c>
      <c r="L173" s="30">
        <f>IF(ISBLANK(Inventory!A173),0,SUM(E173:G173)*Inventory!F173)</f>
        <v>0</v>
      </c>
      <c r="M173" s="35" t="str">
        <f>IF(OR(ISBLANK(N173),N173=0),"",Settings!$B$14)</f>
        <v/>
      </c>
      <c r="N173" s="30">
        <f>IF(ISBLANK(Inventory!A173),0,SUM(E173:G173)*Inventory!L173)</f>
        <v>0</v>
      </c>
      <c r="O173" s="35" t="str">
        <f>IF(OR(ISBLANK(P173),P173=0),"",Settings!$B$14)</f>
        <v>$</v>
      </c>
      <c r="P173" s="30">
        <f>IF(ISBLANK(Inventory!A173),0,H173*Inventory!L173)</f>
        <v>412.5</v>
      </c>
    </row>
    <row r="174" spans="1:16" ht="15" customHeight="1">
      <c r="A174" s="31" t="str">
        <f>IF(ISBLANK(Inventory!A174),"",Inventory!A174)</f>
        <v>Post-Mix Lemonade</v>
      </c>
      <c r="B174" s="31" t="str">
        <f>IF(ISBLANK(Inventory!A174),"",Inventory!C174)</f>
        <v>20ml</v>
      </c>
      <c r="C174" s="187">
        <v>1</v>
      </c>
      <c r="D174" s="192"/>
      <c r="E174" s="187"/>
      <c r="F174" s="173"/>
      <c r="G174" s="187"/>
      <c r="H174" s="37">
        <f>IF(ISBLANK(Inventory!A174),0,C174+SUM('Week 2'!E174:G174)-SUM(E174:G174))</f>
        <v>1</v>
      </c>
      <c r="I174" s="35" t="str">
        <f>IF(OR(ISBLANK(J174),J174=0),"",Settings!$B$14)</f>
        <v>$</v>
      </c>
      <c r="J174" s="30">
        <f>IF(ISBLANK(C174),0,C174*Inventory!F174)</f>
        <v>14.43</v>
      </c>
      <c r="K174" s="35" t="str">
        <f>IF(OR(ISBLANK(L174),L174=0),"",Settings!$B$14)</f>
        <v/>
      </c>
      <c r="L174" s="30">
        <f>IF(ISBLANK(Inventory!A174),0,SUM(E174:G174)*Inventory!F174)</f>
        <v>0</v>
      </c>
      <c r="M174" s="35" t="str">
        <f>IF(OR(ISBLANK(N174),N174=0),"",Settings!$B$14)</f>
        <v/>
      </c>
      <c r="N174" s="30">
        <f>IF(ISBLANK(Inventory!A174),0,SUM(E174:G174)*Inventory!L174)</f>
        <v>0</v>
      </c>
      <c r="O174" s="35" t="str">
        <f>IF(OR(ISBLANK(P174),P174=0),"",Settings!$B$14)</f>
        <v>$</v>
      </c>
      <c r="P174" s="30">
        <f>IF(ISBLANK(Inventory!A174),0,H174*Inventory!L174)</f>
        <v>412.5</v>
      </c>
    </row>
    <row r="175" spans="1:16" ht="15" customHeight="1">
      <c r="A175" s="31" t="str">
        <f>IF(ISBLANK(Inventory!A175),"",Inventory!A175)</f>
        <v>Post-Mix Tango</v>
      </c>
      <c r="B175" s="31" t="str">
        <f>IF(ISBLANK(Inventory!A175),"",Inventory!C175)</f>
        <v>20ml</v>
      </c>
      <c r="C175" s="187">
        <v>1</v>
      </c>
      <c r="D175" s="192"/>
      <c r="E175" s="187"/>
      <c r="F175" s="173"/>
      <c r="G175" s="187"/>
      <c r="H175" s="37">
        <f>IF(ISBLANK(Inventory!A175),0,C175+SUM('Week 2'!E175:G175)-SUM(E175:G175))</f>
        <v>1</v>
      </c>
      <c r="I175" s="35" t="str">
        <f>IF(OR(ISBLANK(J175),J175=0),"",Settings!$B$14)</f>
        <v>$</v>
      </c>
      <c r="J175" s="30">
        <f>IF(ISBLANK(C175),0,C175*Inventory!F175)</f>
        <v>12.3</v>
      </c>
      <c r="K175" s="35" t="str">
        <f>IF(OR(ISBLANK(L175),L175=0),"",Settings!$B$14)</f>
        <v/>
      </c>
      <c r="L175" s="30">
        <f>IF(ISBLANK(Inventory!A175),0,SUM(E175:G175)*Inventory!F175)</f>
        <v>0</v>
      </c>
      <c r="M175" s="35" t="str">
        <f>IF(OR(ISBLANK(N175),N175=0),"",Settings!$B$14)</f>
        <v/>
      </c>
      <c r="N175" s="30">
        <f>IF(ISBLANK(Inventory!A175),0,SUM(E175:G175)*Inventory!L175)</f>
        <v>0</v>
      </c>
      <c r="O175" s="35" t="str">
        <f>IF(OR(ISBLANK(P175),P175=0),"",Settings!$B$14)</f>
        <v>$</v>
      </c>
      <c r="P175" s="30">
        <f>IF(ISBLANK(Inventory!A175),0,H175*Inventory!L175)</f>
        <v>825</v>
      </c>
    </row>
    <row r="176" spans="1:16" ht="15" customHeight="1">
      <c r="A176" s="31" t="str">
        <f>IF(ISBLANK(Inventory!A176),"",Inventory!A176)</f>
        <v>Sprite</v>
      </c>
      <c r="B176" s="31" t="str">
        <f>IF(ISBLANK(Inventory!A176),"",Inventory!C176)</f>
        <v>25ml</v>
      </c>
      <c r="C176" s="187">
        <v>1</v>
      </c>
      <c r="D176" s="192"/>
      <c r="E176" s="187"/>
      <c r="F176" s="173"/>
      <c r="G176" s="187"/>
      <c r="H176" s="37">
        <f>IF(ISBLANK(Inventory!A176),0,C176+SUM('Week 2'!E176:G176)-SUM(E176:G176))</f>
        <v>1</v>
      </c>
      <c r="I176" s="35" t="str">
        <f>IF(OR(ISBLANK(J176),J176=0),"",Settings!$B$14)</f>
        <v>$</v>
      </c>
      <c r="J176" s="30">
        <f>IF(ISBLANK(C176),0,C176*Inventory!F176)</f>
        <v>15.53</v>
      </c>
      <c r="K176" s="35" t="str">
        <f>IF(OR(ISBLANK(L176),L176=0),"",Settings!$B$14)</f>
        <v/>
      </c>
      <c r="L176" s="30">
        <f>IF(ISBLANK(Inventory!A176),0,SUM(E176:G176)*Inventory!F176)</f>
        <v>0</v>
      </c>
      <c r="M176" s="35" t="str">
        <f>IF(OR(ISBLANK(N176),N176=0),"",Settings!$B$14)</f>
        <v/>
      </c>
      <c r="N176" s="30">
        <f>IF(ISBLANK(Inventory!A176),0,SUM(E176:G176)*Inventory!L176)</f>
        <v>0</v>
      </c>
      <c r="O176" s="35" t="str">
        <f>IF(OR(ISBLANK(P176),P176=0),"",Settings!$B$14)</f>
        <v>$</v>
      </c>
      <c r="P176" s="30">
        <f>IF(ISBLANK(Inventory!A176),0,H176*Inventory!L176)</f>
        <v>330</v>
      </c>
    </row>
    <row r="177" spans="1:16" ht="15" customHeight="1">
      <c r="A177" s="31" t="str">
        <f>IF(ISBLANK(Inventory!A177),"",Inventory!A177)</f>
        <v/>
      </c>
      <c r="B177" s="31" t="str">
        <f>IF(ISBLANK(Inventory!A177),"",Inventory!C177)</f>
        <v/>
      </c>
      <c r="C177" s="187"/>
      <c r="D177" s="192"/>
      <c r="E177" s="187"/>
      <c r="F177" s="173"/>
      <c r="G177" s="187"/>
      <c r="H177" s="37">
        <f>IF(ISBLANK(Inventory!A177),0,C177+SUM('Week 2'!E177:G177)-SUM(E177:G177))</f>
        <v>0</v>
      </c>
      <c r="I177" s="35" t="str">
        <f>IF(OR(ISBLANK(J177),J177=0),"",Settings!$B$14)</f>
        <v/>
      </c>
      <c r="J177" s="30">
        <f>IF(ISBLANK(C177),0,C177*Inventory!F177)</f>
        <v>0</v>
      </c>
      <c r="K177" s="35" t="str">
        <f>IF(OR(ISBLANK(L177),L177=0),"",Settings!$B$14)</f>
        <v/>
      </c>
      <c r="L177" s="30">
        <f>IF(ISBLANK(Inventory!A177),0,SUM(E177:G177)*Inventory!F177)</f>
        <v>0</v>
      </c>
      <c r="M177" s="35" t="str">
        <f>IF(OR(ISBLANK(N177),N177=0),"",Settings!$B$14)</f>
        <v/>
      </c>
      <c r="N177" s="30">
        <f>IF(ISBLANK(Inventory!A177),0,SUM(E177:G177)*Inventory!L177)</f>
        <v>0</v>
      </c>
      <c r="O177" s="35" t="str">
        <f>IF(OR(ISBLANK(P177),P177=0),"",Settings!$B$14)</f>
        <v/>
      </c>
      <c r="P177" s="30">
        <f>IF(ISBLANK(Inventory!A177),0,H177*Inventory!L177)</f>
        <v>0</v>
      </c>
    </row>
    <row r="178" spans="1:16" ht="15" customHeight="1">
      <c r="A178" s="31" t="str">
        <f>IF(ISBLANK(Inventory!A178),"",Inventory!A178)</f>
        <v/>
      </c>
      <c r="B178" s="31" t="str">
        <f>IF(ISBLANK(Inventory!A178),"",Inventory!C178)</f>
        <v/>
      </c>
      <c r="C178" s="187"/>
      <c r="D178" s="192"/>
      <c r="E178" s="187"/>
      <c r="F178" s="173"/>
      <c r="G178" s="187"/>
      <c r="H178" s="37">
        <f>IF(ISBLANK(Inventory!A178),0,C178+SUM('Week 2'!E178:G178)-SUM(E178:G178))</f>
        <v>0</v>
      </c>
      <c r="I178" s="35" t="str">
        <f>IF(OR(ISBLANK(J178),J178=0),"",Settings!$B$14)</f>
        <v/>
      </c>
      <c r="J178" s="30">
        <f>IF(ISBLANK(C178),0,C178*Inventory!F178)</f>
        <v>0</v>
      </c>
      <c r="K178" s="35" t="str">
        <f>IF(OR(ISBLANK(L178),L178=0),"",Settings!$B$14)</f>
        <v/>
      </c>
      <c r="L178" s="30">
        <f>IF(ISBLANK(Inventory!A178),0,SUM(E178:G178)*Inventory!F178)</f>
        <v>0</v>
      </c>
      <c r="M178" s="35" t="str">
        <f>IF(OR(ISBLANK(N178),N178=0),"",Settings!$B$14)</f>
        <v/>
      </c>
      <c r="N178" s="30">
        <f>IF(ISBLANK(Inventory!A178),0,SUM(E178:G178)*Inventory!L178)</f>
        <v>0</v>
      </c>
      <c r="O178" s="35" t="str">
        <f>IF(OR(ISBLANK(P178),P178=0),"",Settings!$B$14)</f>
        <v/>
      </c>
      <c r="P178" s="30">
        <f>IF(ISBLANK(Inventory!A178),0,H178*Inventory!L178)</f>
        <v>0</v>
      </c>
    </row>
    <row r="179" spans="1:16" ht="6.95" customHeight="1">
      <c r="A179" s="24"/>
      <c r="B179" s="24"/>
      <c r="C179" s="1"/>
      <c r="D179" s="1"/>
      <c r="E179" s="1"/>
      <c r="F179" s="1"/>
      <c r="G179" s="1"/>
      <c r="H179" s="1"/>
      <c r="I179" s="1"/>
      <c r="J179" s="1"/>
      <c r="K179" s="1"/>
      <c r="L179" s="25"/>
      <c r="M179" s="62"/>
      <c r="N179" s="160"/>
      <c r="O179" s="25"/>
      <c r="P179" s="160"/>
    </row>
    <row r="180" spans="1:16" s="45" customFormat="1" ht="18" customHeight="1" thickBot="1">
      <c r="A180" s="78" t="str">
        <f>Inventory!A180</f>
        <v>COMPRESSED GAS</v>
      </c>
      <c r="B180" s="78"/>
      <c r="C180" s="22" t="s">
        <v>187</v>
      </c>
      <c r="D180" s="22"/>
      <c r="E180" s="22" t="s">
        <v>101</v>
      </c>
      <c r="F180" s="22"/>
      <c r="G180" s="23" t="s">
        <v>108</v>
      </c>
      <c r="H180" s="79" t="s">
        <v>119</v>
      </c>
      <c r="I180" s="253" t="s">
        <v>190</v>
      </c>
      <c r="J180" s="253"/>
      <c r="K180" s="235" t="s">
        <v>30</v>
      </c>
      <c r="L180" s="235"/>
      <c r="M180" s="235"/>
      <c r="N180" s="235"/>
      <c r="O180" s="235"/>
      <c r="P180" s="235"/>
    </row>
    <row r="181" spans="1:16" ht="6.95" customHeight="1" thickTop="1">
      <c r="A181" s="193"/>
      <c r="B181" s="194"/>
      <c r="C181" s="1"/>
      <c r="D181" s="1"/>
      <c r="E181" s="67"/>
      <c r="F181" s="67"/>
      <c r="G181" s="71"/>
      <c r="H181" s="71"/>
      <c r="I181" s="71"/>
      <c r="J181" s="71"/>
      <c r="K181" s="1"/>
      <c r="L181" s="67"/>
      <c r="M181" s="62"/>
      <c r="N181" s="67"/>
      <c r="O181" s="72"/>
      <c r="P181" s="67"/>
    </row>
    <row r="182" spans="1:16" ht="15" customHeight="1">
      <c r="A182" s="31" t="str">
        <f>IF(ISBLANK(Inventory!A182),"",Inventory!A182)</f>
        <v>Suregas B</v>
      </c>
      <c r="B182" s="31"/>
      <c r="C182" s="187">
        <v>1</v>
      </c>
      <c r="D182" s="192"/>
      <c r="E182" s="187">
        <v>1</v>
      </c>
      <c r="F182" s="173"/>
      <c r="G182" s="187">
        <v>0.2</v>
      </c>
      <c r="H182" s="37">
        <f>IF(ISBLANK(Inventory!A182),0,C182+SUM('Week 2'!E182:G182)-SUM(E182:G182))</f>
        <v>1.0000000000000002</v>
      </c>
      <c r="I182" s="35" t="str">
        <f>IF(OR(ISBLANK(J182),J182=0),"",Settings!$B$14)</f>
        <v>$</v>
      </c>
      <c r="J182" s="30">
        <f>IF(ISBLANK(C182),0,C182*Inventory!F182)</f>
        <v>15.75</v>
      </c>
      <c r="K182" s="35" t="str">
        <f>IF(OR(ISBLANK(L182),L182=0),"",Settings!$B$14)</f>
        <v>$</v>
      </c>
      <c r="L182" s="30">
        <f>IF(ISBLANK(Inventory!A182),0,SUM(E182:G182)*Inventory!F182)</f>
        <v>18.899999999999999</v>
      </c>
      <c r="M182" s="35"/>
      <c r="N182" s="30"/>
      <c r="O182" s="35"/>
      <c r="P182" s="30"/>
    </row>
    <row r="183" spans="1:16" ht="15" customHeight="1">
      <c r="A183" s="31" t="str">
        <f>IF(ISBLANK(Inventory!A183),"",Inventory!A183)</f>
        <v>Suremix 30/50</v>
      </c>
      <c r="B183" s="31"/>
      <c r="C183" s="187">
        <v>1</v>
      </c>
      <c r="D183" s="192"/>
      <c r="E183" s="187">
        <v>1</v>
      </c>
      <c r="F183" s="173"/>
      <c r="G183" s="187">
        <v>0.1</v>
      </c>
      <c r="H183" s="37">
        <f>IF(ISBLANK(Inventory!A183),0,C183+SUM('Week 2'!E183:G183)-SUM(E183:G183))</f>
        <v>1</v>
      </c>
      <c r="I183" s="35" t="str">
        <f>IF(OR(ISBLANK(J183),J183=0),"",Settings!$B$14)</f>
        <v>$</v>
      </c>
      <c r="J183" s="30">
        <f>IF(ISBLANK(C183),0,C183*Inventory!F183)</f>
        <v>28.3</v>
      </c>
      <c r="K183" s="35" t="str">
        <f>IF(OR(ISBLANK(L183),L183=0),"",Settings!$B$14)</f>
        <v>$</v>
      </c>
      <c r="L183" s="30">
        <f>IF(ISBLANK(Inventory!A183),0,SUM(E183:G183)*Inventory!F183)</f>
        <v>31.130000000000003</v>
      </c>
      <c r="M183" s="35"/>
      <c r="N183" s="30"/>
      <c r="O183" s="35"/>
      <c r="P183" s="30"/>
    </row>
    <row r="184" spans="1:16" ht="15" customHeight="1">
      <c r="A184" s="31" t="str">
        <f>IF(ISBLANK(Inventory!A184),"",Inventory!A184)</f>
        <v/>
      </c>
      <c r="B184" s="31"/>
      <c r="C184" s="187"/>
      <c r="D184" s="192"/>
      <c r="E184" s="187"/>
      <c r="F184" s="173"/>
      <c r="G184" s="187"/>
      <c r="H184" s="37">
        <f>IF(ISBLANK(Inventory!A184),0,C184+SUM('Week 2'!E184:G184)-SUM(E184:G184))</f>
        <v>0</v>
      </c>
      <c r="I184" s="35" t="str">
        <f>IF(OR(ISBLANK(J184),J184=0),"",Settings!$B$14)</f>
        <v/>
      </c>
      <c r="J184" s="30">
        <f>IF(ISBLANK(C184),0,C184*Inventory!F184)</f>
        <v>0</v>
      </c>
      <c r="K184" s="35" t="str">
        <f>IF(OR(ISBLANK(L184),L184=0),"",Settings!$B$14)</f>
        <v/>
      </c>
      <c r="L184" s="30">
        <f>IF(ISBLANK(Inventory!A184),0,SUM(E184:G184)*Inventory!F184)</f>
        <v>0</v>
      </c>
      <c r="M184" s="35"/>
      <c r="N184" s="30"/>
      <c r="O184" s="35"/>
      <c r="P184" s="30"/>
    </row>
    <row r="185" spans="1:16" ht="15" customHeight="1">
      <c r="A185" s="31" t="str">
        <f>IF(ISBLANK(Inventory!A185),"",Inventory!A185)</f>
        <v/>
      </c>
      <c r="B185" s="31"/>
      <c r="C185" s="187"/>
      <c r="D185" s="192"/>
      <c r="E185" s="187"/>
      <c r="F185" s="173"/>
      <c r="G185" s="187"/>
      <c r="H185" s="37">
        <f>IF(ISBLANK(Inventory!A185),0,C185+SUM('Week 2'!E185:G185)-SUM(E185:G185))</f>
        <v>0</v>
      </c>
      <c r="I185" s="35" t="str">
        <f>IF(OR(ISBLANK(J185),J185=0),"",Settings!$B$14)</f>
        <v/>
      </c>
      <c r="J185" s="30">
        <f>IF(ISBLANK(C185),0,C185*Inventory!F185)</f>
        <v>0</v>
      </c>
      <c r="K185" s="35" t="str">
        <f>IF(OR(ISBLANK(L185),L185=0),"",Settings!$B$14)</f>
        <v/>
      </c>
      <c r="L185" s="30">
        <f>IF(ISBLANK(Inventory!A185),0,SUM(E185:G185)*Inventory!F185)</f>
        <v>0</v>
      </c>
      <c r="M185" s="35"/>
      <c r="N185" s="30"/>
      <c r="O185" s="35"/>
      <c r="P185" s="30"/>
    </row>
    <row r="186" spans="1:16" ht="6.95" customHeight="1">
      <c r="A186" s="24"/>
      <c r="B186" s="24"/>
      <c r="C186" s="1"/>
      <c r="D186" s="1"/>
      <c r="E186" s="1"/>
      <c r="F186" s="1"/>
      <c r="G186" s="1"/>
      <c r="H186" s="1"/>
      <c r="I186" s="1"/>
      <c r="J186" s="1"/>
      <c r="K186" s="1"/>
      <c r="L186" s="25"/>
      <c r="M186" s="62"/>
      <c r="N186" s="25"/>
      <c r="O186" s="25"/>
      <c r="P186" s="25"/>
    </row>
    <row r="187" spans="1:16" s="45" customFormat="1" ht="18" customHeight="1" thickBot="1">
      <c r="A187" s="78" t="str">
        <f>Inventory!A187</f>
        <v xml:space="preserve">REUSABLE containers and bottles </v>
      </c>
      <c r="B187" s="78"/>
      <c r="C187" s="22" t="s">
        <v>191</v>
      </c>
      <c r="D187" s="22"/>
      <c r="E187" s="22" t="s">
        <v>101</v>
      </c>
      <c r="F187" s="22" t="s">
        <v>102</v>
      </c>
      <c r="G187" s="23"/>
      <c r="H187" s="79" t="s">
        <v>119</v>
      </c>
      <c r="I187" s="253" t="s">
        <v>198</v>
      </c>
      <c r="J187" s="253"/>
      <c r="K187" s="235" t="s">
        <v>199</v>
      </c>
      <c r="L187" s="235"/>
      <c r="M187" s="235"/>
      <c r="N187" s="235"/>
      <c r="O187" s="235"/>
      <c r="P187" s="235"/>
    </row>
    <row r="188" spans="1:16" ht="6.95" customHeight="1" thickTop="1">
      <c r="A188" s="193"/>
      <c r="B188" s="194"/>
      <c r="C188" s="1"/>
      <c r="D188" s="1"/>
      <c r="E188" s="67"/>
      <c r="F188" s="67"/>
      <c r="G188" s="71"/>
      <c r="H188" s="71"/>
      <c r="I188" s="71"/>
      <c r="J188" s="71"/>
      <c r="K188" s="1"/>
      <c r="L188" s="67"/>
      <c r="M188" s="62"/>
      <c r="N188" s="67"/>
      <c r="O188" s="72"/>
      <c r="P188" s="67"/>
    </row>
    <row r="189" spans="1:16" ht="15" customHeight="1">
      <c r="A189" s="31" t="str">
        <f>IF(ISBLANK(Inventory!A189),"",Inventory!A189)</f>
        <v>Cases</v>
      </c>
      <c r="B189" s="31"/>
      <c r="C189" s="187">
        <v>3</v>
      </c>
      <c r="D189" s="192"/>
      <c r="E189" s="187">
        <v>3</v>
      </c>
      <c r="F189" s="187"/>
      <c r="G189" s="173"/>
      <c r="H189" s="37">
        <f>IF(ISBLANK(Inventory!A189),0,C189+SUM('Week 2'!E189:G189)-SUM(E189:G189))</f>
        <v>3</v>
      </c>
      <c r="I189" s="35" t="str">
        <f>IF(OR(ISBLANK(J189),J189=0),"",Settings!$B$14)</f>
        <v>$</v>
      </c>
      <c r="J189" s="30">
        <f>IF(ISBLANK(C189),0,C189*Inventory!F189)</f>
        <v>3</v>
      </c>
      <c r="K189" s="35" t="str">
        <f>IF(OR(ISBLANK(L189),L189=0),"",Settings!$B$14)</f>
        <v>$</v>
      </c>
      <c r="L189" s="30">
        <f>IF(ISBLANK(Inventory!A189),0,SUM(E189:G189)*Inventory!F189)</f>
        <v>3</v>
      </c>
      <c r="M189" s="35"/>
      <c r="N189" s="30"/>
      <c r="O189" s="35"/>
      <c r="P189" s="30"/>
    </row>
    <row r="190" spans="1:16" ht="15" customHeight="1">
      <c r="A190" s="31" t="str">
        <f>IF(ISBLANK(Inventory!A190),"",Inventory!A190)</f>
        <v>Bottles - Small</v>
      </c>
      <c r="B190" s="31"/>
      <c r="C190" s="187">
        <v>500</v>
      </c>
      <c r="D190" s="192"/>
      <c r="E190" s="187">
        <v>100</v>
      </c>
      <c r="F190" s="187"/>
      <c r="G190" s="173"/>
      <c r="H190" s="37">
        <f>IF(ISBLANK(Inventory!A190),0,C190+SUM('Week 2'!E190:G190)-SUM(E190:G190))</f>
        <v>500</v>
      </c>
      <c r="I190" s="35" t="str">
        <f>IF(OR(ISBLANK(J190),J190=0),"",Settings!$B$14)</f>
        <v>$</v>
      </c>
      <c r="J190" s="30">
        <f>IF(ISBLANK(C190),0,C190*Inventory!F190)</f>
        <v>21</v>
      </c>
      <c r="K190" s="35" t="str">
        <f>IF(OR(ISBLANK(L190),L190=0),"",Settings!$B$14)</f>
        <v>$</v>
      </c>
      <c r="L190" s="30">
        <f>IF(ISBLANK(Inventory!A190),0,SUM(E190:G190)*Inventory!F190)</f>
        <v>4.2</v>
      </c>
      <c r="M190" s="35"/>
      <c r="N190" s="30"/>
      <c r="O190" s="35"/>
      <c r="P190" s="30"/>
    </row>
    <row r="191" spans="1:16" ht="15" customHeight="1">
      <c r="A191" s="31" t="str">
        <f>IF(ISBLANK(Inventory!A191),"",Inventory!A191)</f>
        <v>Suregas B</v>
      </c>
      <c r="B191" s="31"/>
      <c r="C191" s="187">
        <v>1</v>
      </c>
      <c r="D191" s="192"/>
      <c r="E191" s="187">
        <v>1</v>
      </c>
      <c r="F191" s="187"/>
      <c r="G191" s="173"/>
      <c r="H191" s="37">
        <f>IF(ISBLANK(Inventory!A191),0,C191+SUM('Week 2'!E191:G191)-SUM(E191:G191))</f>
        <v>1</v>
      </c>
      <c r="I191" s="35" t="str">
        <f>IF(OR(ISBLANK(J191),J191=0),"",Settings!$B$14)</f>
        <v>$</v>
      </c>
      <c r="J191" s="30">
        <f>IF(ISBLANK(C191),0,C191*Inventory!F191)</f>
        <v>4.3</v>
      </c>
      <c r="K191" s="35" t="str">
        <f>IF(OR(ISBLANK(L191),L191=0),"",Settings!$B$14)</f>
        <v>$</v>
      </c>
      <c r="L191" s="30">
        <f>IF(ISBLANK(Inventory!A191),0,SUM(E191:G191)*Inventory!F191)</f>
        <v>4.3</v>
      </c>
      <c r="M191" s="35"/>
      <c r="N191" s="30"/>
      <c r="O191" s="35"/>
      <c r="P191" s="30"/>
    </row>
    <row r="192" spans="1:16" ht="15" customHeight="1">
      <c r="A192" s="31" t="str">
        <f>IF(ISBLANK(Inventory!A192),"",Inventory!A192)</f>
        <v>Suremix 30/50</v>
      </c>
      <c r="B192" s="31"/>
      <c r="C192" s="187">
        <v>1</v>
      </c>
      <c r="D192" s="192"/>
      <c r="E192" s="187">
        <v>1</v>
      </c>
      <c r="F192" s="187"/>
      <c r="G192" s="173"/>
      <c r="H192" s="37">
        <f>IF(ISBLANK(Inventory!A192),0,C192+SUM('Week 2'!E192:G192)-SUM(E192:G192))</f>
        <v>1</v>
      </c>
      <c r="I192" s="35" t="str">
        <f>IF(OR(ISBLANK(J192),J192=0),"",Settings!$B$14)</f>
        <v>$</v>
      </c>
      <c r="J192" s="30">
        <f>IF(ISBLANK(C192),0,C192*Inventory!F192)</f>
        <v>5.65</v>
      </c>
      <c r="K192" s="35" t="str">
        <f>IF(OR(ISBLANK(L192),L192=0),"",Settings!$B$14)</f>
        <v>$</v>
      </c>
      <c r="L192" s="30">
        <f>IF(ISBLANK(Inventory!A192),0,SUM(E192:G192)*Inventory!F192)</f>
        <v>5.65</v>
      </c>
      <c r="M192" s="35"/>
      <c r="N192" s="30"/>
      <c r="O192" s="35"/>
      <c r="P192" s="30"/>
    </row>
    <row r="193" spans="1:16" ht="15" customHeight="1">
      <c r="A193" s="31" t="str">
        <f>IF(ISBLANK(Inventory!A193),"",Inventory!A193)</f>
        <v/>
      </c>
      <c r="B193" s="31"/>
      <c r="C193" s="187"/>
      <c r="D193" s="192"/>
      <c r="E193" s="187"/>
      <c r="F193" s="187"/>
      <c r="G193" s="173"/>
      <c r="H193" s="37">
        <f>IF(ISBLANK(Inventory!A193),0,C193+SUM('Week 2'!E193:G193)-SUM(E193:G193))</f>
        <v>0</v>
      </c>
      <c r="I193" s="35" t="str">
        <f>IF(OR(ISBLANK(J193),J193=0),"",Settings!$B$14)</f>
        <v/>
      </c>
      <c r="J193" s="30">
        <f>IF(ISBLANK(C193),0,C193*Inventory!F193)</f>
        <v>0</v>
      </c>
      <c r="K193" s="35" t="str">
        <f>IF(OR(ISBLANK(L193),L193=0),"",Settings!$B$14)</f>
        <v/>
      </c>
      <c r="L193" s="30">
        <f>IF(ISBLANK(Inventory!A193),0,SUM(E193:G193)*Inventory!F193)</f>
        <v>0</v>
      </c>
      <c r="M193" s="35"/>
      <c r="N193" s="30"/>
      <c r="O193" s="35"/>
      <c r="P193" s="30"/>
    </row>
    <row r="194" spans="1:16" ht="15" customHeight="1">
      <c r="A194" s="31" t="str">
        <f>IF(ISBLANK(Inventory!A194),"",Inventory!A194)</f>
        <v/>
      </c>
      <c r="B194" s="31"/>
      <c r="C194" s="187"/>
      <c r="D194" s="192"/>
      <c r="E194" s="187"/>
      <c r="F194" s="187"/>
      <c r="G194" s="173"/>
      <c r="H194" s="37">
        <f>IF(ISBLANK(Inventory!A194),0,C194+SUM('Week 2'!E194:G194)-SUM(E194:G194))</f>
        <v>0</v>
      </c>
      <c r="I194" s="35" t="str">
        <f>IF(OR(ISBLANK(J194),J194=0),"",Settings!$B$14)</f>
        <v/>
      </c>
      <c r="J194" s="30">
        <f>IF(ISBLANK(C194),0,C194*Inventory!F194)</f>
        <v>0</v>
      </c>
      <c r="K194" s="35" t="str">
        <f>IF(OR(ISBLANK(L194),L194=0),"",Settings!$B$14)</f>
        <v/>
      </c>
      <c r="L194" s="30">
        <f>IF(ISBLANK(Inventory!A194),0,SUM(E194:G194)*Inventory!F194)</f>
        <v>0</v>
      </c>
      <c r="M194" s="35"/>
      <c r="N194" s="30"/>
      <c r="O194" s="35"/>
      <c r="P194" s="30"/>
    </row>
    <row r="195" spans="1:16" ht="15" customHeight="1">
      <c r="A195" s="31" t="str">
        <f>IF(ISBLANK(Inventory!A195),"",Inventory!A195)</f>
        <v/>
      </c>
      <c r="B195" s="31"/>
      <c r="C195" s="187"/>
      <c r="D195" s="192"/>
      <c r="E195" s="187"/>
      <c r="F195" s="187"/>
      <c r="G195" s="173"/>
      <c r="H195" s="37">
        <f>IF(ISBLANK(Inventory!A195),0,C195+SUM('Week 2'!E195:G195)-SUM(E195:G195))</f>
        <v>0</v>
      </c>
      <c r="I195" s="35" t="str">
        <f>IF(OR(ISBLANK(J195),J195=0),"",Settings!$B$14)</f>
        <v/>
      </c>
      <c r="J195" s="30">
        <f>IF(ISBLANK(C195),0,C195*Inventory!F195)</f>
        <v>0</v>
      </c>
      <c r="K195" s="35" t="str">
        <f>IF(OR(ISBLANK(L195),L195=0),"",Settings!$B$14)</f>
        <v/>
      </c>
      <c r="L195" s="30">
        <f>IF(ISBLANK(Inventory!A195),0,SUM(E195:G195)*Inventory!F195)</f>
        <v>0</v>
      </c>
      <c r="M195" s="35"/>
      <c r="N195" s="30"/>
      <c r="O195" s="35"/>
      <c r="P195" s="30"/>
    </row>
    <row r="196" spans="1:16" ht="15" customHeight="1">
      <c r="A196" s="31" t="str">
        <f>IF(ISBLANK(Inventory!A196),"",Inventory!A196)</f>
        <v/>
      </c>
      <c r="B196" s="31"/>
      <c r="C196" s="187"/>
      <c r="D196" s="192"/>
      <c r="E196" s="187"/>
      <c r="F196" s="187"/>
      <c r="G196" s="173"/>
      <c r="H196" s="37">
        <f>IF(ISBLANK(Inventory!A196),0,C196+SUM('Week 2'!E196:G196)-SUM(E196:G196))</f>
        <v>0</v>
      </c>
      <c r="I196" s="35" t="str">
        <f>IF(OR(ISBLANK(J196),J196=0),"",Settings!$B$14)</f>
        <v/>
      </c>
      <c r="J196" s="30">
        <f>IF(ISBLANK(C196),0,C196*Inventory!F196)</f>
        <v>0</v>
      </c>
      <c r="K196" s="35" t="str">
        <f>IF(OR(ISBLANK(L196),L196=0),"",Settings!$B$14)</f>
        <v/>
      </c>
      <c r="L196" s="30">
        <f>IF(ISBLANK(Inventory!A196),0,SUM(E196:G196)*Inventory!F196)</f>
        <v>0</v>
      </c>
      <c r="M196" s="35"/>
      <c r="N196" s="30"/>
      <c r="O196" s="35"/>
      <c r="P196" s="30"/>
    </row>
    <row r="197" spans="1:16" ht="6.95" customHeight="1" thickBot="1">
      <c r="A197" s="24"/>
      <c r="B197" s="24"/>
      <c r="C197" s="1"/>
      <c r="D197" s="1"/>
      <c r="E197" s="1"/>
      <c r="F197" s="1"/>
      <c r="G197" s="1"/>
      <c r="H197" s="1"/>
      <c r="I197" s="1"/>
      <c r="J197" s="1"/>
      <c r="K197" s="1"/>
      <c r="L197" s="25"/>
      <c r="M197" s="62"/>
      <c r="N197" s="25"/>
      <c r="O197" s="25"/>
      <c r="P197" s="25"/>
    </row>
    <row r="198" spans="1:16" s="45" customFormat="1" ht="18" customHeight="1" thickTop="1">
      <c r="A198" s="174"/>
      <c r="B198" s="174"/>
      <c r="C198" s="167"/>
      <c r="D198" s="167"/>
      <c r="E198" s="167"/>
      <c r="F198" s="167"/>
      <c r="G198" s="196"/>
      <c r="H198" s="197"/>
      <c r="I198" s="254"/>
      <c r="J198" s="254"/>
      <c r="K198" s="255"/>
      <c r="L198" s="255"/>
      <c r="M198" s="255"/>
      <c r="N198" s="255"/>
      <c r="O198" s="255"/>
      <c r="P198" s="255"/>
    </row>
    <row r="199" spans="1:16" ht="18" customHeight="1">
      <c r="A199" s="24"/>
      <c r="B199" s="24"/>
      <c r="C199" s="1"/>
      <c r="D199" s="1"/>
      <c r="E199" s="1"/>
      <c r="F199" s="1"/>
      <c r="G199" s="1"/>
      <c r="H199" s="1"/>
      <c r="I199" s="1"/>
      <c r="J199" s="1"/>
      <c r="K199" s="1"/>
      <c r="L199" s="25"/>
      <c r="M199" s="62"/>
      <c r="N199" s="25"/>
      <c r="O199" s="25"/>
      <c r="P199" s="25"/>
    </row>
    <row r="200" spans="1:16" ht="18" customHeight="1" thickBot="1">
      <c r="A200" s="78" t="str">
        <f>IF(ISBLANK('Stock Opening'!A200),"",'Stock Opening'!A200)</f>
        <v>TOTAL VALUE of STOCK</v>
      </c>
      <c r="B200" s="38"/>
      <c r="C200" s="39"/>
      <c r="D200" s="39"/>
      <c r="E200" s="39"/>
      <c r="F200" s="39"/>
      <c r="G200" s="39"/>
      <c r="H200" s="39"/>
      <c r="I200" s="235" t="s">
        <v>190</v>
      </c>
      <c r="J200" s="235"/>
      <c r="K200" s="235" t="s">
        <v>30</v>
      </c>
      <c r="L200" s="235"/>
      <c r="M200" s="235" t="s">
        <v>31</v>
      </c>
      <c r="N200" s="235"/>
      <c r="O200" s="235" t="s">
        <v>189</v>
      </c>
      <c r="P200" s="235"/>
    </row>
    <row r="201" spans="1:16" ht="6.95" customHeight="1" thickTop="1">
      <c r="A201" s="24"/>
      <c r="B201" s="24"/>
      <c r="C201" s="1"/>
      <c r="D201" s="1"/>
      <c r="E201" s="1"/>
      <c r="F201" s="1"/>
      <c r="G201" s="1"/>
      <c r="H201" s="1"/>
      <c r="I201" s="1"/>
      <c r="J201" s="1"/>
      <c r="K201" s="1"/>
      <c r="L201" s="25"/>
      <c r="M201" s="62"/>
      <c r="N201" s="25"/>
      <c r="O201" s="25"/>
      <c r="P201" s="25"/>
    </row>
    <row r="202" spans="1:16" s="45" customFormat="1" ht="15" customHeight="1">
      <c r="A202" s="50" t="str">
        <f>IF(ISBLANK('Stock Opening'!A202),"",'Stock Opening'!A202)</f>
        <v>SPIRITS</v>
      </c>
      <c r="C202" s="46"/>
      <c r="D202" s="46"/>
      <c r="E202" s="46"/>
      <c r="F202" s="46"/>
      <c r="G202" s="46"/>
      <c r="H202" s="46"/>
      <c r="I202" s="46" t="str">
        <f>IF(OR(ISBLANK(J202),J202=0),"",Settings!$B$14)</f>
        <v>$</v>
      </c>
      <c r="J202" s="32">
        <f>SUM(J12:J55)</f>
        <v>21.35</v>
      </c>
      <c r="K202" s="46" t="str">
        <f>IF(OR(ISBLANK(L202),L202=0),"",Settings!$B$14)</f>
        <v>$</v>
      </c>
      <c r="L202" s="32">
        <f>SUM(L12:L55)</f>
        <v>21.35</v>
      </c>
      <c r="M202" s="46" t="str">
        <f>IF(OR(ISBLANK(N202),N202=0),"",Settings!$B$14)</f>
        <v>$</v>
      </c>
      <c r="N202" s="32">
        <f>SUM(N12:N55)</f>
        <v>80.92</v>
      </c>
      <c r="O202" s="46" t="str">
        <f>IF(OR(ISBLANK(P202),P202=0),"",Settings!$B$14)</f>
        <v/>
      </c>
      <c r="P202" s="32">
        <f>SUM(P12:P55)</f>
        <v>0</v>
      </c>
    </row>
    <row r="203" spans="1:16" s="45" customFormat="1" ht="15" customHeight="1">
      <c r="A203" s="50" t="str">
        <f>IF(ISBLANK('Stock Opening'!A203),"",'Stock Opening'!A203)</f>
        <v>FORTIFIED WINES</v>
      </c>
      <c r="C203" s="46"/>
      <c r="D203" s="46"/>
      <c r="E203" s="46"/>
      <c r="F203" s="46"/>
      <c r="G203" s="46"/>
      <c r="H203" s="46"/>
      <c r="I203" s="46" t="str">
        <f>IF(OR(ISBLANK(J203),J203=0),"",Settings!$B$14)</f>
        <v/>
      </c>
      <c r="J203" s="32">
        <f>SUM(J59:J72)</f>
        <v>0</v>
      </c>
      <c r="K203" s="46" t="str">
        <f>IF(OR(ISBLANK(L203),L203=0),"",Settings!$B$14)</f>
        <v>$</v>
      </c>
      <c r="L203" s="32">
        <f>SUM(L59:L72)</f>
        <v>20.16</v>
      </c>
      <c r="M203" s="46" t="str">
        <f>IF(OR(ISBLANK(N203),N203=0),"",Settings!$B$14)</f>
        <v>$</v>
      </c>
      <c r="N203" s="32">
        <f>SUM(N59:N72)</f>
        <v>42.524999999999999</v>
      </c>
      <c r="O203" s="46" t="str">
        <f>IF(OR(ISBLANK(P203),P203=0),"",Settings!$B$14)</f>
        <v>$</v>
      </c>
      <c r="P203" s="32">
        <f>SUM(P59:P72)</f>
        <v>28.349999999999998</v>
      </c>
    </row>
    <row r="204" spans="1:16" s="45" customFormat="1" ht="15" customHeight="1">
      <c r="A204" s="50" t="str">
        <f>IF(ISBLANK('Stock Opening'!A204),"",'Stock Opening'!A204)</f>
        <v>TABLE WINES</v>
      </c>
      <c r="C204" s="46"/>
      <c r="D204" s="46"/>
      <c r="E204" s="46"/>
      <c r="F204" s="46"/>
      <c r="G204" s="46"/>
      <c r="H204" s="46"/>
      <c r="I204" s="46" t="str">
        <f>IF(OR(ISBLANK(J204),J204=0),"",Settings!$B$14)</f>
        <v/>
      </c>
      <c r="J204" s="32">
        <f>SUM(J76:J97)</f>
        <v>0</v>
      </c>
      <c r="K204" s="46" t="str">
        <f>IF(OR(ISBLANK(L204),L204=0),"",Settings!$B$14)</f>
        <v/>
      </c>
      <c r="L204" s="32">
        <f>SUM(L76:L97)</f>
        <v>0</v>
      </c>
      <c r="M204" s="46" t="str">
        <f>IF(OR(ISBLANK(N204),N204=0),"",Settings!$B$14)</f>
        <v/>
      </c>
      <c r="N204" s="32">
        <f>SUM(N76:N97)</f>
        <v>0</v>
      </c>
      <c r="O204" s="46" t="str">
        <f>IF(OR(ISBLANK(P204),P204=0),"",Settings!$B$14)</f>
        <v/>
      </c>
      <c r="P204" s="32">
        <f>SUM(P76:P97)</f>
        <v>0</v>
      </c>
    </row>
    <row r="205" spans="1:16" s="45" customFormat="1" ht="15" customHeight="1">
      <c r="A205" s="50" t="str">
        <f>IF(ISBLANK('Stock Opening'!A205),"",'Stock Opening'!A205)</f>
        <v>DRAUGHT BEER</v>
      </c>
      <c r="C205" s="46"/>
      <c r="D205" s="46"/>
      <c r="E205" s="46"/>
      <c r="F205" s="46"/>
      <c r="G205" s="46"/>
      <c r="H205" s="46"/>
      <c r="I205" s="46" t="str">
        <f>IF(OR(ISBLANK(J205),J205=0),"",Settings!$B$14)</f>
        <v>$</v>
      </c>
      <c r="J205" s="32">
        <f>SUM(J101:J106)</f>
        <v>148.63</v>
      </c>
      <c r="K205" s="46" t="str">
        <f>IF(OR(ISBLANK(L205),L205=0),"",Settings!$B$14)</f>
        <v>$</v>
      </c>
      <c r="L205" s="32">
        <f>SUM(L101:L106)</f>
        <v>201.64499999999998</v>
      </c>
      <c r="M205" s="46" t="str">
        <f>IF(OR(ISBLANK(N205),N205=0),"",Settings!$B$14)</f>
        <v>$</v>
      </c>
      <c r="N205" s="32">
        <f>SUM(N101:N106)</f>
        <v>964.48</v>
      </c>
      <c r="O205" s="46" t="str">
        <f>IF(OR(ISBLANK(P205),P205=0),"",Settings!$B$14)</f>
        <v>$</v>
      </c>
      <c r="P205" s="32">
        <f>SUM(P101:P106)</f>
        <v>705.28</v>
      </c>
    </row>
    <row r="206" spans="1:16" s="45" customFormat="1" ht="15" customHeight="1">
      <c r="A206" s="50" t="str">
        <f>IF(ISBLANK('Stock Opening'!A206),"",'Stock Opening'!A206)</f>
        <v>DRAUGHT LAGER</v>
      </c>
      <c r="C206" s="46"/>
      <c r="D206" s="46"/>
      <c r="E206" s="46"/>
      <c r="F206" s="46"/>
      <c r="G206" s="46"/>
      <c r="H206" s="46"/>
      <c r="I206" s="46" t="str">
        <f>IF(OR(ISBLANK(J206),J206=0),"",Settings!$B$14)</f>
        <v/>
      </c>
      <c r="J206" s="32">
        <f>SUM(J110:J115)</f>
        <v>0</v>
      </c>
      <c r="K206" s="46" t="str">
        <f>IF(OR(ISBLANK(L206),L206=0),"",Settings!$B$14)</f>
        <v>$</v>
      </c>
      <c r="L206" s="32">
        <f>SUM(L110:L115)</f>
        <v>63</v>
      </c>
      <c r="M206" s="46" t="str">
        <f>IF(OR(ISBLANK(N206),N206=0),"",Settings!$B$14)</f>
        <v>$</v>
      </c>
      <c r="N206" s="32">
        <f>SUM(N110:N115)</f>
        <v>260.71199999999999</v>
      </c>
      <c r="O206" s="46" t="str">
        <f>IF(OR(ISBLANK(P206),P206=0),"",Settings!$B$14)</f>
        <v/>
      </c>
      <c r="P206" s="32">
        <f>SUM(P110:P115)</f>
        <v>0</v>
      </c>
    </row>
    <row r="207" spans="1:16" s="45" customFormat="1" ht="15" customHeight="1">
      <c r="A207" s="50" t="str">
        <f>IF(ISBLANK('Stock Opening'!A207),"",'Stock Opening'!A207)</f>
        <v>BOTTLED BEER</v>
      </c>
      <c r="C207" s="46"/>
      <c r="D207" s="46"/>
      <c r="E207" s="46"/>
      <c r="F207" s="46"/>
      <c r="G207" s="46"/>
      <c r="H207" s="46"/>
      <c r="I207" s="46" t="str">
        <f>IF(OR(ISBLANK(J207),J207=0),"",Settings!$B$14)</f>
        <v/>
      </c>
      <c r="J207" s="32">
        <f>SUM(J119:J134)</f>
        <v>0</v>
      </c>
      <c r="K207" s="46" t="str">
        <f>IF(OR(ISBLANK(L207),L207=0),"",Settings!$B$14)</f>
        <v>$</v>
      </c>
      <c r="L207" s="32">
        <f>SUM(L119:L134)</f>
        <v>11.100000000000001</v>
      </c>
      <c r="M207" s="46" t="str">
        <f>IF(OR(ISBLANK(N207),N207=0),"",Settings!$B$14)</f>
        <v>$</v>
      </c>
      <c r="N207" s="32">
        <f>SUM(N119:N134)</f>
        <v>54.400000000000006</v>
      </c>
      <c r="O207" s="46" t="str">
        <f>IF(OR(ISBLANK(P207),P207=0),"",Settings!$B$14)</f>
        <v/>
      </c>
      <c r="P207" s="32">
        <f>SUM(P119:P134)</f>
        <v>0</v>
      </c>
    </row>
    <row r="208" spans="1:16" s="45" customFormat="1" ht="15" customHeight="1">
      <c r="A208" s="50" t="str">
        <f>IF(ISBLANK('Stock Opening'!A208),"",'Stock Opening'!A208)</f>
        <v>CIDER</v>
      </c>
      <c r="C208" s="46"/>
      <c r="D208" s="46"/>
      <c r="E208" s="46"/>
      <c r="F208" s="46"/>
      <c r="G208" s="46"/>
      <c r="H208" s="46"/>
      <c r="I208" s="46" t="str">
        <f>IF(OR(ISBLANK(J208),J208=0),"",Settings!$B$14)</f>
        <v/>
      </c>
      <c r="J208" s="32">
        <f>SUM(J138:J146)</f>
        <v>0</v>
      </c>
      <c r="K208" s="46" t="str">
        <f>IF(OR(ISBLANK(L208),L208=0),"",Settings!$B$14)</f>
        <v/>
      </c>
      <c r="L208" s="32">
        <f>SUM(L138:L146)</f>
        <v>0</v>
      </c>
      <c r="M208" s="46" t="str">
        <f>IF(OR(ISBLANK(N208),N208=0),"",Settings!$B$14)</f>
        <v/>
      </c>
      <c r="N208" s="32">
        <f>SUM(N138:N146)</f>
        <v>0</v>
      </c>
      <c r="O208" s="46" t="str">
        <f>IF(OR(ISBLANK(P208),P208=0),"",Settings!$B$14)</f>
        <v/>
      </c>
      <c r="P208" s="32">
        <f>SUM(P138:P146)</f>
        <v>0</v>
      </c>
    </row>
    <row r="209" spans="1:16" s="45" customFormat="1" ht="15" customHeight="1">
      <c r="A209" s="50" t="str">
        <f>IF(ISBLANK('Stock Opening'!A209),"",'Stock Opening'!A209)</f>
        <v>MINERALS/JUICES</v>
      </c>
      <c r="C209" s="46"/>
      <c r="D209" s="46"/>
      <c r="E209" s="46"/>
      <c r="F209" s="46"/>
      <c r="G209" s="46"/>
      <c r="H209" s="46"/>
      <c r="I209" s="46" t="str">
        <f>IF(OR(ISBLANK(J209),J209=0),"",Settings!$B$14)</f>
        <v/>
      </c>
      <c r="J209" s="32">
        <f>SUM(J150:J169)</f>
        <v>0</v>
      </c>
      <c r="K209" s="46" t="str">
        <f>IF(OR(ISBLANK(L209),L209=0),"",Settings!$B$14)</f>
        <v>$</v>
      </c>
      <c r="L209" s="32">
        <f>SUM(L150:L169)</f>
        <v>1.0912500000000001</v>
      </c>
      <c r="M209" s="46" t="str">
        <f>IF(OR(ISBLANK(N209),N209=0),"",Settings!$B$14)</f>
        <v>$</v>
      </c>
      <c r="N209" s="32">
        <f>SUM(N150:N169)</f>
        <v>5.67</v>
      </c>
      <c r="O209" s="46" t="str">
        <f>IF(OR(ISBLANK(P209),P209=0),"",Settings!$B$14)</f>
        <v/>
      </c>
      <c r="P209" s="32">
        <f>SUM(P150:P169)</f>
        <v>0</v>
      </c>
    </row>
    <row r="210" spans="1:16" s="45" customFormat="1" ht="15" customHeight="1">
      <c r="A210" s="50" t="str">
        <f>IF(ISBLANK('Stock Opening'!A210),"",'Stock Opening'!A210)</f>
        <v>POST-MIX DRINKS</v>
      </c>
      <c r="C210" s="46"/>
      <c r="D210" s="46"/>
      <c r="E210" s="46"/>
      <c r="F210" s="46"/>
      <c r="G210" s="46"/>
      <c r="H210" s="46"/>
      <c r="I210" s="46" t="str">
        <f>IF(OR(ISBLANK(J210),J210=0),"",Settings!$B$14)</f>
        <v>$</v>
      </c>
      <c r="J210" s="32">
        <f>SUM(J173:J178)</f>
        <v>57.510000000000005</v>
      </c>
      <c r="K210" s="46" t="str">
        <f>IF(OR(ISBLANK(L210),L210=0),"",Settings!$B$14)</f>
        <v/>
      </c>
      <c r="L210" s="32">
        <f>SUM(L173:L178)</f>
        <v>0</v>
      </c>
      <c r="M210" s="46" t="str">
        <f>IF(OR(ISBLANK(N210),N210=0),"",Settings!$B$14)</f>
        <v/>
      </c>
      <c r="N210" s="32">
        <f>SUM(N173:N178)</f>
        <v>0</v>
      </c>
      <c r="O210" s="46" t="str">
        <f>IF(OR(ISBLANK(P210),P210=0),"",Settings!$B$14)</f>
        <v>$</v>
      </c>
      <c r="P210" s="32">
        <f>SUM(P173:P178)</f>
        <v>1980</v>
      </c>
    </row>
    <row r="211" spans="1:16" s="45" customFormat="1" ht="15" customHeight="1">
      <c r="A211" s="50" t="str">
        <f>IF(ISBLANK('Stock Opening'!A211),"",'Stock Opening'!A211)</f>
        <v>COMPRESSED GAS</v>
      </c>
      <c r="C211" s="46"/>
      <c r="D211" s="46"/>
      <c r="E211" s="46"/>
      <c r="F211" s="46"/>
      <c r="G211" s="46"/>
      <c r="H211" s="46"/>
      <c r="I211" s="46" t="str">
        <f>IF(OR(ISBLANK(J211),J211=0),"",Settings!$B$14)</f>
        <v>$</v>
      </c>
      <c r="J211" s="32">
        <f>SUM(J182:J185)</f>
        <v>44.05</v>
      </c>
      <c r="K211" s="46" t="str">
        <f>IF(OR(ISBLANK(L211),L211=0),"",Settings!$B$14)</f>
        <v>$</v>
      </c>
      <c r="L211" s="32">
        <f>SUM(L182:L185)</f>
        <v>50.03</v>
      </c>
      <c r="M211" s="198"/>
      <c r="N211" s="51"/>
      <c r="O211" s="198"/>
      <c r="P211" s="51"/>
    </row>
    <row r="212" spans="1:16" s="45" customFormat="1" ht="15" customHeight="1">
      <c r="A212" s="50" t="str">
        <f>IF(ISBLANK('Stock Opening'!A212),"",'Stock Opening'!A212)</f>
        <v xml:space="preserve">REUSABLE containers and bottles </v>
      </c>
      <c r="C212" s="46"/>
      <c r="D212" s="46"/>
      <c r="E212" s="46"/>
      <c r="F212" s="46"/>
      <c r="G212" s="46"/>
      <c r="H212" s="46"/>
      <c r="I212" s="46" t="str">
        <f>IF(OR(ISBLANK(J212),J212=0),"",Settings!$B$14)</f>
        <v>$</v>
      </c>
      <c r="J212" s="32">
        <f>-SUM(J189:J196)</f>
        <v>-33.950000000000003</v>
      </c>
      <c r="K212" s="46" t="str">
        <f>IF(OR(ISBLANK(L212),L212=0),"",Settings!$B$14)</f>
        <v>$</v>
      </c>
      <c r="L212" s="32">
        <f>SUM(L189:L196)</f>
        <v>17.149999999999999</v>
      </c>
      <c r="M212" s="198"/>
      <c r="N212" s="51"/>
      <c r="O212" s="198"/>
      <c r="P212" s="51"/>
    </row>
    <row r="213" spans="1:16" ht="6.95" customHeight="1">
      <c r="C213" s="53"/>
      <c r="D213" s="53"/>
      <c r="E213" s="53"/>
      <c r="F213" s="53"/>
      <c r="G213" s="53"/>
      <c r="H213" s="53"/>
      <c r="I213" s="53"/>
      <c r="J213" s="53"/>
      <c r="K213" s="53"/>
      <c r="L213" s="26"/>
      <c r="M213" s="62"/>
      <c r="N213" s="26"/>
      <c r="O213" s="26"/>
      <c r="P213" s="26"/>
    </row>
    <row r="214" spans="1:16" ht="15" customHeight="1">
      <c r="A214" s="54" t="str">
        <f>IF(ISBLANK('Stock Opening'!A214),"",'Stock Opening'!A214)</f>
        <v>TOTAL VALUE of STOCK</v>
      </c>
      <c r="B214" s="55"/>
      <c r="C214" s="21"/>
      <c r="D214" s="21"/>
      <c r="E214" s="21"/>
      <c r="F214" s="21"/>
      <c r="G214" s="21"/>
      <c r="H214" s="21"/>
      <c r="I214" s="21" t="str">
        <f>IF(OR(ISBLANK(J214),J214=0),"",Settings!$B$14)</f>
        <v>$</v>
      </c>
      <c r="J214" s="56">
        <f>SUM(J202:J212)</f>
        <v>237.59000000000003</v>
      </c>
      <c r="K214" s="21" t="str">
        <f>IF(OR(ISBLANK(L214),L214=0),"",Settings!$B$14)</f>
        <v>$</v>
      </c>
      <c r="L214" s="56">
        <f>SUM(L202:L211)</f>
        <v>368.37625000000003</v>
      </c>
      <c r="M214" s="21" t="str">
        <f>IF(OR(ISBLANK(N214),N214=0),"",Settings!$B$14)</f>
        <v>$</v>
      </c>
      <c r="N214" s="56">
        <f>SUM(N202:N212)</f>
        <v>1408.7070000000001</v>
      </c>
      <c r="O214" s="21" t="str">
        <f>IF(OR(ISBLANK(P214),P214=0),"",Settings!$B$14)</f>
        <v>$</v>
      </c>
      <c r="P214" s="56">
        <f>SUM(P202:P212)</f>
        <v>2713.63</v>
      </c>
    </row>
    <row r="215" spans="1:16" ht="6.95" customHeight="1" thickBot="1">
      <c r="A215" s="24"/>
      <c r="B215" s="24"/>
      <c r="C215" s="1"/>
      <c r="D215" s="1"/>
      <c r="E215" s="1"/>
      <c r="F215" s="1"/>
      <c r="G215" s="1"/>
      <c r="H215" s="1"/>
      <c r="I215" s="1"/>
      <c r="J215" s="1"/>
      <c r="K215" s="1"/>
      <c r="L215" s="25"/>
      <c r="M215" s="62"/>
      <c r="N215" s="25"/>
      <c r="O215" s="25"/>
      <c r="P215" s="25"/>
    </row>
    <row r="216" spans="1:16" ht="18" customHeight="1" thickTop="1">
      <c r="A216" s="40"/>
      <c r="B216" s="40"/>
      <c r="C216" s="41"/>
      <c r="D216" s="41"/>
      <c r="E216" s="41"/>
      <c r="F216" s="41"/>
      <c r="G216" s="41"/>
      <c r="H216" s="41"/>
      <c r="I216" s="41"/>
      <c r="J216" s="41"/>
      <c r="K216" s="41"/>
      <c r="L216" s="42"/>
      <c r="M216" s="186"/>
      <c r="N216" s="42"/>
      <c r="O216" s="42"/>
      <c r="P216" s="42"/>
    </row>
    <row r="217" spans="1:16" ht="18" customHeight="1">
      <c r="A217" s="24"/>
      <c r="B217" s="24"/>
      <c r="C217" s="1"/>
      <c r="D217" s="1"/>
      <c r="E217" s="1"/>
      <c r="F217" s="1"/>
      <c r="G217" s="1"/>
      <c r="H217" s="1"/>
      <c r="I217" s="1"/>
      <c r="J217" s="1"/>
      <c r="K217" s="1"/>
      <c r="L217" s="25"/>
      <c r="M217" s="62"/>
      <c r="N217" s="25"/>
      <c r="O217" s="25"/>
      <c r="P217" s="25"/>
    </row>
    <row r="218" spans="1:16" ht="18" customHeight="1" thickBot="1">
      <c r="A218" s="38"/>
      <c r="B218" s="38"/>
      <c r="C218" s="43"/>
      <c r="D218" s="43"/>
      <c r="E218" s="43"/>
      <c r="F218" s="43"/>
      <c r="G218" s="43"/>
      <c r="H218" s="43"/>
      <c r="I218" s="43"/>
      <c r="J218" s="43"/>
      <c r="K218" s="235" t="s">
        <v>30</v>
      </c>
      <c r="L218" s="235"/>
      <c r="M218" s="235" t="s">
        <v>31</v>
      </c>
      <c r="N218" s="235"/>
      <c r="O218" s="44"/>
      <c r="P218" s="44"/>
    </row>
    <row r="219" spans="1:16" ht="6.95" customHeight="1" thickTop="1">
      <c r="A219" s="24"/>
      <c r="B219" s="24"/>
      <c r="C219" s="1"/>
      <c r="D219" s="1"/>
      <c r="E219" s="1"/>
      <c r="F219" s="1"/>
      <c r="G219" s="1"/>
      <c r="H219" s="1"/>
      <c r="I219" s="1"/>
      <c r="J219" s="1"/>
      <c r="K219" s="1"/>
      <c r="L219" s="25"/>
      <c r="M219" s="62"/>
      <c r="N219" s="25"/>
      <c r="O219" s="25"/>
      <c r="P219" s="25"/>
    </row>
    <row r="220" spans="1:16" ht="15" customHeight="1">
      <c r="A220" s="50" t="s">
        <v>192</v>
      </c>
      <c r="B220" s="50"/>
      <c r="C220" s="46"/>
      <c r="D220" s="46"/>
      <c r="E220" s="46"/>
      <c r="F220" s="46"/>
      <c r="G220" s="46"/>
      <c r="H220" s="46"/>
      <c r="I220" s="46"/>
      <c r="J220" s="46"/>
      <c r="K220" s="46" t="str">
        <f>IF(OR(ISBLANK(L220),L220=0),"",Settings!$B$14)</f>
        <v>$</v>
      </c>
      <c r="L220" s="32">
        <f>IF(OR(ISBLANK('Week 2'!L222),'Week 2'!L222=0),0,'Week 2'!L222)</f>
        <v>360.46625000000006</v>
      </c>
      <c r="M220" s="46" t="str">
        <f>IF(OR(ISBLANK(N220),N220=0),"",Settings!$B$14)</f>
        <v>$</v>
      </c>
      <c r="N220" s="32">
        <f>IF(OR(ISBLANK('Week 2'!N222),'Week 2'!N222=0),0,'Week 2'!N222)</f>
        <v>1356.1370000000002</v>
      </c>
      <c r="O220" s="28"/>
      <c r="P220" s="28"/>
    </row>
    <row r="221" spans="1:16" ht="15" customHeight="1">
      <c r="A221" s="50" t="s">
        <v>197</v>
      </c>
      <c r="B221" s="50"/>
      <c r="C221" s="46"/>
      <c r="D221" s="46"/>
      <c r="E221" s="46"/>
      <c r="F221" s="46"/>
      <c r="G221" s="46"/>
      <c r="H221" s="46"/>
      <c r="I221" s="46"/>
      <c r="J221" s="46"/>
      <c r="K221" s="46" t="str">
        <f>IF(OR(ISBLANK(L221),L221=0),"",Settings!$B$14)</f>
        <v>$</v>
      </c>
      <c r="L221" s="32">
        <f>IF(ISBLANK(J214),0,J214)</f>
        <v>237.59000000000003</v>
      </c>
      <c r="M221" s="46"/>
      <c r="N221" s="32"/>
      <c r="O221" s="28"/>
      <c r="P221" s="28"/>
    </row>
    <row r="222" spans="1:16" ht="15" customHeight="1">
      <c r="A222" s="50" t="s">
        <v>193</v>
      </c>
      <c r="B222" s="50"/>
      <c r="C222" s="46"/>
      <c r="D222" s="46"/>
      <c r="E222" s="46"/>
      <c r="F222" s="46"/>
      <c r="G222" s="46"/>
      <c r="H222" s="46"/>
      <c r="I222" s="46"/>
      <c r="J222" s="46"/>
      <c r="K222" s="46" t="str">
        <f>IF(OR(ISBLANK(L222),L222=0),"",Settings!$B$14)</f>
        <v>$</v>
      </c>
      <c r="L222" s="32">
        <f>IF(ISBLANK(L214),0,L214)</f>
        <v>368.37625000000003</v>
      </c>
      <c r="M222" s="46" t="str">
        <f>IF(OR(ISBLANK(N222),N222=0),"",Settings!$B$14)</f>
        <v>$</v>
      </c>
      <c r="N222" s="32">
        <f>IF(ISBLANK(N214),0,N214)</f>
        <v>1408.7070000000001</v>
      </c>
      <c r="O222" s="28"/>
      <c r="P222" s="28"/>
    </row>
    <row r="223" spans="1:16" ht="15" customHeight="1">
      <c r="A223" s="50" t="s">
        <v>194</v>
      </c>
      <c r="B223" s="50"/>
      <c r="C223" s="46"/>
      <c r="D223" s="46"/>
      <c r="E223" s="46"/>
      <c r="F223" s="46"/>
      <c r="G223" s="46"/>
      <c r="H223" s="46"/>
      <c r="I223" s="46"/>
      <c r="J223" s="46"/>
      <c r="K223" s="46" t="str">
        <f>IF(OR(ISBLANK(L223),L223=0),"",Settings!$B$14)</f>
        <v/>
      </c>
      <c r="L223" s="32"/>
      <c r="M223" s="46" t="str">
        <f>IF(OR(ISBLANK(N223),N223=0),"",Settings!$B$14)</f>
        <v>$</v>
      </c>
      <c r="N223" s="32">
        <f>IF(ISBLANK(P214),0,P214)</f>
        <v>2713.63</v>
      </c>
      <c r="O223" s="28"/>
      <c r="P223" s="28"/>
    </row>
    <row r="224" spans="1:16" ht="15" customHeight="1">
      <c r="A224" s="50" t="str">
        <f>"WEEKLY SALES from POS inc "&amp;UPPER(Settings!B10)</f>
        <v>WEEKLY SALES from POS inc SALES TAX</v>
      </c>
      <c r="B224" s="50"/>
      <c r="C224" s="46"/>
      <c r="D224" s="46"/>
      <c r="E224" s="46"/>
      <c r="F224" s="46"/>
      <c r="G224" s="46"/>
      <c r="H224" s="46"/>
      <c r="I224" s="46"/>
      <c r="J224" s="46"/>
      <c r="K224" s="46" t="str">
        <f>IF(OR(ISBLANK(L224),L224=0),"",Settings!$B$14)</f>
        <v/>
      </c>
      <c r="L224" s="32"/>
      <c r="M224" s="46" t="str">
        <f>IF(OR(ISBLANK(N224),N224=0),"",Settings!$B$14)</f>
        <v>$</v>
      </c>
      <c r="N224" s="32">
        <f>Budget!$G$22</f>
        <v>4141</v>
      </c>
      <c r="O224" s="28"/>
      <c r="P224" s="28"/>
    </row>
    <row r="225" spans="1:16" ht="15" customHeight="1">
      <c r="A225" s="50" t="s">
        <v>195</v>
      </c>
      <c r="B225" s="50"/>
      <c r="C225" s="46"/>
      <c r="D225" s="46"/>
      <c r="E225" s="46"/>
      <c r="F225" s="46"/>
      <c r="G225" s="46"/>
      <c r="H225" s="46"/>
      <c r="I225" s="46"/>
      <c r="J225" s="46"/>
      <c r="K225" s="46" t="str">
        <f>IF(OR(ISBLANK(L225),L225=0),"",Settings!$B$14)</f>
        <v/>
      </c>
      <c r="L225" s="32"/>
      <c r="M225" s="46" t="str">
        <f>IF(OR(ISBLANK(N225),N225=0),"",Settings!$B$14)</f>
        <v>$</v>
      </c>
      <c r="N225" s="32">
        <f>N224/(1+Settings!$B$12/1)</f>
        <v>3450.8333333333335</v>
      </c>
      <c r="O225" s="28"/>
      <c r="P225" s="28"/>
    </row>
    <row r="226" spans="1:16" ht="6.95" customHeight="1">
      <c r="A226" s="50"/>
      <c r="B226" s="50"/>
      <c r="C226" s="46"/>
      <c r="D226" s="46"/>
      <c r="E226" s="46"/>
      <c r="F226" s="46"/>
      <c r="G226" s="46"/>
      <c r="H226" s="46"/>
      <c r="I226" s="46"/>
      <c r="J226" s="46"/>
      <c r="K226" s="46"/>
      <c r="L226" s="32"/>
      <c r="M226" s="46"/>
      <c r="N226" s="32"/>
      <c r="O226" s="28"/>
      <c r="P226" s="28"/>
    </row>
    <row r="227" spans="1:16" ht="15" customHeight="1">
      <c r="A227" s="181" t="s">
        <v>196</v>
      </c>
      <c r="B227" s="181"/>
      <c r="C227" s="199"/>
      <c r="D227" s="199"/>
      <c r="E227" s="199"/>
      <c r="F227" s="199"/>
      <c r="G227" s="199"/>
      <c r="H227" s="199"/>
      <c r="I227" s="199"/>
      <c r="J227" s="199"/>
      <c r="K227" s="199"/>
      <c r="L227" s="34"/>
      <c r="M227" s="256">
        <f>IF(N224=0,"",1-((L220+L221-L222)/N225))</f>
        <v>0.93344216372856792</v>
      </c>
      <c r="N227" s="256"/>
      <c r="O227" s="200"/>
      <c r="P227" s="200"/>
    </row>
    <row r="228" spans="1:16" ht="6.95" customHeight="1" thickBot="1">
      <c r="A228" s="24"/>
      <c r="B228" s="24"/>
      <c r="C228" s="1"/>
      <c r="D228" s="1"/>
      <c r="E228" s="1"/>
      <c r="F228" s="1"/>
      <c r="G228" s="1"/>
      <c r="H228" s="1"/>
      <c r="I228" s="1"/>
      <c r="J228" s="1"/>
      <c r="K228" s="1"/>
      <c r="L228" s="25"/>
      <c r="M228" s="62"/>
      <c r="N228" s="25"/>
      <c r="O228" s="25"/>
      <c r="P228" s="25"/>
    </row>
    <row r="229" spans="1:16" ht="18" customHeight="1" thickTop="1">
      <c r="A229" s="174"/>
      <c r="B229" s="174"/>
      <c r="C229" s="167"/>
      <c r="D229" s="167"/>
      <c r="E229" s="167"/>
      <c r="F229" s="167"/>
      <c r="G229" s="167"/>
      <c r="H229" s="167"/>
      <c r="I229" s="167"/>
      <c r="J229" s="167"/>
      <c r="K229" s="167"/>
      <c r="L229" s="175"/>
      <c r="M229" s="167"/>
      <c r="N229" s="167"/>
      <c r="O229" s="167"/>
      <c r="P229" s="167"/>
    </row>
    <row r="230" spans="1:16" ht="5.0999999999999996" customHeight="1">
      <c r="C230" s="72"/>
      <c r="D230" s="72"/>
      <c r="E230" s="53"/>
      <c r="F230" s="53"/>
      <c r="G230" s="53"/>
      <c r="H230" s="53"/>
      <c r="I230" s="53"/>
      <c r="J230" s="53"/>
      <c r="K230" s="53"/>
      <c r="L230" s="62"/>
      <c r="M230" s="62"/>
      <c r="N230" s="62"/>
      <c r="O230" s="62"/>
      <c r="P230" s="62"/>
    </row>
  </sheetData>
  <sheetProtection password="F349" sheet="1" objects="1" scenarios="1" selectLockedCells="1"/>
  <protectedRanges>
    <protectedRange sqref="E12:G55" name="Spirits"/>
    <protectedRange sqref="E59:G72" name="Fortified Wines"/>
    <protectedRange sqref="E76:G97" name="Table Wines"/>
    <protectedRange sqref="E101:G106" name="Draught Beer"/>
    <protectedRange sqref="E110:G115" name="Draught Lager"/>
    <protectedRange sqref="E138:G146 E119:G134" name="Bottled Beer"/>
    <protectedRange sqref="E189:G196 E150:G169 E173:G178 E182:G185" name="Minerals"/>
    <protectedRange sqref="E186:G186 E197:G197 E199:G223" name="Containers"/>
  </protectedRanges>
  <mergeCells count="57">
    <mergeCell ref="K218:L218"/>
    <mergeCell ref="M218:N218"/>
    <mergeCell ref="M227:N227"/>
    <mergeCell ref="K200:L200"/>
    <mergeCell ref="M200:N200"/>
    <mergeCell ref="I187:J187"/>
    <mergeCell ref="K187:L187"/>
    <mergeCell ref="M187:N187"/>
    <mergeCell ref="O187:P187"/>
    <mergeCell ref="O200:P200"/>
    <mergeCell ref="I200:J200"/>
    <mergeCell ref="I198:J198"/>
    <mergeCell ref="K198:L198"/>
    <mergeCell ref="M198:N198"/>
    <mergeCell ref="O198:P198"/>
    <mergeCell ref="I171:J171"/>
    <mergeCell ref="K171:L171"/>
    <mergeCell ref="M171:N171"/>
    <mergeCell ref="O171:P171"/>
    <mergeCell ref="I180:J180"/>
    <mergeCell ref="K180:L180"/>
    <mergeCell ref="M180:N180"/>
    <mergeCell ref="O180:P180"/>
    <mergeCell ref="I136:J136"/>
    <mergeCell ref="K136:L136"/>
    <mergeCell ref="M136:N136"/>
    <mergeCell ref="O136:P136"/>
    <mergeCell ref="I148:J148"/>
    <mergeCell ref="K148:L148"/>
    <mergeCell ref="M148:N148"/>
    <mergeCell ref="O148:P148"/>
    <mergeCell ref="I108:J108"/>
    <mergeCell ref="K108:L108"/>
    <mergeCell ref="M108:N108"/>
    <mergeCell ref="O108:P108"/>
    <mergeCell ref="I117:J117"/>
    <mergeCell ref="K117:L117"/>
    <mergeCell ref="M117:N117"/>
    <mergeCell ref="O117:P117"/>
    <mergeCell ref="I74:J74"/>
    <mergeCell ref="K74:L74"/>
    <mergeCell ref="M74:N74"/>
    <mergeCell ref="O74:P74"/>
    <mergeCell ref="I99:J99"/>
    <mergeCell ref="K99:L99"/>
    <mergeCell ref="M99:N99"/>
    <mergeCell ref="O99:P99"/>
    <mergeCell ref="C8:H8"/>
    <mergeCell ref="K10:L10"/>
    <mergeCell ref="M10:N10"/>
    <mergeCell ref="O10:P10"/>
    <mergeCell ref="K57:L57"/>
    <mergeCell ref="M57:N57"/>
    <mergeCell ref="O57:P57"/>
    <mergeCell ref="I8:P8"/>
    <mergeCell ref="I10:J10"/>
    <mergeCell ref="I57:J57"/>
  </mergeCells>
  <phoneticPr fontId="5" type="noConversion"/>
  <pageMargins left="0.15748031496062992" right="0.15748031496062992" top="0.19685039370078741" bottom="0.19685039370078741" header="0.51181102362204722" footer="0.51181102362204722"/>
  <pageSetup paperSize="9" scale="9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0"/>
  <sheetViews>
    <sheetView showGridLines="0" workbookViewId="0">
      <pane ySplit="8" topLeftCell="A9" activePane="bottomLeft" state="frozen"/>
      <selection pane="bottomLeft" activeCell="C12" sqref="C12"/>
    </sheetView>
  </sheetViews>
  <sheetFormatPr defaultRowHeight="12.75"/>
  <cols>
    <col min="1" max="1" width="28.5703125" style="52" customWidth="1"/>
    <col min="2" max="2" width="21.28515625" style="52" customWidth="1"/>
    <col min="3" max="3" width="10.7109375" style="52" customWidth="1"/>
    <col min="4" max="4" width="1.7109375" style="52" customWidth="1"/>
    <col min="5" max="8" width="10.7109375" style="52" customWidth="1"/>
    <col min="9" max="9" width="3.7109375" style="52" customWidth="1"/>
    <col min="10" max="10" width="13.140625" style="52" customWidth="1"/>
    <col min="11" max="11" width="3.7109375" style="52" customWidth="1"/>
    <col min="12" max="12" width="9.7109375" style="52" customWidth="1"/>
    <col min="13" max="13" width="3.7109375" style="52" customWidth="1"/>
    <col min="14" max="14" width="9.7109375" style="52" customWidth="1"/>
    <col min="15" max="15" width="3.7109375" style="52" customWidth="1"/>
    <col min="16" max="16" width="9.7109375" style="52" customWidth="1"/>
    <col min="17" max="16384" width="9.140625" style="52"/>
  </cols>
  <sheetData>
    <row r="1" spans="1:16" s="45" customFormat="1" ht="54.95" customHeight="1">
      <c r="A1" s="104" t="s">
        <v>230</v>
      </c>
      <c r="B1" s="105"/>
      <c r="C1" s="106"/>
      <c r="D1" s="106"/>
      <c r="E1" s="106"/>
      <c r="F1" s="106"/>
      <c r="G1" s="106"/>
      <c r="H1" s="106"/>
      <c r="I1" s="106"/>
      <c r="J1" s="106"/>
      <c r="K1" s="106"/>
      <c r="L1" s="107"/>
      <c r="M1" s="134"/>
      <c r="N1" s="188"/>
      <c r="O1" s="188"/>
      <c r="P1" s="188"/>
    </row>
    <row r="2" spans="1:16" s="45" customFormat="1" ht="33.75" customHeight="1">
      <c r="A2" s="108" t="str">
        <f>IF(Settings!$E$5="Enable",Settings!$B$5,"")</f>
        <v>My Company name</v>
      </c>
      <c r="B2" s="126"/>
      <c r="C2" s="126"/>
      <c r="D2" s="126"/>
      <c r="E2" s="126"/>
      <c r="F2" s="126"/>
      <c r="G2" s="126"/>
      <c r="H2" s="126"/>
      <c r="I2" s="126"/>
      <c r="J2" s="126"/>
      <c r="K2" s="126"/>
      <c r="L2" s="126"/>
      <c r="M2" s="126"/>
      <c r="N2" s="126"/>
      <c r="O2" s="126"/>
      <c r="P2" s="90"/>
    </row>
    <row r="3" spans="1:16" ht="18" customHeight="1">
      <c r="A3" s="111" t="str">
        <f>IF(Settings!$E$6="Enable",Settings!$B$6,"")</f>
        <v>My company slogan</v>
      </c>
      <c r="B3" s="57"/>
      <c r="C3" s="57"/>
      <c r="D3" s="57"/>
      <c r="E3" s="57"/>
      <c r="F3" s="57"/>
      <c r="G3" s="57"/>
      <c r="H3" s="57"/>
      <c r="I3" s="57"/>
      <c r="J3" s="57"/>
      <c r="K3" s="57"/>
      <c r="L3" s="57"/>
      <c r="M3" s="58"/>
      <c r="P3" s="63"/>
    </row>
    <row r="4" spans="1:16" ht="15" customHeight="1">
      <c r="A4" s="59"/>
      <c r="B4" s="59"/>
      <c r="C4" s="59"/>
      <c r="D4" s="59"/>
      <c r="E4" s="59"/>
      <c r="F4" s="59"/>
      <c r="G4" s="59"/>
      <c r="H4" s="59"/>
      <c r="I4" s="59"/>
      <c r="J4" s="59"/>
      <c r="K4" s="59"/>
      <c r="L4" s="59"/>
      <c r="N4" s="59"/>
      <c r="O4" s="59"/>
      <c r="P4" s="116" t="s">
        <v>229</v>
      </c>
    </row>
    <row r="5" spans="1:16" ht="15" customHeight="1">
      <c r="A5" s="59"/>
      <c r="B5" s="59"/>
      <c r="C5" s="59"/>
      <c r="D5" s="59"/>
      <c r="E5" s="59"/>
      <c r="F5" s="59"/>
      <c r="G5" s="59"/>
      <c r="H5" s="59"/>
      <c r="I5" s="59"/>
      <c r="J5" s="59"/>
      <c r="K5" s="59"/>
      <c r="L5" s="59"/>
      <c r="N5" s="59"/>
      <c r="O5" s="59"/>
      <c r="P5" s="58"/>
    </row>
    <row r="6" spans="1:16" s="50" customFormat="1" ht="30" customHeight="1">
      <c r="A6" s="64" t="s">
        <v>201</v>
      </c>
      <c r="B6" s="64"/>
      <c r="C6" s="64"/>
      <c r="D6" s="64"/>
      <c r="E6" s="64"/>
      <c r="F6" s="189"/>
      <c r="G6" s="189"/>
      <c r="H6" s="189"/>
      <c r="I6" s="189"/>
      <c r="J6" s="189"/>
      <c r="K6" s="189"/>
      <c r="L6" s="189"/>
      <c r="M6" s="189"/>
      <c r="N6" s="189"/>
      <c r="O6" s="189"/>
      <c r="P6" s="189"/>
    </row>
    <row r="7" spans="1:16" ht="12.75" customHeight="1">
      <c r="A7" s="65"/>
      <c r="B7" s="65"/>
      <c r="C7" s="65"/>
      <c r="D7" s="65"/>
      <c r="E7" s="65"/>
      <c r="F7" s="65"/>
      <c r="G7" s="65"/>
      <c r="H7" s="65"/>
      <c r="I7" s="65"/>
      <c r="J7" s="65"/>
      <c r="K7" s="65"/>
      <c r="L7" s="65"/>
      <c r="M7" s="65"/>
      <c r="N7" s="65"/>
      <c r="O7" s="65"/>
      <c r="P7" s="65"/>
    </row>
    <row r="8" spans="1:16" s="190" customFormat="1" ht="18" customHeight="1">
      <c r="A8" s="74" t="s">
        <v>182</v>
      </c>
      <c r="B8" s="74" t="s">
        <v>164</v>
      </c>
      <c r="C8" s="236" t="s">
        <v>118</v>
      </c>
      <c r="D8" s="236"/>
      <c r="E8" s="236"/>
      <c r="F8" s="236"/>
      <c r="G8" s="236"/>
      <c r="H8" s="236"/>
      <c r="I8" s="236" t="s">
        <v>183</v>
      </c>
      <c r="J8" s="236"/>
      <c r="K8" s="236"/>
      <c r="L8" s="236"/>
      <c r="M8" s="236"/>
      <c r="N8" s="236"/>
      <c r="O8" s="236"/>
      <c r="P8" s="236"/>
    </row>
    <row r="9" spans="1:16" ht="6.95" customHeight="1">
      <c r="C9" s="62"/>
      <c r="D9" s="62"/>
      <c r="E9" s="62"/>
      <c r="F9" s="62"/>
      <c r="G9" s="62"/>
      <c r="H9" s="62"/>
      <c r="I9" s="62"/>
      <c r="J9" s="62"/>
      <c r="K9" s="62"/>
      <c r="L9" s="62"/>
      <c r="M9" s="62"/>
      <c r="N9" s="62"/>
      <c r="O9" s="62"/>
      <c r="P9" s="62"/>
    </row>
    <row r="10" spans="1:16" s="50" customFormat="1" ht="18" customHeight="1" thickBot="1">
      <c r="A10" s="78" t="str">
        <f>Inventory!A10</f>
        <v>SPIRITS</v>
      </c>
      <c r="B10" s="78" t="str">
        <f>Inventory!C10</f>
        <v>VOLUME</v>
      </c>
      <c r="C10" s="22" t="s">
        <v>187</v>
      </c>
      <c r="D10" s="22"/>
      <c r="E10" s="22" t="s">
        <v>101</v>
      </c>
      <c r="F10" s="22" t="s">
        <v>102</v>
      </c>
      <c r="G10" s="23" t="s">
        <v>108</v>
      </c>
      <c r="H10" s="79" t="s">
        <v>119</v>
      </c>
      <c r="I10" s="253" t="s">
        <v>190</v>
      </c>
      <c r="J10" s="253"/>
      <c r="K10" s="235" t="s">
        <v>30</v>
      </c>
      <c r="L10" s="235"/>
      <c r="M10" s="235" t="s">
        <v>31</v>
      </c>
      <c r="N10" s="235"/>
      <c r="O10" s="235" t="s">
        <v>189</v>
      </c>
      <c r="P10" s="235"/>
    </row>
    <row r="11" spans="1:16" s="50" customFormat="1" ht="6.95" customHeight="1" thickTop="1">
      <c r="C11" s="20"/>
      <c r="D11" s="20"/>
      <c r="E11" s="20"/>
      <c r="F11" s="20"/>
      <c r="G11" s="46"/>
      <c r="H11" s="191"/>
      <c r="I11" s="191"/>
      <c r="J11" s="191"/>
      <c r="K11" s="20"/>
      <c r="L11" s="20"/>
      <c r="M11" s="20"/>
      <c r="N11" s="20"/>
      <c r="O11" s="20"/>
      <c r="P11" s="20"/>
    </row>
    <row r="12" spans="1:16" s="29" customFormat="1" ht="15" customHeight="1">
      <c r="A12" s="31" t="str">
        <f>IF(ISBLANK(Inventory!A12),"",Inventory!A12)</f>
        <v>Teachers</v>
      </c>
      <c r="B12" s="31" t="str">
        <f>IF(ISBLANK(Inventory!A12),"",Inventory!C12)</f>
        <v>70cl</v>
      </c>
      <c r="C12" s="187">
        <v>1</v>
      </c>
      <c r="D12" s="192"/>
      <c r="E12" s="187">
        <v>1</v>
      </c>
      <c r="F12" s="187"/>
      <c r="G12" s="187"/>
      <c r="H12" s="37">
        <f>IF(ISBLANK(Inventory!A12),0,C12+SUM('Week 3'!E12:G12)-SUM(E12:G12))</f>
        <v>1</v>
      </c>
      <c r="I12" s="35" t="str">
        <f>IF(OR(ISBLANK(J12),J12=0),"",Settings!$B$14)</f>
        <v>$</v>
      </c>
      <c r="J12" s="30">
        <f>IF(ISBLANK(C12),0,C12*Inventory!F12)</f>
        <v>21.35</v>
      </c>
      <c r="K12" s="35" t="str">
        <f>IF(OR(ISBLANK(L12),L12=0),"",Settings!$B$14)</f>
        <v>$</v>
      </c>
      <c r="L12" s="30">
        <f>IF(ISBLANK(Inventory!A12),0,SUM(E12:G12)*Inventory!F12)</f>
        <v>21.35</v>
      </c>
      <c r="M12" s="35" t="str">
        <f>IF(OR(ISBLANK(N12),N12=0),"",Settings!$B$14)</f>
        <v>$</v>
      </c>
      <c r="N12" s="30">
        <f>IF(ISBLANK(Inventory!A12),0,SUM(E12:G12)*Inventory!L12)</f>
        <v>80.92</v>
      </c>
      <c r="O12" s="35" t="str">
        <f>IF(OR(ISBLANK(P12),P12=0),"",Settings!$B$14)</f>
        <v>$</v>
      </c>
      <c r="P12" s="30">
        <f>IF(ISBLANK(Inventory!A12),0,H12*Inventory!L12)</f>
        <v>80.92</v>
      </c>
    </row>
    <row r="13" spans="1:16" s="29" customFormat="1" ht="15" customHeight="1">
      <c r="A13" s="31" t="str">
        <f>IF(ISBLANK(Inventory!A13),"",Inventory!A13)</f>
        <v>Bells</v>
      </c>
      <c r="B13" s="31" t="str">
        <f>IF(ISBLANK(Inventory!A13),"",Inventory!C13)</f>
        <v>70cl</v>
      </c>
      <c r="C13" s="187"/>
      <c r="D13" s="192"/>
      <c r="E13" s="187"/>
      <c r="F13" s="187"/>
      <c r="G13" s="187"/>
      <c r="H13" s="37">
        <f>IF(ISBLANK(Inventory!A13),0,C13+SUM('Week 3'!E13:G13)-SUM(E13:G13))</f>
        <v>0</v>
      </c>
      <c r="I13" s="35" t="str">
        <f>IF(OR(ISBLANK(J13),J13=0),"",Settings!$B$14)</f>
        <v/>
      </c>
      <c r="J13" s="30">
        <f>IF(ISBLANK(C13),0,C13*Inventory!F13)</f>
        <v>0</v>
      </c>
      <c r="K13" s="35" t="str">
        <f>IF(OR(ISBLANK(L13),L13=0),"",Settings!$B$14)</f>
        <v/>
      </c>
      <c r="L13" s="30">
        <f>IF(ISBLANK(Inventory!A13),0,SUM(E13:G13)*Inventory!F13)</f>
        <v>0</v>
      </c>
      <c r="M13" s="35" t="str">
        <f>IF(OR(ISBLANK(N13),N13=0),"",Settings!$B$14)</f>
        <v/>
      </c>
      <c r="N13" s="30">
        <f>IF(ISBLANK(Inventory!A13),0,SUM(E13:G13)*Inventory!L13)</f>
        <v>0</v>
      </c>
      <c r="O13" s="35" t="str">
        <f>IF(OR(ISBLANK(P13),P13=0),"",Settings!$B$14)</f>
        <v/>
      </c>
      <c r="P13" s="30">
        <f>IF(ISBLANK(Inventory!A13),0,H13*Inventory!L13)</f>
        <v>0</v>
      </c>
    </row>
    <row r="14" spans="1:16" s="29" customFormat="1" ht="15" customHeight="1">
      <c r="A14" s="31" t="str">
        <f>IF(ISBLANK(Inventory!A14),"",Inventory!A14)</f>
        <v>Bells</v>
      </c>
      <c r="B14" s="31" t="str">
        <f>IF(ISBLANK(Inventory!A14),"",Inventory!C14)</f>
        <v>1.5ltr</v>
      </c>
      <c r="C14" s="187"/>
      <c r="D14" s="192"/>
      <c r="E14" s="187"/>
      <c r="F14" s="187"/>
      <c r="G14" s="187"/>
      <c r="H14" s="37">
        <f>IF(ISBLANK(Inventory!A14),0,C14+SUM('Week 3'!E14:G14)-SUM(E14:G14))</f>
        <v>0</v>
      </c>
      <c r="I14" s="35" t="str">
        <f>IF(OR(ISBLANK(J14),J14=0),"",Settings!$B$14)</f>
        <v/>
      </c>
      <c r="J14" s="30">
        <f>IF(ISBLANK(C14),0,C14*Inventory!F14)</f>
        <v>0</v>
      </c>
      <c r="K14" s="35" t="str">
        <f>IF(OR(ISBLANK(L14),L14=0),"",Settings!$B$14)</f>
        <v/>
      </c>
      <c r="L14" s="30">
        <f>IF(ISBLANK(Inventory!A14),0,SUM(E14:G14)*Inventory!F14)</f>
        <v>0</v>
      </c>
      <c r="M14" s="35" t="str">
        <f>IF(OR(ISBLANK(N14),N14=0),"",Settings!$B$14)</f>
        <v/>
      </c>
      <c r="N14" s="30">
        <f>IF(ISBLANK(Inventory!A14),0,SUM(E14:G14)*Inventory!L14)</f>
        <v>0</v>
      </c>
      <c r="O14" s="35" t="str">
        <f>IF(OR(ISBLANK(P14),P14=0),"",Settings!$B$14)</f>
        <v/>
      </c>
      <c r="P14" s="30">
        <f>IF(ISBLANK(Inventory!A14),0,H14*Inventory!L14)</f>
        <v>0</v>
      </c>
    </row>
    <row r="15" spans="1:16" s="29" customFormat="1" ht="15" customHeight="1">
      <c r="A15" s="31" t="str">
        <f>IF(ISBLANK(Inventory!A15),"",Inventory!A15)</f>
        <v>Glenfiddich</v>
      </c>
      <c r="B15" s="31" t="str">
        <f>IF(ISBLANK(Inventory!A15),"",Inventory!C15)</f>
        <v>75cl</v>
      </c>
      <c r="C15" s="187"/>
      <c r="D15" s="192"/>
      <c r="E15" s="187"/>
      <c r="F15" s="187"/>
      <c r="G15" s="187"/>
      <c r="H15" s="37">
        <f>IF(ISBLANK(Inventory!A15),0,C15+SUM('Week 3'!E15:G15)-SUM(E15:G15))</f>
        <v>0</v>
      </c>
      <c r="I15" s="35" t="str">
        <f>IF(OR(ISBLANK(J15),J15=0),"",Settings!$B$14)</f>
        <v/>
      </c>
      <c r="J15" s="30">
        <f>IF(ISBLANK(C15),0,C15*Inventory!F15)</f>
        <v>0</v>
      </c>
      <c r="K15" s="35" t="str">
        <f>IF(OR(ISBLANK(L15),L15=0),"",Settings!$B$14)</f>
        <v/>
      </c>
      <c r="L15" s="30">
        <f>IF(ISBLANK(Inventory!A15),0,SUM(E15:G15)*Inventory!F15)</f>
        <v>0</v>
      </c>
      <c r="M15" s="35" t="str">
        <f>IF(OR(ISBLANK(N15),N15=0),"",Settings!$B$14)</f>
        <v/>
      </c>
      <c r="N15" s="30">
        <f>IF(ISBLANK(Inventory!A15),0,SUM(E15:G15)*Inventory!L15)</f>
        <v>0</v>
      </c>
      <c r="O15" s="35" t="str">
        <f>IF(OR(ISBLANK(P15),P15=0),"",Settings!$B$14)</f>
        <v/>
      </c>
      <c r="P15" s="30">
        <f>IF(ISBLANK(Inventory!A15),0,H15*Inventory!L15)</f>
        <v>0</v>
      </c>
    </row>
    <row r="16" spans="1:16" s="29" customFormat="1" ht="15" customHeight="1">
      <c r="A16" s="31" t="str">
        <f>IF(ISBLANK(Inventory!A16),"",Inventory!A16)</f>
        <v>Glenmorangie</v>
      </c>
      <c r="B16" s="31" t="str">
        <f>IF(ISBLANK(Inventory!A16),"",Inventory!C16)</f>
        <v>70cl</v>
      </c>
      <c r="C16" s="187"/>
      <c r="D16" s="192"/>
      <c r="E16" s="187"/>
      <c r="F16" s="187"/>
      <c r="G16" s="187"/>
      <c r="H16" s="37">
        <f>IF(ISBLANK(Inventory!A16),0,C16+SUM('Week 3'!E16:G16)-SUM(E16:G16))</f>
        <v>0</v>
      </c>
      <c r="I16" s="35" t="str">
        <f>IF(OR(ISBLANK(J16),J16=0),"",Settings!$B$14)</f>
        <v/>
      </c>
      <c r="J16" s="30">
        <f>IF(ISBLANK(C16),0,C16*Inventory!F16)</f>
        <v>0</v>
      </c>
      <c r="K16" s="35" t="str">
        <f>IF(OR(ISBLANK(L16),L16=0),"",Settings!$B$14)</f>
        <v/>
      </c>
      <c r="L16" s="30">
        <f>IF(ISBLANK(Inventory!A16),0,SUM(E16:G16)*Inventory!F16)</f>
        <v>0</v>
      </c>
      <c r="M16" s="35" t="str">
        <f>IF(OR(ISBLANK(N16),N16=0),"",Settings!$B$14)</f>
        <v/>
      </c>
      <c r="N16" s="30">
        <f>IF(ISBLANK(Inventory!A16),0,SUM(E16:G16)*Inventory!L16)</f>
        <v>0</v>
      </c>
      <c r="O16" s="35" t="str">
        <f>IF(OR(ISBLANK(P16),P16=0),"",Settings!$B$14)</f>
        <v/>
      </c>
      <c r="P16" s="30">
        <f>IF(ISBLANK(Inventory!A16),0,H16*Inventory!L16)</f>
        <v>0</v>
      </c>
    </row>
    <row r="17" spans="1:16" s="29" customFormat="1" ht="15" customHeight="1">
      <c r="A17" s="31" t="str">
        <f>IF(ISBLANK(Inventory!A17),"",Inventory!A17)</f>
        <v>Jack Daniels</v>
      </c>
      <c r="B17" s="31" t="str">
        <f>IF(ISBLANK(Inventory!A17),"",Inventory!C17)</f>
        <v>70cl</v>
      </c>
      <c r="C17" s="187"/>
      <c r="D17" s="192"/>
      <c r="E17" s="187"/>
      <c r="F17" s="187"/>
      <c r="G17" s="187"/>
      <c r="H17" s="37">
        <f>IF(ISBLANK(Inventory!A17),0,C17+SUM('Week 3'!E17:G17)-SUM(E17:G17))</f>
        <v>0</v>
      </c>
      <c r="I17" s="35" t="str">
        <f>IF(OR(ISBLANK(J17),J17=0),"",Settings!$B$14)</f>
        <v/>
      </c>
      <c r="J17" s="30">
        <f>IF(ISBLANK(C17),0,C17*Inventory!F17)</f>
        <v>0</v>
      </c>
      <c r="K17" s="35" t="str">
        <f>IF(OR(ISBLANK(L17),L17=0),"",Settings!$B$14)</f>
        <v/>
      </c>
      <c r="L17" s="30">
        <f>IF(ISBLANK(Inventory!A17),0,SUM(E17:G17)*Inventory!F17)</f>
        <v>0</v>
      </c>
      <c r="M17" s="35" t="str">
        <f>IF(OR(ISBLANK(N17),N17=0),"",Settings!$B$14)</f>
        <v/>
      </c>
      <c r="N17" s="30">
        <f>IF(ISBLANK(Inventory!A17),0,SUM(E17:G17)*Inventory!L17)</f>
        <v>0</v>
      </c>
      <c r="O17" s="35" t="str">
        <f>IF(OR(ISBLANK(P17),P17=0),"",Settings!$B$14)</f>
        <v/>
      </c>
      <c r="P17" s="30">
        <f>IF(ISBLANK(Inventory!A17),0,H17*Inventory!L17)</f>
        <v>0</v>
      </c>
    </row>
    <row r="18" spans="1:16" s="29" customFormat="1" ht="15" customHeight="1">
      <c r="A18" s="31" t="str">
        <f>IF(ISBLANK(Inventory!A18),"",Inventory!A18)</f>
        <v>Jack Daniels</v>
      </c>
      <c r="B18" s="31" t="str">
        <f>IF(ISBLANK(Inventory!A18),"",Inventory!C18)</f>
        <v>1.5Ltr</v>
      </c>
      <c r="C18" s="187"/>
      <c r="D18" s="192"/>
      <c r="E18" s="187"/>
      <c r="F18" s="187"/>
      <c r="G18" s="187"/>
      <c r="H18" s="37">
        <f>IF(ISBLANK(Inventory!A18),0,C18+SUM('Week 3'!E18:G18)-SUM(E18:G18))</f>
        <v>0</v>
      </c>
      <c r="I18" s="35" t="str">
        <f>IF(OR(ISBLANK(J18),J18=0),"",Settings!$B$14)</f>
        <v/>
      </c>
      <c r="J18" s="30">
        <f>IF(ISBLANK(C18),0,C18*Inventory!F18)</f>
        <v>0</v>
      </c>
      <c r="K18" s="35" t="str">
        <f>IF(OR(ISBLANK(L18),L18=0),"",Settings!$B$14)</f>
        <v/>
      </c>
      <c r="L18" s="30">
        <f>IF(ISBLANK(Inventory!A18),0,SUM(E18:G18)*Inventory!F18)</f>
        <v>0</v>
      </c>
      <c r="M18" s="35" t="str">
        <f>IF(OR(ISBLANK(N18),N18=0),"",Settings!$B$14)</f>
        <v/>
      </c>
      <c r="N18" s="30">
        <f>IF(ISBLANK(Inventory!A18),0,SUM(E18:G18)*Inventory!L18)</f>
        <v>0</v>
      </c>
      <c r="O18" s="35" t="str">
        <f>IF(OR(ISBLANK(P18),P18=0),"",Settings!$B$14)</f>
        <v/>
      </c>
      <c r="P18" s="30">
        <f>IF(ISBLANK(Inventory!A18),0,H18*Inventory!L18)</f>
        <v>0</v>
      </c>
    </row>
    <row r="19" spans="1:16" s="29" customFormat="1" ht="15" customHeight="1">
      <c r="A19" s="31" t="str">
        <f>IF(ISBLANK(Inventory!A19),"",Inventory!A19)</f>
        <v>Jim Beam</v>
      </c>
      <c r="B19" s="31" t="str">
        <f>IF(ISBLANK(Inventory!A19),"",Inventory!C19)</f>
        <v>70cl</v>
      </c>
      <c r="C19" s="187"/>
      <c r="D19" s="192"/>
      <c r="E19" s="187"/>
      <c r="F19" s="187"/>
      <c r="G19" s="187"/>
      <c r="H19" s="37">
        <f>IF(ISBLANK(Inventory!A19),0,C19+SUM('Week 3'!E19:G19)-SUM(E19:G19))</f>
        <v>0</v>
      </c>
      <c r="I19" s="35" t="str">
        <f>IF(OR(ISBLANK(J19),J19=0),"",Settings!$B$14)</f>
        <v/>
      </c>
      <c r="J19" s="30">
        <f>IF(ISBLANK(C19),0,C19*Inventory!F19)</f>
        <v>0</v>
      </c>
      <c r="K19" s="35" t="str">
        <f>IF(OR(ISBLANK(L19),L19=0),"",Settings!$B$14)</f>
        <v/>
      </c>
      <c r="L19" s="30">
        <f>IF(ISBLANK(Inventory!A19),0,SUM(E19:G19)*Inventory!F19)</f>
        <v>0</v>
      </c>
      <c r="M19" s="35" t="str">
        <f>IF(OR(ISBLANK(N19),N19=0),"",Settings!$B$14)</f>
        <v/>
      </c>
      <c r="N19" s="30">
        <f>IF(ISBLANK(Inventory!A19),0,SUM(E19:G19)*Inventory!L19)</f>
        <v>0</v>
      </c>
      <c r="O19" s="35" t="str">
        <f>IF(OR(ISBLANK(P19),P19=0),"",Settings!$B$14)</f>
        <v/>
      </c>
      <c r="P19" s="30">
        <f>IF(ISBLANK(Inventory!A19),0,H19*Inventory!L19)</f>
        <v>0</v>
      </c>
    </row>
    <row r="20" spans="1:16" s="29" customFormat="1" ht="15" customHeight="1">
      <c r="A20" s="31" t="str">
        <f>IF(ISBLANK(Inventory!A20),"",Inventory!A20)</f>
        <v>Jameson's Irish</v>
      </c>
      <c r="B20" s="31" t="str">
        <f>IF(ISBLANK(Inventory!A20),"",Inventory!C20)</f>
        <v>70cl</v>
      </c>
      <c r="C20" s="187"/>
      <c r="D20" s="192"/>
      <c r="E20" s="187"/>
      <c r="F20" s="187"/>
      <c r="G20" s="187"/>
      <c r="H20" s="37">
        <f>IF(ISBLANK(Inventory!A20),0,C20+SUM('Week 3'!E20:G20)-SUM(E20:G20))</f>
        <v>0</v>
      </c>
      <c r="I20" s="35" t="str">
        <f>IF(OR(ISBLANK(J20),J20=0),"",Settings!$B$14)</f>
        <v/>
      </c>
      <c r="J20" s="30">
        <f>IF(ISBLANK(C20),0,C20*Inventory!F20)</f>
        <v>0</v>
      </c>
      <c r="K20" s="35" t="str">
        <f>IF(OR(ISBLANK(L20),L20=0),"",Settings!$B$14)</f>
        <v/>
      </c>
      <c r="L20" s="30">
        <f>IF(ISBLANK(Inventory!A20),0,SUM(E20:G20)*Inventory!F20)</f>
        <v>0</v>
      </c>
      <c r="M20" s="35" t="str">
        <f>IF(OR(ISBLANK(N20),N20=0),"",Settings!$B$14)</f>
        <v/>
      </c>
      <c r="N20" s="30">
        <f>IF(ISBLANK(Inventory!A20),0,SUM(E20:G20)*Inventory!L20)</f>
        <v>0</v>
      </c>
      <c r="O20" s="35" t="str">
        <f>IF(OR(ISBLANK(P20),P20=0),"",Settings!$B$14)</f>
        <v/>
      </c>
      <c r="P20" s="30">
        <f>IF(ISBLANK(Inventory!A20),0,H20*Inventory!L20)</f>
        <v>0</v>
      </c>
    </row>
    <row r="21" spans="1:16" s="29" customFormat="1" ht="15" customHeight="1">
      <c r="A21" s="31" t="str">
        <f>IF(ISBLANK(Inventory!A21),"",Inventory!A21)</f>
        <v>Jameson's Irish</v>
      </c>
      <c r="B21" s="31" t="str">
        <f>IF(ISBLANK(Inventory!A21),"",Inventory!C21)</f>
        <v>1.5Ltr</v>
      </c>
      <c r="C21" s="187"/>
      <c r="D21" s="192"/>
      <c r="E21" s="187"/>
      <c r="F21" s="187"/>
      <c r="G21" s="187"/>
      <c r="H21" s="37">
        <f>IF(ISBLANK(Inventory!A21),0,C21+SUM('Week 3'!E21:G21)-SUM(E21:G21))</f>
        <v>0</v>
      </c>
      <c r="I21" s="35" t="str">
        <f>IF(OR(ISBLANK(J21),J21=0),"",Settings!$B$14)</f>
        <v/>
      </c>
      <c r="J21" s="30">
        <f>IF(ISBLANK(C21),0,C21*Inventory!F21)</f>
        <v>0</v>
      </c>
      <c r="K21" s="35" t="str">
        <f>IF(OR(ISBLANK(L21),L21=0),"",Settings!$B$14)</f>
        <v/>
      </c>
      <c r="L21" s="30">
        <f>IF(ISBLANK(Inventory!A21),0,SUM(E21:G21)*Inventory!F21)</f>
        <v>0</v>
      </c>
      <c r="M21" s="35" t="str">
        <f>IF(OR(ISBLANK(N21),N21=0),"",Settings!$B$14)</f>
        <v/>
      </c>
      <c r="N21" s="30">
        <f>IF(ISBLANK(Inventory!A21),0,SUM(E21:G21)*Inventory!L21)</f>
        <v>0</v>
      </c>
      <c r="O21" s="35" t="str">
        <f>IF(OR(ISBLANK(P21),P21=0),"",Settings!$B$14)</f>
        <v/>
      </c>
      <c r="P21" s="30">
        <f>IF(ISBLANK(Inventory!A21),0,H21*Inventory!L21)</f>
        <v>0</v>
      </c>
    </row>
    <row r="22" spans="1:16" s="29" customFormat="1" ht="15" customHeight="1">
      <c r="A22" s="31" t="str">
        <f>IF(ISBLANK(Inventory!A22),"",Inventory!A22)</f>
        <v>Southern Comfort</v>
      </c>
      <c r="B22" s="31" t="str">
        <f>IF(ISBLANK(Inventory!A22),"",Inventory!C22)</f>
        <v>70cl</v>
      </c>
      <c r="C22" s="187"/>
      <c r="D22" s="192"/>
      <c r="E22" s="187"/>
      <c r="F22" s="187"/>
      <c r="G22" s="187"/>
      <c r="H22" s="37">
        <f>IF(ISBLANK(Inventory!A22),0,C22+SUM('Week 3'!E22:G22)-SUM(E22:G22))</f>
        <v>0</v>
      </c>
      <c r="I22" s="35" t="str">
        <f>IF(OR(ISBLANK(J22),J22=0),"",Settings!$B$14)</f>
        <v/>
      </c>
      <c r="J22" s="30">
        <f>IF(ISBLANK(C22),0,C22*Inventory!F22)</f>
        <v>0</v>
      </c>
      <c r="K22" s="35" t="str">
        <f>IF(OR(ISBLANK(L22),L22=0),"",Settings!$B$14)</f>
        <v/>
      </c>
      <c r="L22" s="30">
        <f>IF(ISBLANK(Inventory!A22),0,SUM(E22:G22)*Inventory!F22)</f>
        <v>0</v>
      </c>
      <c r="M22" s="35" t="str">
        <f>IF(OR(ISBLANK(N22),N22=0),"",Settings!$B$14)</f>
        <v/>
      </c>
      <c r="N22" s="30">
        <f>IF(ISBLANK(Inventory!A22),0,SUM(E22:G22)*Inventory!L22)</f>
        <v>0</v>
      </c>
      <c r="O22" s="35" t="str">
        <f>IF(OR(ISBLANK(P22),P22=0),"",Settings!$B$14)</f>
        <v/>
      </c>
      <c r="P22" s="30">
        <f>IF(ISBLANK(Inventory!A22),0,H22*Inventory!L22)</f>
        <v>0</v>
      </c>
    </row>
    <row r="23" spans="1:16" s="29" customFormat="1" ht="15" customHeight="1">
      <c r="A23" s="31" t="str">
        <f>IF(ISBLANK(Inventory!A23),"",Inventory!A23)</f>
        <v>Southern Comfort</v>
      </c>
      <c r="B23" s="31" t="str">
        <f>IF(ISBLANK(Inventory!A23),"",Inventory!C23)</f>
        <v>1.5ltr</v>
      </c>
      <c r="C23" s="187"/>
      <c r="D23" s="192"/>
      <c r="E23" s="187"/>
      <c r="F23" s="187"/>
      <c r="G23" s="187"/>
      <c r="H23" s="37">
        <f>IF(ISBLANK(Inventory!A23),0,C23+SUM('Week 3'!E23:G23)-SUM(E23:G23))</f>
        <v>0</v>
      </c>
      <c r="I23" s="35" t="str">
        <f>IF(OR(ISBLANK(J23),J23=0),"",Settings!$B$14)</f>
        <v/>
      </c>
      <c r="J23" s="30">
        <f>IF(ISBLANK(C23),0,C23*Inventory!F23)</f>
        <v>0</v>
      </c>
      <c r="K23" s="35" t="str">
        <f>IF(OR(ISBLANK(L23),L23=0),"",Settings!$B$14)</f>
        <v/>
      </c>
      <c r="L23" s="30">
        <f>IF(ISBLANK(Inventory!A23),0,SUM(E23:G23)*Inventory!F23)</f>
        <v>0</v>
      </c>
      <c r="M23" s="35" t="str">
        <f>IF(OR(ISBLANK(N23),N23=0),"",Settings!$B$14)</f>
        <v/>
      </c>
      <c r="N23" s="30">
        <f>IF(ISBLANK(Inventory!A23),0,SUM(E23:G23)*Inventory!L23)</f>
        <v>0</v>
      </c>
      <c r="O23" s="35" t="str">
        <f>IF(OR(ISBLANK(P23),P23=0),"",Settings!$B$14)</f>
        <v/>
      </c>
      <c r="P23" s="30">
        <f>IF(ISBLANK(Inventory!A23),0,H23*Inventory!L23)</f>
        <v>0</v>
      </c>
    </row>
    <row r="24" spans="1:16" s="29" customFormat="1" ht="15" customHeight="1">
      <c r="A24" s="31" t="str">
        <f>IF(ISBLANK(Inventory!A24),"",Inventory!A24)</f>
        <v>Gordons' Gin</v>
      </c>
      <c r="B24" s="31" t="str">
        <f>IF(ISBLANK(Inventory!A24),"",Inventory!C24)</f>
        <v>70cl</v>
      </c>
      <c r="C24" s="187"/>
      <c r="D24" s="192"/>
      <c r="E24" s="187"/>
      <c r="F24" s="187"/>
      <c r="G24" s="187"/>
      <c r="H24" s="37">
        <f>IF(ISBLANK(Inventory!A24),0,C24+SUM('Week 3'!E24:G24)-SUM(E24:G24))</f>
        <v>0</v>
      </c>
      <c r="I24" s="35" t="str">
        <f>IF(OR(ISBLANK(J24),J24=0),"",Settings!$B$14)</f>
        <v/>
      </c>
      <c r="J24" s="30">
        <f>IF(ISBLANK(C24),0,C24*Inventory!F24)</f>
        <v>0</v>
      </c>
      <c r="K24" s="35" t="str">
        <f>IF(OR(ISBLANK(L24),L24=0),"",Settings!$B$14)</f>
        <v/>
      </c>
      <c r="L24" s="30">
        <f>IF(ISBLANK(Inventory!A24),0,SUM(E24:G24)*Inventory!F24)</f>
        <v>0</v>
      </c>
      <c r="M24" s="35" t="str">
        <f>IF(OR(ISBLANK(N24),N24=0),"",Settings!$B$14)</f>
        <v/>
      </c>
      <c r="N24" s="30">
        <f>IF(ISBLANK(Inventory!A24),0,SUM(E24:G24)*Inventory!L24)</f>
        <v>0</v>
      </c>
      <c r="O24" s="35" t="str">
        <f>IF(OR(ISBLANK(P24),P24=0),"",Settings!$B$14)</f>
        <v/>
      </c>
      <c r="P24" s="30">
        <f>IF(ISBLANK(Inventory!A24),0,H24*Inventory!L24)</f>
        <v>0</v>
      </c>
    </row>
    <row r="25" spans="1:16" s="29" customFormat="1" ht="15" customHeight="1">
      <c r="A25" s="31" t="str">
        <f>IF(ISBLANK(Inventory!A25),"",Inventory!A25)</f>
        <v>Gordons' Gin</v>
      </c>
      <c r="B25" s="31" t="str">
        <f>IF(ISBLANK(Inventory!A25),"",Inventory!C25)</f>
        <v>1.5Ltr</v>
      </c>
      <c r="C25" s="187"/>
      <c r="D25" s="192"/>
      <c r="E25" s="187"/>
      <c r="F25" s="187"/>
      <c r="G25" s="187"/>
      <c r="H25" s="37">
        <f>IF(ISBLANK(Inventory!A25),0,C25+SUM('Week 3'!E25:G25)-SUM(E25:G25))</f>
        <v>0</v>
      </c>
      <c r="I25" s="35" t="str">
        <f>IF(OR(ISBLANK(J25),J25=0),"",Settings!$B$14)</f>
        <v/>
      </c>
      <c r="J25" s="30">
        <f>IF(ISBLANK(C25),0,C25*Inventory!F25)</f>
        <v>0</v>
      </c>
      <c r="K25" s="35" t="str">
        <f>IF(OR(ISBLANK(L25),L25=0),"",Settings!$B$14)</f>
        <v/>
      </c>
      <c r="L25" s="30">
        <f>IF(ISBLANK(Inventory!A25),0,SUM(E25:G25)*Inventory!F25)</f>
        <v>0</v>
      </c>
      <c r="M25" s="35" t="str">
        <f>IF(OR(ISBLANK(N25),N25=0),"",Settings!$B$14)</f>
        <v/>
      </c>
      <c r="N25" s="30">
        <f>IF(ISBLANK(Inventory!A25),0,SUM(E25:G25)*Inventory!L25)</f>
        <v>0</v>
      </c>
      <c r="O25" s="35" t="str">
        <f>IF(OR(ISBLANK(P25),P25=0),"",Settings!$B$14)</f>
        <v/>
      </c>
      <c r="P25" s="30">
        <f>IF(ISBLANK(Inventory!A25),0,H25*Inventory!L25)</f>
        <v>0</v>
      </c>
    </row>
    <row r="26" spans="1:16" s="29" customFormat="1" ht="15" customHeight="1">
      <c r="A26" s="31" t="str">
        <f>IF(ISBLANK(Inventory!A26),"",Inventory!A26)</f>
        <v>Bombay Sapphire</v>
      </c>
      <c r="B26" s="31" t="str">
        <f>IF(ISBLANK(Inventory!A26),"",Inventory!C26)</f>
        <v>70cl</v>
      </c>
      <c r="C26" s="187"/>
      <c r="D26" s="192"/>
      <c r="E26" s="187"/>
      <c r="F26" s="187"/>
      <c r="G26" s="187"/>
      <c r="H26" s="37">
        <f>IF(ISBLANK(Inventory!A26),0,C26+SUM('Week 3'!E26:G26)-SUM(E26:G26))</f>
        <v>0</v>
      </c>
      <c r="I26" s="35" t="str">
        <f>IF(OR(ISBLANK(J26),J26=0),"",Settings!$B$14)</f>
        <v/>
      </c>
      <c r="J26" s="30">
        <f>IF(ISBLANK(C26),0,C26*Inventory!F26)</f>
        <v>0</v>
      </c>
      <c r="K26" s="35" t="str">
        <f>IF(OR(ISBLANK(L26),L26=0),"",Settings!$B$14)</f>
        <v/>
      </c>
      <c r="L26" s="30">
        <f>IF(ISBLANK(Inventory!A26),0,SUM(E26:G26)*Inventory!F26)</f>
        <v>0</v>
      </c>
      <c r="M26" s="35" t="str">
        <f>IF(OR(ISBLANK(N26),N26=0),"",Settings!$B$14)</f>
        <v/>
      </c>
      <c r="N26" s="30">
        <f>IF(ISBLANK(Inventory!A26),0,SUM(E26:G26)*Inventory!L26)</f>
        <v>0</v>
      </c>
      <c r="O26" s="35" t="str">
        <f>IF(OR(ISBLANK(P26),P26=0),"",Settings!$B$14)</f>
        <v/>
      </c>
      <c r="P26" s="30">
        <f>IF(ISBLANK(Inventory!A26),0,H26*Inventory!L26)</f>
        <v>0</v>
      </c>
    </row>
    <row r="27" spans="1:16" s="29" customFormat="1" ht="15" customHeight="1">
      <c r="A27" s="31" t="str">
        <f>IF(ISBLANK(Inventory!A27),"",Inventory!A27)</f>
        <v>Smirnoff Red</v>
      </c>
      <c r="B27" s="31" t="str">
        <f>IF(ISBLANK(Inventory!A27),"",Inventory!C27)</f>
        <v>70cl</v>
      </c>
      <c r="C27" s="187"/>
      <c r="D27" s="192"/>
      <c r="E27" s="187"/>
      <c r="F27" s="187"/>
      <c r="G27" s="187"/>
      <c r="H27" s="37">
        <f>IF(ISBLANK(Inventory!A27),0,C27+SUM('Week 3'!E27:G27)-SUM(E27:G27))</f>
        <v>0</v>
      </c>
      <c r="I27" s="35" t="str">
        <f>IF(OR(ISBLANK(J27),J27=0),"",Settings!$B$14)</f>
        <v/>
      </c>
      <c r="J27" s="30">
        <f>IF(ISBLANK(C27),0,C27*Inventory!F27)</f>
        <v>0</v>
      </c>
      <c r="K27" s="35" t="str">
        <f>IF(OR(ISBLANK(L27),L27=0),"",Settings!$B$14)</f>
        <v/>
      </c>
      <c r="L27" s="30">
        <f>IF(ISBLANK(Inventory!A27),0,SUM(E27:G27)*Inventory!F27)</f>
        <v>0</v>
      </c>
      <c r="M27" s="35" t="str">
        <f>IF(OR(ISBLANK(N27),N27=0),"",Settings!$B$14)</f>
        <v/>
      </c>
      <c r="N27" s="30">
        <f>IF(ISBLANK(Inventory!A27),0,SUM(E27:G27)*Inventory!L27)</f>
        <v>0</v>
      </c>
      <c r="O27" s="35" t="str">
        <f>IF(OR(ISBLANK(P27),P27=0),"",Settings!$B$14)</f>
        <v/>
      </c>
      <c r="P27" s="30">
        <f>IF(ISBLANK(Inventory!A27),0,H27*Inventory!L27)</f>
        <v>0</v>
      </c>
    </row>
    <row r="28" spans="1:16" s="29" customFormat="1" ht="15" customHeight="1">
      <c r="A28" s="31" t="str">
        <f>IF(ISBLANK(Inventory!A28),"",Inventory!A28)</f>
        <v>Smirnoff Red</v>
      </c>
      <c r="B28" s="31" t="str">
        <f>IF(ISBLANK(Inventory!A28),"",Inventory!C28)</f>
        <v>1.5Ltr</v>
      </c>
      <c r="C28" s="187"/>
      <c r="D28" s="192"/>
      <c r="E28" s="187"/>
      <c r="F28" s="187"/>
      <c r="G28" s="187"/>
      <c r="H28" s="37">
        <f>IF(ISBLANK(Inventory!A28),0,C28+SUM('Week 3'!E28:G28)-SUM(E28:G28))</f>
        <v>0</v>
      </c>
      <c r="I28" s="35" t="str">
        <f>IF(OR(ISBLANK(J28),J28=0),"",Settings!$B$14)</f>
        <v/>
      </c>
      <c r="J28" s="30">
        <f>IF(ISBLANK(C28),0,C28*Inventory!F28)</f>
        <v>0</v>
      </c>
      <c r="K28" s="35" t="str">
        <f>IF(OR(ISBLANK(L28),L28=0),"",Settings!$B$14)</f>
        <v/>
      </c>
      <c r="L28" s="30">
        <f>IF(ISBLANK(Inventory!A28),0,SUM(E28:G28)*Inventory!F28)</f>
        <v>0</v>
      </c>
      <c r="M28" s="35" t="str">
        <f>IF(OR(ISBLANK(N28),N28=0),"",Settings!$B$14)</f>
        <v/>
      </c>
      <c r="N28" s="30">
        <f>IF(ISBLANK(Inventory!A28),0,SUM(E28:G28)*Inventory!L28)</f>
        <v>0</v>
      </c>
      <c r="O28" s="35" t="str">
        <f>IF(OR(ISBLANK(P28),P28=0),"",Settings!$B$14)</f>
        <v/>
      </c>
      <c r="P28" s="30">
        <f>IF(ISBLANK(Inventory!A28),0,H28*Inventory!L28)</f>
        <v>0</v>
      </c>
    </row>
    <row r="29" spans="1:16" s="29" customFormat="1" ht="15" customHeight="1">
      <c r="A29" s="31" t="str">
        <f>IF(ISBLANK(Inventory!A29),"",Inventory!A29)</f>
        <v>Absolut</v>
      </c>
      <c r="B29" s="31" t="str">
        <f>IF(ISBLANK(Inventory!A29),"",Inventory!C29)</f>
        <v>70cl</v>
      </c>
      <c r="C29" s="187"/>
      <c r="D29" s="192"/>
      <c r="E29" s="187"/>
      <c r="F29" s="187"/>
      <c r="G29" s="187"/>
      <c r="H29" s="37">
        <f>IF(ISBLANK(Inventory!A29),0,C29+SUM('Week 3'!E29:G29)-SUM(E29:G29))</f>
        <v>0</v>
      </c>
      <c r="I29" s="35" t="str">
        <f>IF(OR(ISBLANK(J29),J29=0),"",Settings!$B$14)</f>
        <v/>
      </c>
      <c r="J29" s="30">
        <f>IF(ISBLANK(C29),0,C29*Inventory!F29)</f>
        <v>0</v>
      </c>
      <c r="K29" s="35" t="str">
        <f>IF(OR(ISBLANK(L29),L29=0),"",Settings!$B$14)</f>
        <v/>
      </c>
      <c r="L29" s="30">
        <f>IF(ISBLANK(Inventory!A29),0,SUM(E29:G29)*Inventory!F29)</f>
        <v>0</v>
      </c>
      <c r="M29" s="35" t="str">
        <f>IF(OR(ISBLANK(N29),N29=0),"",Settings!$B$14)</f>
        <v/>
      </c>
      <c r="N29" s="30">
        <f>IF(ISBLANK(Inventory!A29),0,SUM(E29:G29)*Inventory!L29)</f>
        <v>0</v>
      </c>
      <c r="O29" s="35" t="str">
        <f>IF(OR(ISBLANK(P29),P29=0),"",Settings!$B$14)</f>
        <v/>
      </c>
      <c r="P29" s="30">
        <f>IF(ISBLANK(Inventory!A29),0,H29*Inventory!L29)</f>
        <v>0</v>
      </c>
    </row>
    <row r="30" spans="1:16" s="29" customFormat="1" ht="15" customHeight="1">
      <c r="A30" s="31" t="str">
        <f>IF(ISBLANK(Inventory!A30),"",Inventory!A30)</f>
        <v>Captain Morgan</v>
      </c>
      <c r="B30" s="31" t="str">
        <f>IF(ISBLANK(Inventory!A30),"",Inventory!C30)</f>
        <v>70cl</v>
      </c>
      <c r="C30" s="187"/>
      <c r="D30" s="192"/>
      <c r="E30" s="187"/>
      <c r="F30" s="187"/>
      <c r="G30" s="187"/>
      <c r="H30" s="37">
        <f>IF(ISBLANK(Inventory!A30),0,C30+SUM('Week 3'!E30:G30)-SUM(E30:G30))</f>
        <v>0</v>
      </c>
      <c r="I30" s="35" t="str">
        <f>IF(OR(ISBLANK(J30),J30=0),"",Settings!$B$14)</f>
        <v/>
      </c>
      <c r="J30" s="30">
        <f>IF(ISBLANK(C30),0,C30*Inventory!F30)</f>
        <v>0</v>
      </c>
      <c r="K30" s="35" t="str">
        <f>IF(OR(ISBLANK(L30),L30=0),"",Settings!$B$14)</f>
        <v/>
      </c>
      <c r="L30" s="30">
        <f>IF(ISBLANK(Inventory!A30),0,SUM(E30:G30)*Inventory!F30)</f>
        <v>0</v>
      </c>
      <c r="M30" s="35" t="str">
        <f>IF(OR(ISBLANK(N30),N30=0),"",Settings!$B$14)</f>
        <v/>
      </c>
      <c r="N30" s="30">
        <f>IF(ISBLANK(Inventory!A30),0,SUM(E30:G30)*Inventory!L30)</f>
        <v>0</v>
      </c>
      <c r="O30" s="35" t="str">
        <f>IF(OR(ISBLANK(P30),P30=0),"",Settings!$B$14)</f>
        <v/>
      </c>
      <c r="P30" s="30">
        <f>IF(ISBLANK(Inventory!A30),0,H30*Inventory!L30)</f>
        <v>0</v>
      </c>
    </row>
    <row r="31" spans="1:16" s="29" customFormat="1" ht="15" customHeight="1">
      <c r="A31" s="31" t="str">
        <f>IF(ISBLANK(Inventory!A31),"",Inventory!A31)</f>
        <v>Bacardi</v>
      </c>
      <c r="B31" s="31" t="str">
        <f>IF(ISBLANK(Inventory!A31),"",Inventory!C31)</f>
        <v>70cl</v>
      </c>
      <c r="C31" s="187"/>
      <c r="D31" s="192"/>
      <c r="E31" s="187"/>
      <c r="F31" s="187"/>
      <c r="G31" s="187"/>
      <c r="H31" s="37">
        <f>IF(ISBLANK(Inventory!A31),0,C31+SUM('Week 3'!E31:G31)-SUM(E31:G31))</f>
        <v>0</v>
      </c>
      <c r="I31" s="35" t="str">
        <f>IF(OR(ISBLANK(J31),J31=0),"",Settings!$B$14)</f>
        <v/>
      </c>
      <c r="J31" s="30">
        <f>IF(ISBLANK(C31),0,C31*Inventory!F31)</f>
        <v>0</v>
      </c>
      <c r="K31" s="35" t="str">
        <f>IF(OR(ISBLANK(L31),L31=0),"",Settings!$B$14)</f>
        <v/>
      </c>
      <c r="L31" s="30">
        <f>IF(ISBLANK(Inventory!A31),0,SUM(E31:G31)*Inventory!F31)</f>
        <v>0</v>
      </c>
      <c r="M31" s="35" t="str">
        <f>IF(OR(ISBLANK(N31),N31=0),"",Settings!$B$14)</f>
        <v/>
      </c>
      <c r="N31" s="30">
        <f>IF(ISBLANK(Inventory!A31),0,SUM(E31:G31)*Inventory!L31)</f>
        <v>0</v>
      </c>
      <c r="O31" s="35" t="str">
        <f>IF(OR(ISBLANK(P31),P31=0),"",Settings!$B$14)</f>
        <v/>
      </c>
      <c r="P31" s="30">
        <f>IF(ISBLANK(Inventory!A31),0,H31*Inventory!L31)</f>
        <v>0</v>
      </c>
    </row>
    <row r="32" spans="1:16" s="29" customFormat="1" ht="15" customHeight="1">
      <c r="A32" s="31" t="str">
        <f>IF(ISBLANK(Inventory!A32),"",Inventory!A32)</f>
        <v>Bacardi</v>
      </c>
      <c r="B32" s="31" t="str">
        <f>IF(ISBLANK(Inventory!A32),"",Inventory!C32)</f>
        <v>1.5Ltr</v>
      </c>
      <c r="C32" s="187"/>
      <c r="D32" s="192"/>
      <c r="E32" s="187"/>
      <c r="F32" s="187"/>
      <c r="G32" s="187"/>
      <c r="H32" s="37">
        <f>IF(ISBLANK(Inventory!A32),0,C32+SUM('Week 3'!E32:G32)-SUM(E32:G32))</f>
        <v>0</v>
      </c>
      <c r="I32" s="35" t="str">
        <f>IF(OR(ISBLANK(J32),J32=0),"",Settings!$B$14)</f>
        <v/>
      </c>
      <c r="J32" s="30">
        <f>IF(ISBLANK(C32),0,C32*Inventory!F32)</f>
        <v>0</v>
      </c>
      <c r="K32" s="35" t="str">
        <f>IF(OR(ISBLANK(L32),L32=0),"",Settings!$B$14)</f>
        <v/>
      </c>
      <c r="L32" s="30">
        <f>IF(ISBLANK(Inventory!A32),0,SUM(E32:G32)*Inventory!F32)</f>
        <v>0</v>
      </c>
      <c r="M32" s="35" t="str">
        <f>IF(OR(ISBLANK(N32),N32=0),"",Settings!$B$14)</f>
        <v/>
      </c>
      <c r="N32" s="30">
        <f>IF(ISBLANK(Inventory!A32),0,SUM(E32:G32)*Inventory!L32)</f>
        <v>0</v>
      </c>
      <c r="O32" s="35" t="str">
        <f>IF(OR(ISBLANK(P32),P32=0),"",Settings!$B$14)</f>
        <v/>
      </c>
      <c r="P32" s="30">
        <f>IF(ISBLANK(Inventory!A32),0,H32*Inventory!L32)</f>
        <v>0</v>
      </c>
    </row>
    <row r="33" spans="1:16" s="29" customFormat="1" ht="15" customHeight="1">
      <c r="A33" s="31" t="str">
        <f>IF(ISBLANK(Inventory!A33),"",Inventory!A33)</f>
        <v>Martell ***</v>
      </c>
      <c r="B33" s="31" t="str">
        <f>IF(ISBLANK(Inventory!A33),"",Inventory!C33)</f>
        <v>70cl</v>
      </c>
      <c r="C33" s="187"/>
      <c r="D33" s="192"/>
      <c r="E33" s="187"/>
      <c r="F33" s="187"/>
      <c r="G33" s="187"/>
      <c r="H33" s="37">
        <f>IF(ISBLANK(Inventory!A33),0,C33+SUM('Week 3'!E33:G33)-SUM(E33:G33))</f>
        <v>0</v>
      </c>
      <c r="I33" s="35" t="str">
        <f>IF(OR(ISBLANK(J33),J33=0),"",Settings!$B$14)</f>
        <v/>
      </c>
      <c r="J33" s="30">
        <f>IF(ISBLANK(C33),0,C33*Inventory!F33)</f>
        <v>0</v>
      </c>
      <c r="K33" s="35" t="str">
        <f>IF(OR(ISBLANK(L33),L33=0),"",Settings!$B$14)</f>
        <v/>
      </c>
      <c r="L33" s="30">
        <f>IF(ISBLANK(Inventory!A33),0,SUM(E33:G33)*Inventory!F33)</f>
        <v>0</v>
      </c>
      <c r="M33" s="35" t="str">
        <f>IF(OR(ISBLANK(N33),N33=0),"",Settings!$B$14)</f>
        <v/>
      </c>
      <c r="N33" s="30">
        <f>IF(ISBLANK(Inventory!A33),0,SUM(E33:G33)*Inventory!L33)</f>
        <v>0</v>
      </c>
      <c r="O33" s="35" t="str">
        <f>IF(OR(ISBLANK(P33),P33=0),"",Settings!$B$14)</f>
        <v/>
      </c>
      <c r="P33" s="30">
        <f>IF(ISBLANK(Inventory!A33),0,H33*Inventory!L33)</f>
        <v>0</v>
      </c>
    </row>
    <row r="34" spans="1:16" s="29" customFormat="1" ht="15" customHeight="1">
      <c r="A34" s="31" t="str">
        <f>IF(ISBLANK(Inventory!A34),"",Inventory!A34)</f>
        <v>Martell ***</v>
      </c>
      <c r="B34" s="31" t="str">
        <f>IF(ISBLANK(Inventory!A34),"",Inventory!C34)</f>
        <v>1.5Ltr</v>
      </c>
      <c r="C34" s="187"/>
      <c r="D34" s="192"/>
      <c r="E34" s="187"/>
      <c r="F34" s="187"/>
      <c r="G34" s="187"/>
      <c r="H34" s="37">
        <f>IF(ISBLANK(Inventory!A34),0,C34+SUM('Week 3'!E34:G34)-SUM(E34:G34))</f>
        <v>0</v>
      </c>
      <c r="I34" s="35" t="str">
        <f>IF(OR(ISBLANK(J34),J34=0),"",Settings!$B$14)</f>
        <v/>
      </c>
      <c r="J34" s="30">
        <f>IF(ISBLANK(C34),0,C34*Inventory!F34)</f>
        <v>0</v>
      </c>
      <c r="K34" s="35" t="str">
        <f>IF(OR(ISBLANK(L34),L34=0),"",Settings!$B$14)</f>
        <v/>
      </c>
      <c r="L34" s="30">
        <f>IF(ISBLANK(Inventory!A34),0,SUM(E34:G34)*Inventory!F34)</f>
        <v>0</v>
      </c>
      <c r="M34" s="35" t="str">
        <f>IF(OR(ISBLANK(N34),N34=0),"",Settings!$B$14)</f>
        <v/>
      </c>
      <c r="N34" s="30">
        <f>IF(ISBLANK(Inventory!A34),0,SUM(E34:G34)*Inventory!L34)</f>
        <v>0</v>
      </c>
      <c r="O34" s="35" t="str">
        <f>IF(OR(ISBLANK(P34),P34=0),"",Settings!$B$14)</f>
        <v/>
      </c>
      <c r="P34" s="30">
        <f>IF(ISBLANK(Inventory!A34),0,H34*Inventory!L34)</f>
        <v>0</v>
      </c>
    </row>
    <row r="35" spans="1:16" s="29" customFormat="1" ht="15" customHeight="1">
      <c r="A35" s="31" t="str">
        <f>IF(ISBLANK(Inventory!A35),"",Inventory!A35)</f>
        <v>Remy Martin</v>
      </c>
      <c r="B35" s="31" t="str">
        <f>IF(ISBLANK(Inventory!A35),"",Inventory!C35)</f>
        <v>70cl</v>
      </c>
      <c r="C35" s="187"/>
      <c r="D35" s="192"/>
      <c r="E35" s="187"/>
      <c r="F35" s="187"/>
      <c r="G35" s="187"/>
      <c r="H35" s="37">
        <f>IF(ISBLANK(Inventory!A35),0,C35+SUM('Week 3'!E35:G35)-SUM(E35:G35))</f>
        <v>0</v>
      </c>
      <c r="I35" s="35" t="str">
        <f>IF(OR(ISBLANK(J35),J35=0),"",Settings!$B$14)</f>
        <v/>
      </c>
      <c r="J35" s="30">
        <f>IF(ISBLANK(C35),0,C35*Inventory!F35)</f>
        <v>0</v>
      </c>
      <c r="K35" s="35" t="str">
        <f>IF(OR(ISBLANK(L35),L35=0),"",Settings!$B$14)</f>
        <v/>
      </c>
      <c r="L35" s="30">
        <f>IF(ISBLANK(Inventory!A35),0,SUM(E35:G35)*Inventory!F35)</f>
        <v>0</v>
      </c>
      <c r="M35" s="35" t="str">
        <f>IF(OR(ISBLANK(N35),N35=0),"",Settings!$B$14)</f>
        <v/>
      </c>
      <c r="N35" s="30">
        <f>IF(ISBLANK(Inventory!A35),0,SUM(E35:G35)*Inventory!L35)</f>
        <v>0</v>
      </c>
      <c r="O35" s="35" t="str">
        <f>IF(OR(ISBLANK(P35),P35=0),"",Settings!$B$14)</f>
        <v/>
      </c>
      <c r="P35" s="30">
        <f>IF(ISBLANK(Inventory!A35),0,H35*Inventory!L35)</f>
        <v>0</v>
      </c>
    </row>
    <row r="36" spans="1:16" s="29" customFormat="1" ht="15" customHeight="1">
      <c r="A36" s="31" t="str">
        <f>IF(ISBLANK(Inventory!A36),"",Inventory!A36)</f>
        <v>Baileys</v>
      </c>
      <c r="B36" s="31" t="str">
        <f>IF(ISBLANK(Inventory!A36),"",Inventory!C36)</f>
        <v>70cl</v>
      </c>
      <c r="C36" s="187"/>
      <c r="D36" s="192"/>
      <c r="E36" s="187"/>
      <c r="F36" s="187"/>
      <c r="G36" s="187"/>
      <c r="H36" s="37">
        <f>IF(ISBLANK(Inventory!A36),0,C36+SUM('Week 3'!E36:G36)-SUM(E36:G36))</f>
        <v>0</v>
      </c>
      <c r="I36" s="35" t="str">
        <f>IF(OR(ISBLANK(J36),J36=0),"",Settings!$B$14)</f>
        <v/>
      </c>
      <c r="J36" s="30">
        <f>IF(ISBLANK(C36),0,C36*Inventory!F36)</f>
        <v>0</v>
      </c>
      <c r="K36" s="35" t="str">
        <f>IF(OR(ISBLANK(L36),L36=0),"",Settings!$B$14)</f>
        <v/>
      </c>
      <c r="L36" s="30">
        <f>IF(ISBLANK(Inventory!A36),0,SUM(E36:G36)*Inventory!F36)</f>
        <v>0</v>
      </c>
      <c r="M36" s="35" t="str">
        <f>IF(OR(ISBLANK(N36),N36=0),"",Settings!$B$14)</f>
        <v/>
      </c>
      <c r="N36" s="30">
        <f>IF(ISBLANK(Inventory!A36),0,SUM(E36:G36)*Inventory!L36)</f>
        <v>0</v>
      </c>
      <c r="O36" s="35" t="str">
        <f>IF(OR(ISBLANK(P36),P36=0),"",Settings!$B$14)</f>
        <v/>
      </c>
      <c r="P36" s="30">
        <f>IF(ISBLANK(Inventory!A36),0,H36*Inventory!L36)</f>
        <v>0</v>
      </c>
    </row>
    <row r="37" spans="1:16" s="29" customFormat="1" ht="15" customHeight="1">
      <c r="A37" s="31" t="str">
        <f>IF(ISBLANK(Inventory!A37),"",Inventory!A37)</f>
        <v>Baileys</v>
      </c>
      <c r="B37" s="31" t="str">
        <f>IF(ISBLANK(Inventory!A37),"",Inventory!C37)</f>
        <v>1.5Ltr</v>
      </c>
      <c r="C37" s="187"/>
      <c r="D37" s="192"/>
      <c r="E37" s="187"/>
      <c r="F37" s="187"/>
      <c r="G37" s="187"/>
      <c r="H37" s="37">
        <f>IF(ISBLANK(Inventory!A37),0,C37+SUM('Week 3'!E37:G37)-SUM(E37:G37))</f>
        <v>0</v>
      </c>
      <c r="I37" s="35" t="str">
        <f>IF(OR(ISBLANK(J37),J37=0),"",Settings!$B$14)</f>
        <v/>
      </c>
      <c r="J37" s="30">
        <f>IF(ISBLANK(C37),0,C37*Inventory!F37)</f>
        <v>0</v>
      </c>
      <c r="K37" s="35" t="str">
        <f>IF(OR(ISBLANK(L37),L37=0),"",Settings!$B$14)</f>
        <v/>
      </c>
      <c r="L37" s="30">
        <f>IF(ISBLANK(Inventory!A37),0,SUM(E37:G37)*Inventory!F37)</f>
        <v>0</v>
      </c>
      <c r="M37" s="35" t="str">
        <f>IF(OR(ISBLANK(N37),N37=0),"",Settings!$B$14)</f>
        <v/>
      </c>
      <c r="N37" s="30">
        <f>IF(ISBLANK(Inventory!A37),0,SUM(E37:G37)*Inventory!L37)</f>
        <v>0</v>
      </c>
      <c r="O37" s="35" t="str">
        <f>IF(OR(ISBLANK(P37),P37=0),"",Settings!$B$14)</f>
        <v/>
      </c>
      <c r="P37" s="30">
        <f>IF(ISBLANK(Inventory!A37),0,H37*Inventory!L37)</f>
        <v>0</v>
      </c>
    </row>
    <row r="38" spans="1:16" s="29" customFormat="1" ht="15" customHeight="1">
      <c r="A38" s="31" t="str">
        <f>IF(ISBLANK(Inventory!A38),"",Inventory!A38)</f>
        <v>Cointreau</v>
      </c>
      <c r="B38" s="31" t="str">
        <f>IF(ISBLANK(Inventory!A38),"",Inventory!C38)</f>
        <v>70cl</v>
      </c>
      <c r="C38" s="187"/>
      <c r="D38" s="192"/>
      <c r="E38" s="187"/>
      <c r="F38" s="187"/>
      <c r="G38" s="187"/>
      <c r="H38" s="37">
        <f>IF(ISBLANK(Inventory!A38),0,C38+SUM('Week 3'!E38:G38)-SUM(E38:G38))</f>
        <v>0</v>
      </c>
      <c r="I38" s="35" t="str">
        <f>IF(OR(ISBLANK(J38),J38=0),"",Settings!$B$14)</f>
        <v/>
      </c>
      <c r="J38" s="30">
        <f>IF(ISBLANK(C38),0,C38*Inventory!F38)</f>
        <v>0</v>
      </c>
      <c r="K38" s="35" t="str">
        <f>IF(OR(ISBLANK(L38),L38=0),"",Settings!$B$14)</f>
        <v/>
      </c>
      <c r="L38" s="30">
        <f>IF(ISBLANK(Inventory!A38),0,SUM(E38:G38)*Inventory!F38)</f>
        <v>0</v>
      </c>
      <c r="M38" s="35" t="str">
        <f>IF(OR(ISBLANK(N38),N38=0),"",Settings!$B$14)</f>
        <v/>
      </c>
      <c r="N38" s="30">
        <f>IF(ISBLANK(Inventory!A38),0,SUM(E38:G38)*Inventory!L38)</f>
        <v>0</v>
      </c>
      <c r="O38" s="35" t="str">
        <f>IF(OR(ISBLANK(P38),P38=0),"",Settings!$B$14)</f>
        <v/>
      </c>
      <c r="P38" s="30">
        <f>IF(ISBLANK(Inventory!A38),0,H38*Inventory!L38)</f>
        <v>0</v>
      </c>
    </row>
    <row r="39" spans="1:16" s="29" customFormat="1" ht="15" customHeight="1">
      <c r="A39" s="31" t="str">
        <f>IF(ISBLANK(Inventory!A39),"",Inventory!A39)</f>
        <v>Drambuie</v>
      </c>
      <c r="B39" s="31" t="str">
        <f>IF(ISBLANK(Inventory!A39),"",Inventory!C39)</f>
        <v>70cl</v>
      </c>
      <c r="C39" s="187"/>
      <c r="D39" s="192"/>
      <c r="E39" s="187"/>
      <c r="F39" s="187"/>
      <c r="G39" s="187"/>
      <c r="H39" s="37">
        <f>IF(ISBLANK(Inventory!A39),0,C39+SUM('Week 3'!E39:G39)-SUM(E39:G39))</f>
        <v>0</v>
      </c>
      <c r="I39" s="35" t="str">
        <f>IF(OR(ISBLANK(J39),J39=0),"",Settings!$B$14)</f>
        <v/>
      </c>
      <c r="J39" s="30">
        <f>IF(ISBLANK(C39),0,C39*Inventory!F39)</f>
        <v>0</v>
      </c>
      <c r="K39" s="35" t="str">
        <f>IF(OR(ISBLANK(L39),L39=0),"",Settings!$B$14)</f>
        <v/>
      </c>
      <c r="L39" s="30">
        <f>IF(ISBLANK(Inventory!A39),0,SUM(E39:G39)*Inventory!F39)</f>
        <v>0</v>
      </c>
      <c r="M39" s="35" t="str">
        <f>IF(OR(ISBLANK(N39),N39=0),"",Settings!$B$14)</f>
        <v/>
      </c>
      <c r="N39" s="30">
        <f>IF(ISBLANK(Inventory!A39),0,SUM(E39:G39)*Inventory!L39)</f>
        <v>0</v>
      </c>
      <c r="O39" s="35" t="str">
        <f>IF(OR(ISBLANK(P39),P39=0),"",Settings!$B$14)</f>
        <v/>
      </c>
      <c r="P39" s="30">
        <f>IF(ISBLANK(Inventory!A39),0,H39*Inventory!L39)</f>
        <v>0</v>
      </c>
    </row>
    <row r="40" spans="1:16" s="29" customFormat="1" ht="15" customHeight="1">
      <c r="A40" s="31" t="str">
        <f>IF(ISBLANK(Inventory!A40),"",Inventory!A40)</f>
        <v>Malibu</v>
      </c>
      <c r="B40" s="31" t="str">
        <f>IF(ISBLANK(Inventory!A40),"",Inventory!C40)</f>
        <v>70cl</v>
      </c>
      <c r="C40" s="187"/>
      <c r="D40" s="192"/>
      <c r="E40" s="187"/>
      <c r="F40" s="187"/>
      <c r="G40" s="187"/>
      <c r="H40" s="37">
        <f>IF(ISBLANK(Inventory!A40),0,C40+SUM('Week 3'!E40:G40)-SUM(E40:G40))</f>
        <v>0</v>
      </c>
      <c r="I40" s="35" t="str">
        <f>IF(OR(ISBLANK(J40),J40=0),"",Settings!$B$14)</f>
        <v/>
      </c>
      <c r="J40" s="30">
        <f>IF(ISBLANK(C40),0,C40*Inventory!F40)</f>
        <v>0</v>
      </c>
      <c r="K40" s="35" t="str">
        <f>IF(OR(ISBLANK(L40),L40=0),"",Settings!$B$14)</f>
        <v/>
      </c>
      <c r="L40" s="30">
        <f>IF(ISBLANK(Inventory!A40),0,SUM(E40:G40)*Inventory!F40)</f>
        <v>0</v>
      </c>
      <c r="M40" s="35" t="str">
        <f>IF(OR(ISBLANK(N40),N40=0),"",Settings!$B$14)</f>
        <v/>
      </c>
      <c r="N40" s="30">
        <f>IF(ISBLANK(Inventory!A40),0,SUM(E40:G40)*Inventory!L40)</f>
        <v>0</v>
      </c>
      <c r="O40" s="35" t="str">
        <f>IF(OR(ISBLANK(P40),P40=0),"",Settings!$B$14)</f>
        <v/>
      </c>
      <c r="P40" s="30">
        <f>IF(ISBLANK(Inventory!A40),0,H40*Inventory!L40)</f>
        <v>0</v>
      </c>
    </row>
    <row r="41" spans="1:16" s="29" customFormat="1" ht="15" customHeight="1">
      <c r="A41" s="31" t="str">
        <f>IF(ISBLANK(Inventory!A41),"",Inventory!A41)</f>
        <v>Malibu</v>
      </c>
      <c r="B41" s="31" t="str">
        <f>IF(ISBLANK(Inventory!A41),"",Inventory!C41)</f>
        <v>1.5Ltr</v>
      </c>
      <c r="C41" s="187"/>
      <c r="D41" s="192"/>
      <c r="E41" s="187"/>
      <c r="F41" s="187"/>
      <c r="G41" s="187"/>
      <c r="H41" s="37">
        <f>IF(ISBLANK(Inventory!A41),0,C41+SUM('Week 3'!E41:G41)-SUM(E41:G41))</f>
        <v>0</v>
      </c>
      <c r="I41" s="35" t="str">
        <f>IF(OR(ISBLANK(J41),J41=0),"",Settings!$B$14)</f>
        <v/>
      </c>
      <c r="J41" s="30">
        <f>IF(ISBLANK(C41),0,C41*Inventory!F41)</f>
        <v>0</v>
      </c>
      <c r="K41" s="35" t="str">
        <f>IF(OR(ISBLANK(L41),L41=0),"",Settings!$B$14)</f>
        <v/>
      </c>
      <c r="L41" s="30">
        <f>IF(ISBLANK(Inventory!A41),0,SUM(E41:G41)*Inventory!F41)</f>
        <v>0</v>
      </c>
      <c r="M41" s="35" t="str">
        <f>IF(OR(ISBLANK(N41),N41=0),"",Settings!$B$14)</f>
        <v/>
      </c>
      <c r="N41" s="30">
        <f>IF(ISBLANK(Inventory!A41),0,SUM(E41:G41)*Inventory!L41)</f>
        <v>0</v>
      </c>
      <c r="O41" s="35" t="str">
        <f>IF(OR(ISBLANK(P41),P41=0),"",Settings!$B$14)</f>
        <v/>
      </c>
      <c r="P41" s="30">
        <f>IF(ISBLANK(Inventory!A41),0,H41*Inventory!L41)</f>
        <v>0</v>
      </c>
    </row>
    <row r="42" spans="1:16" s="29" customFormat="1" ht="15" customHeight="1">
      <c r="A42" s="31" t="str">
        <f>IF(ISBLANK(Inventory!A42),"",Inventory!A42)</f>
        <v>Archers</v>
      </c>
      <c r="B42" s="31" t="str">
        <f>IF(ISBLANK(Inventory!A42),"",Inventory!C42)</f>
        <v>70cl</v>
      </c>
      <c r="C42" s="187"/>
      <c r="D42" s="192"/>
      <c r="E42" s="187"/>
      <c r="F42" s="187"/>
      <c r="G42" s="187"/>
      <c r="H42" s="37">
        <f>IF(ISBLANK(Inventory!A42),0,C42+SUM('Week 3'!E42:G42)-SUM(E42:G42))</f>
        <v>0</v>
      </c>
      <c r="I42" s="35" t="str">
        <f>IF(OR(ISBLANK(J42),J42=0),"",Settings!$B$14)</f>
        <v/>
      </c>
      <c r="J42" s="30">
        <f>IF(ISBLANK(C42),0,C42*Inventory!F42)</f>
        <v>0</v>
      </c>
      <c r="K42" s="35" t="str">
        <f>IF(OR(ISBLANK(L42),L42=0),"",Settings!$B$14)</f>
        <v/>
      </c>
      <c r="L42" s="30">
        <f>IF(ISBLANK(Inventory!A42),0,SUM(E42:G42)*Inventory!F42)</f>
        <v>0</v>
      </c>
      <c r="M42" s="35" t="str">
        <f>IF(OR(ISBLANK(N42),N42=0),"",Settings!$B$14)</f>
        <v/>
      </c>
      <c r="N42" s="30">
        <f>IF(ISBLANK(Inventory!A42),0,SUM(E42:G42)*Inventory!L42)</f>
        <v>0</v>
      </c>
      <c r="O42" s="35" t="str">
        <f>IF(OR(ISBLANK(P42),P42=0),"",Settings!$B$14)</f>
        <v/>
      </c>
      <c r="P42" s="30">
        <f>IF(ISBLANK(Inventory!A42),0,H42*Inventory!L42)</f>
        <v>0</v>
      </c>
    </row>
    <row r="43" spans="1:16" s="29" customFormat="1" ht="15" customHeight="1">
      <c r="A43" s="31" t="str">
        <f>IF(ISBLANK(Inventory!A43),"",Inventory!A43)</f>
        <v>Archers</v>
      </c>
      <c r="B43" s="31" t="str">
        <f>IF(ISBLANK(Inventory!A43),"",Inventory!C43)</f>
        <v>70cl</v>
      </c>
      <c r="C43" s="187"/>
      <c r="D43" s="192"/>
      <c r="E43" s="187"/>
      <c r="F43" s="187"/>
      <c r="G43" s="187"/>
      <c r="H43" s="37">
        <f>IF(ISBLANK(Inventory!A43),0,C43+SUM('Week 3'!E43:G43)-SUM(E43:G43))</f>
        <v>0</v>
      </c>
      <c r="I43" s="35" t="str">
        <f>IF(OR(ISBLANK(J43),J43=0),"",Settings!$B$14)</f>
        <v/>
      </c>
      <c r="J43" s="30">
        <f>IF(ISBLANK(C43),0,C43*Inventory!F43)</f>
        <v>0</v>
      </c>
      <c r="K43" s="35" t="str">
        <f>IF(OR(ISBLANK(L43),L43=0),"",Settings!$B$14)</f>
        <v/>
      </c>
      <c r="L43" s="30">
        <f>IF(ISBLANK(Inventory!A43),0,SUM(E43:G43)*Inventory!F43)</f>
        <v>0</v>
      </c>
      <c r="M43" s="35" t="str">
        <f>IF(OR(ISBLANK(N43),N43=0),"",Settings!$B$14)</f>
        <v/>
      </c>
      <c r="N43" s="30">
        <f>IF(ISBLANK(Inventory!A43),0,SUM(E43:G43)*Inventory!L43)</f>
        <v>0</v>
      </c>
      <c r="O43" s="35" t="str">
        <f>IF(OR(ISBLANK(P43),P43=0),"",Settings!$B$14)</f>
        <v/>
      </c>
      <c r="P43" s="30">
        <f>IF(ISBLANK(Inventory!A43),0,H43*Inventory!L43)</f>
        <v>0</v>
      </c>
    </row>
    <row r="44" spans="1:16" s="29" customFormat="1" ht="15" customHeight="1">
      <c r="A44" s="31" t="str">
        <f>IF(ISBLANK(Inventory!A44),"",Inventory!A44)</f>
        <v>Tequila</v>
      </c>
      <c r="B44" s="31" t="str">
        <f>IF(ISBLANK(Inventory!A44),"",Inventory!C44)</f>
        <v>70cl</v>
      </c>
      <c r="C44" s="187"/>
      <c r="D44" s="192"/>
      <c r="E44" s="187"/>
      <c r="F44" s="187"/>
      <c r="G44" s="187"/>
      <c r="H44" s="37">
        <f>IF(ISBLANK(Inventory!A44),0,C44+SUM('Week 3'!E44:G44)-SUM(E44:G44))</f>
        <v>0</v>
      </c>
      <c r="I44" s="35" t="str">
        <f>IF(OR(ISBLANK(J44),J44=0),"",Settings!$B$14)</f>
        <v/>
      </c>
      <c r="J44" s="30">
        <f>IF(ISBLANK(C44),0,C44*Inventory!F44)</f>
        <v>0</v>
      </c>
      <c r="K44" s="35" t="str">
        <f>IF(OR(ISBLANK(L44),L44=0),"",Settings!$B$14)</f>
        <v/>
      </c>
      <c r="L44" s="30">
        <f>IF(ISBLANK(Inventory!A44),0,SUM(E44:G44)*Inventory!F44)</f>
        <v>0</v>
      </c>
      <c r="M44" s="35" t="str">
        <f>IF(OR(ISBLANK(N44),N44=0),"",Settings!$B$14)</f>
        <v/>
      </c>
      <c r="N44" s="30">
        <f>IF(ISBLANK(Inventory!A44),0,SUM(E44:G44)*Inventory!L44)</f>
        <v>0</v>
      </c>
      <c r="O44" s="35" t="str">
        <f>IF(OR(ISBLANK(P44),P44=0),"",Settings!$B$14)</f>
        <v/>
      </c>
      <c r="P44" s="30">
        <f>IF(ISBLANK(Inventory!A44),0,H44*Inventory!L44)</f>
        <v>0</v>
      </c>
    </row>
    <row r="45" spans="1:16" s="29" customFormat="1" ht="15" customHeight="1">
      <c r="A45" s="31" t="str">
        <f>IF(ISBLANK(Inventory!A45),"",Inventory!A45)</f>
        <v>Luxardo Sambuca</v>
      </c>
      <c r="B45" s="31" t="str">
        <f>IF(ISBLANK(Inventory!A45),"",Inventory!C45)</f>
        <v>70cl</v>
      </c>
      <c r="C45" s="187"/>
      <c r="D45" s="192"/>
      <c r="E45" s="187"/>
      <c r="F45" s="187"/>
      <c r="G45" s="187"/>
      <c r="H45" s="37">
        <f>IF(ISBLANK(Inventory!A45),0,C45+SUM('Week 3'!E45:G45)-SUM(E45:G45))</f>
        <v>0</v>
      </c>
      <c r="I45" s="35" t="str">
        <f>IF(OR(ISBLANK(J45),J45=0),"",Settings!$B$14)</f>
        <v/>
      </c>
      <c r="J45" s="30">
        <f>IF(ISBLANK(C45),0,C45*Inventory!F45)</f>
        <v>0</v>
      </c>
      <c r="K45" s="35" t="str">
        <f>IF(OR(ISBLANK(L45),L45=0),"",Settings!$B$14)</f>
        <v/>
      </c>
      <c r="L45" s="30">
        <f>IF(ISBLANK(Inventory!A45),0,SUM(E45:G45)*Inventory!F45)</f>
        <v>0</v>
      </c>
      <c r="M45" s="35" t="str">
        <f>IF(OR(ISBLANK(N45),N45=0),"",Settings!$B$14)</f>
        <v/>
      </c>
      <c r="N45" s="30">
        <f>IF(ISBLANK(Inventory!A45),0,SUM(E45:G45)*Inventory!L45)</f>
        <v>0</v>
      </c>
      <c r="O45" s="35" t="str">
        <f>IF(OR(ISBLANK(P45),P45=0),"",Settings!$B$14)</f>
        <v/>
      </c>
      <c r="P45" s="30">
        <f>IF(ISBLANK(Inventory!A45),0,H45*Inventory!L45)</f>
        <v>0</v>
      </c>
    </row>
    <row r="46" spans="1:16" s="29" customFormat="1" ht="15" customHeight="1">
      <c r="A46" s="31" t="str">
        <f>IF(ISBLANK(Inventory!A46),"",Inventory!A46)</f>
        <v>Tia Maria</v>
      </c>
      <c r="B46" s="31" t="str">
        <f>IF(ISBLANK(Inventory!A46),"",Inventory!C46)</f>
        <v>70cl</v>
      </c>
      <c r="C46" s="187"/>
      <c r="D46" s="192"/>
      <c r="E46" s="187"/>
      <c r="F46" s="187"/>
      <c r="G46" s="187"/>
      <c r="H46" s="37">
        <f>IF(ISBLANK(Inventory!A46),0,C46+SUM('Week 3'!E46:G46)-SUM(E46:G46))</f>
        <v>0</v>
      </c>
      <c r="I46" s="35" t="str">
        <f>IF(OR(ISBLANK(J46),J46=0),"",Settings!$B$14)</f>
        <v/>
      </c>
      <c r="J46" s="30">
        <f>IF(ISBLANK(C46),0,C46*Inventory!F46)</f>
        <v>0</v>
      </c>
      <c r="K46" s="35" t="str">
        <f>IF(OR(ISBLANK(L46),L46=0),"",Settings!$B$14)</f>
        <v/>
      </c>
      <c r="L46" s="30">
        <f>IF(ISBLANK(Inventory!A46),0,SUM(E46:G46)*Inventory!F46)</f>
        <v>0</v>
      </c>
      <c r="M46" s="35" t="str">
        <f>IF(OR(ISBLANK(N46),N46=0),"",Settings!$B$14)</f>
        <v/>
      </c>
      <c r="N46" s="30">
        <f>IF(ISBLANK(Inventory!A46),0,SUM(E46:G46)*Inventory!L46)</f>
        <v>0</v>
      </c>
      <c r="O46" s="35" t="str">
        <f>IF(OR(ISBLANK(P46),P46=0),"",Settings!$B$14)</f>
        <v/>
      </c>
      <c r="P46" s="30">
        <f>IF(ISBLANK(Inventory!A46),0,H46*Inventory!L46)</f>
        <v>0</v>
      </c>
    </row>
    <row r="47" spans="1:16" s="29" customFormat="1" ht="15" customHeight="1">
      <c r="A47" s="31" t="str">
        <f>IF(ISBLANK(Inventory!A47),"",Inventory!A47)</f>
        <v>Tia Maria</v>
      </c>
      <c r="B47" s="31" t="str">
        <f>IF(ISBLANK(Inventory!A47),"",Inventory!C47)</f>
        <v>1.5ltr</v>
      </c>
      <c r="C47" s="187"/>
      <c r="D47" s="192"/>
      <c r="E47" s="187"/>
      <c r="F47" s="187"/>
      <c r="G47" s="187"/>
      <c r="H47" s="37">
        <f>IF(ISBLANK(Inventory!A47),0,C47+SUM('Week 3'!E47:G47)-SUM(E47:G47))</f>
        <v>0</v>
      </c>
      <c r="I47" s="35" t="str">
        <f>IF(OR(ISBLANK(J47),J47=0),"",Settings!$B$14)</f>
        <v/>
      </c>
      <c r="J47" s="30">
        <f>IF(ISBLANK(C47),0,C47*Inventory!F47)</f>
        <v>0</v>
      </c>
      <c r="K47" s="35" t="str">
        <f>IF(OR(ISBLANK(L47),L47=0),"",Settings!$B$14)</f>
        <v/>
      </c>
      <c r="L47" s="30">
        <f>IF(ISBLANK(Inventory!A47),0,SUM(E47:G47)*Inventory!F47)</f>
        <v>0</v>
      </c>
      <c r="M47" s="35" t="str">
        <f>IF(OR(ISBLANK(N47),N47=0),"",Settings!$B$14)</f>
        <v/>
      </c>
      <c r="N47" s="30">
        <f>IF(ISBLANK(Inventory!A47),0,SUM(E47:G47)*Inventory!L47)</f>
        <v>0</v>
      </c>
      <c r="O47" s="35" t="str">
        <f>IF(OR(ISBLANK(P47),P47=0),"",Settings!$B$14)</f>
        <v/>
      </c>
      <c r="P47" s="30">
        <f>IF(ISBLANK(Inventory!A47),0,H47*Inventory!L47)</f>
        <v>0</v>
      </c>
    </row>
    <row r="48" spans="1:16" s="29" customFormat="1" ht="15" customHeight="1">
      <c r="A48" s="31" t="str">
        <f>IF(ISBLANK(Inventory!A48),"",Inventory!A48)</f>
        <v/>
      </c>
      <c r="B48" s="31" t="str">
        <f>IF(ISBLANK(Inventory!A48),"",Inventory!C48)</f>
        <v/>
      </c>
      <c r="C48" s="187"/>
      <c r="D48" s="192"/>
      <c r="E48" s="187"/>
      <c r="F48" s="187"/>
      <c r="G48" s="187"/>
      <c r="H48" s="37">
        <f>IF(ISBLANK(Inventory!A48),0,C48+SUM('Week 3'!E48:G48)-SUM(E48:G48))</f>
        <v>0</v>
      </c>
      <c r="I48" s="35" t="str">
        <f>IF(OR(ISBLANK(J48),J48=0),"",Settings!$B$14)</f>
        <v/>
      </c>
      <c r="J48" s="30">
        <f>IF(ISBLANK(C48),0,C48*Inventory!F48)</f>
        <v>0</v>
      </c>
      <c r="K48" s="35" t="str">
        <f>IF(OR(ISBLANK(L48),L48=0),"",Settings!$B$14)</f>
        <v/>
      </c>
      <c r="L48" s="30">
        <f>IF(ISBLANK(Inventory!A48),0,SUM(E48:G48)*Inventory!F48)</f>
        <v>0</v>
      </c>
      <c r="M48" s="35" t="str">
        <f>IF(OR(ISBLANK(N48),N48=0),"",Settings!$B$14)</f>
        <v/>
      </c>
      <c r="N48" s="30">
        <f>IF(ISBLANK(Inventory!A48),0,SUM(E48:G48)*Inventory!L48)</f>
        <v>0</v>
      </c>
      <c r="O48" s="35" t="str">
        <f>IF(OR(ISBLANK(P48),P48=0),"",Settings!$B$14)</f>
        <v/>
      </c>
      <c r="P48" s="30">
        <f>IF(ISBLANK(Inventory!A48),0,H48*Inventory!L48)</f>
        <v>0</v>
      </c>
    </row>
    <row r="49" spans="1:16" s="29" customFormat="1" ht="15" customHeight="1">
      <c r="A49" s="31" t="str">
        <f>IF(ISBLANK(Inventory!A49),"",Inventory!A49)</f>
        <v/>
      </c>
      <c r="B49" s="31" t="str">
        <f>IF(ISBLANK(Inventory!A49),"",Inventory!C49)</f>
        <v/>
      </c>
      <c r="C49" s="187"/>
      <c r="D49" s="192"/>
      <c r="E49" s="187"/>
      <c r="F49" s="187"/>
      <c r="G49" s="187"/>
      <c r="H49" s="37">
        <f>IF(ISBLANK(Inventory!A49),0,C49+SUM('Week 3'!E49:G49)-SUM(E49:G49))</f>
        <v>0</v>
      </c>
      <c r="I49" s="35" t="str">
        <f>IF(OR(ISBLANK(J49),J49=0),"",Settings!$B$14)</f>
        <v/>
      </c>
      <c r="J49" s="30">
        <f>IF(ISBLANK(C49),0,C49*Inventory!F49)</f>
        <v>0</v>
      </c>
      <c r="K49" s="35" t="str">
        <f>IF(OR(ISBLANK(L49),L49=0),"",Settings!$B$14)</f>
        <v/>
      </c>
      <c r="L49" s="30">
        <f>IF(ISBLANK(Inventory!A49),0,SUM(E49:G49)*Inventory!F49)</f>
        <v>0</v>
      </c>
      <c r="M49" s="35" t="str">
        <f>IF(OR(ISBLANK(N49),N49=0),"",Settings!$B$14)</f>
        <v/>
      </c>
      <c r="N49" s="30">
        <f>IF(ISBLANK(Inventory!A49),0,SUM(E49:G49)*Inventory!L49)</f>
        <v>0</v>
      </c>
      <c r="O49" s="35" t="str">
        <f>IF(OR(ISBLANK(P49),P49=0),"",Settings!$B$14)</f>
        <v/>
      </c>
      <c r="P49" s="30">
        <f>IF(ISBLANK(Inventory!A49),0,H49*Inventory!L49)</f>
        <v>0</v>
      </c>
    </row>
    <row r="50" spans="1:16" s="29" customFormat="1" ht="15" customHeight="1">
      <c r="A50" s="31" t="str">
        <f>IF(ISBLANK(Inventory!A50),"",Inventory!A50)</f>
        <v/>
      </c>
      <c r="B50" s="31" t="str">
        <f>IF(ISBLANK(Inventory!A50),"",Inventory!C50)</f>
        <v/>
      </c>
      <c r="C50" s="187"/>
      <c r="D50" s="192"/>
      <c r="E50" s="187"/>
      <c r="F50" s="187"/>
      <c r="G50" s="187"/>
      <c r="H50" s="37">
        <f>IF(ISBLANK(Inventory!A50),0,C50+SUM('Week 3'!E50:G50)-SUM(E50:G50))</f>
        <v>0</v>
      </c>
      <c r="I50" s="35" t="str">
        <f>IF(OR(ISBLANK(J50),J50=0),"",Settings!$B$14)</f>
        <v/>
      </c>
      <c r="J50" s="30">
        <f>IF(ISBLANK(C50),0,C50*Inventory!F50)</f>
        <v>0</v>
      </c>
      <c r="K50" s="35" t="str">
        <f>IF(OR(ISBLANK(L50),L50=0),"",Settings!$B$14)</f>
        <v/>
      </c>
      <c r="L50" s="30">
        <f>IF(ISBLANK(Inventory!A50),0,SUM(E50:G50)*Inventory!F50)</f>
        <v>0</v>
      </c>
      <c r="M50" s="35" t="str">
        <f>IF(OR(ISBLANK(N50),N50=0),"",Settings!$B$14)</f>
        <v/>
      </c>
      <c r="N50" s="30">
        <f>IF(ISBLANK(Inventory!A50),0,SUM(E50:G50)*Inventory!L50)</f>
        <v>0</v>
      </c>
      <c r="O50" s="35" t="str">
        <f>IF(OR(ISBLANK(P50),P50=0),"",Settings!$B$14)</f>
        <v/>
      </c>
      <c r="P50" s="30">
        <f>IF(ISBLANK(Inventory!A50),0,H50*Inventory!L50)</f>
        <v>0</v>
      </c>
    </row>
    <row r="51" spans="1:16" s="29" customFormat="1" ht="15" customHeight="1">
      <c r="A51" s="31" t="str">
        <f>IF(ISBLANK(Inventory!A51),"",Inventory!A51)</f>
        <v/>
      </c>
      <c r="B51" s="31" t="str">
        <f>IF(ISBLANK(Inventory!A51),"",Inventory!C51)</f>
        <v/>
      </c>
      <c r="C51" s="187"/>
      <c r="D51" s="192"/>
      <c r="E51" s="187"/>
      <c r="F51" s="187"/>
      <c r="G51" s="187"/>
      <c r="H51" s="37">
        <f>IF(ISBLANK(Inventory!A51),0,C51+SUM('Week 3'!E51:G51)-SUM(E51:G51))</f>
        <v>0</v>
      </c>
      <c r="I51" s="35" t="str">
        <f>IF(OR(ISBLANK(J51),J51=0),"",Settings!$B$14)</f>
        <v/>
      </c>
      <c r="J51" s="30">
        <f>IF(ISBLANK(C51),0,C51*Inventory!F51)</f>
        <v>0</v>
      </c>
      <c r="K51" s="35" t="str">
        <f>IF(OR(ISBLANK(L51),L51=0),"",Settings!$B$14)</f>
        <v/>
      </c>
      <c r="L51" s="30">
        <f>IF(ISBLANK(Inventory!A51),0,SUM(E51:G51)*Inventory!F51)</f>
        <v>0</v>
      </c>
      <c r="M51" s="35" t="str">
        <f>IF(OR(ISBLANK(N51),N51=0),"",Settings!$B$14)</f>
        <v/>
      </c>
      <c r="N51" s="30">
        <f>IF(ISBLANK(Inventory!A51),0,SUM(E51:G51)*Inventory!L51)</f>
        <v>0</v>
      </c>
      <c r="O51" s="35" t="str">
        <f>IF(OR(ISBLANK(P51),P51=0),"",Settings!$B$14)</f>
        <v/>
      </c>
      <c r="P51" s="30">
        <f>IF(ISBLANK(Inventory!A51),0,H51*Inventory!L51)</f>
        <v>0</v>
      </c>
    </row>
    <row r="52" spans="1:16" s="29" customFormat="1" ht="15" customHeight="1">
      <c r="A52" s="31" t="str">
        <f>IF(ISBLANK(Inventory!A52),"",Inventory!A52)</f>
        <v/>
      </c>
      <c r="B52" s="31" t="str">
        <f>IF(ISBLANK(Inventory!A52),"",Inventory!C52)</f>
        <v/>
      </c>
      <c r="C52" s="187"/>
      <c r="D52" s="192"/>
      <c r="E52" s="187"/>
      <c r="F52" s="187"/>
      <c r="G52" s="187"/>
      <c r="H52" s="37">
        <f>IF(ISBLANK(Inventory!A52),0,C52+SUM('Week 3'!E52:G52)-SUM(E52:G52))</f>
        <v>0</v>
      </c>
      <c r="I52" s="35" t="str">
        <f>IF(OR(ISBLANK(J52),J52=0),"",Settings!$B$14)</f>
        <v/>
      </c>
      <c r="J52" s="30">
        <f>IF(ISBLANK(C52),0,C52*Inventory!F52)</f>
        <v>0</v>
      </c>
      <c r="K52" s="35" t="str">
        <f>IF(OR(ISBLANK(L52),L52=0),"",Settings!$B$14)</f>
        <v/>
      </c>
      <c r="L52" s="30">
        <f>IF(ISBLANK(Inventory!A52),0,SUM(E52:G52)*Inventory!F52)</f>
        <v>0</v>
      </c>
      <c r="M52" s="35" t="str">
        <f>IF(OR(ISBLANK(N52),N52=0),"",Settings!$B$14)</f>
        <v/>
      </c>
      <c r="N52" s="30">
        <f>IF(ISBLANK(Inventory!A52),0,SUM(E52:G52)*Inventory!L52)</f>
        <v>0</v>
      </c>
      <c r="O52" s="35" t="str">
        <f>IF(OR(ISBLANK(P52),P52=0),"",Settings!$B$14)</f>
        <v/>
      </c>
      <c r="P52" s="30">
        <f>IF(ISBLANK(Inventory!A52),0,H52*Inventory!L52)</f>
        <v>0</v>
      </c>
    </row>
    <row r="53" spans="1:16" s="29" customFormat="1" ht="15" customHeight="1">
      <c r="A53" s="31" t="str">
        <f>IF(ISBLANK(Inventory!A53),"",Inventory!A53)</f>
        <v/>
      </c>
      <c r="B53" s="31" t="str">
        <f>IF(ISBLANK(Inventory!A53),"",Inventory!C53)</f>
        <v/>
      </c>
      <c r="C53" s="187"/>
      <c r="D53" s="192"/>
      <c r="E53" s="187"/>
      <c r="F53" s="187"/>
      <c r="G53" s="187"/>
      <c r="H53" s="37">
        <f>IF(ISBLANK(Inventory!A53),0,C53+SUM('Week 3'!E53:G53)-SUM(E53:G53))</f>
        <v>0</v>
      </c>
      <c r="I53" s="35" t="str">
        <f>IF(OR(ISBLANK(J53),J53=0),"",Settings!$B$14)</f>
        <v/>
      </c>
      <c r="J53" s="30">
        <f>IF(ISBLANK(C53),0,C53*Inventory!F53)</f>
        <v>0</v>
      </c>
      <c r="K53" s="35" t="str">
        <f>IF(OR(ISBLANK(L53),L53=0),"",Settings!$B$14)</f>
        <v/>
      </c>
      <c r="L53" s="30">
        <f>IF(ISBLANK(Inventory!A53),0,SUM(E53:G53)*Inventory!F53)</f>
        <v>0</v>
      </c>
      <c r="M53" s="35" t="str">
        <f>IF(OR(ISBLANK(N53),N53=0),"",Settings!$B$14)</f>
        <v/>
      </c>
      <c r="N53" s="30">
        <f>IF(ISBLANK(Inventory!A53),0,SUM(E53:G53)*Inventory!L53)</f>
        <v>0</v>
      </c>
      <c r="O53" s="35" t="str">
        <f>IF(OR(ISBLANK(P53),P53=0),"",Settings!$B$14)</f>
        <v/>
      </c>
      <c r="P53" s="30">
        <f>IF(ISBLANK(Inventory!A53),0,H53*Inventory!L53)</f>
        <v>0</v>
      </c>
    </row>
    <row r="54" spans="1:16" s="29" customFormat="1" ht="15" customHeight="1">
      <c r="A54" s="31" t="str">
        <f>IF(ISBLANK(Inventory!A54),"",Inventory!A54)</f>
        <v/>
      </c>
      <c r="B54" s="31" t="str">
        <f>IF(ISBLANK(Inventory!A54),"",Inventory!C54)</f>
        <v/>
      </c>
      <c r="C54" s="187"/>
      <c r="D54" s="192"/>
      <c r="E54" s="187"/>
      <c r="F54" s="187"/>
      <c r="G54" s="187"/>
      <c r="H54" s="37">
        <f>IF(ISBLANK(Inventory!A54),0,C54+SUM('Week 3'!E54:G54)-SUM(E54:G54))</f>
        <v>0</v>
      </c>
      <c r="I54" s="35" t="str">
        <f>IF(OR(ISBLANK(J54),J54=0),"",Settings!$B$14)</f>
        <v/>
      </c>
      <c r="J54" s="30">
        <f>IF(ISBLANK(C54),0,C54*Inventory!F54)</f>
        <v>0</v>
      </c>
      <c r="K54" s="35" t="str">
        <f>IF(OR(ISBLANK(L54),L54=0),"",Settings!$B$14)</f>
        <v/>
      </c>
      <c r="L54" s="30">
        <f>IF(ISBLANK(Inventory!A54),0,SUM(E54:G54)*Inventory!F54)</f>
        <v>0</v>
      </c>
      <c r="M54" s="35" t="str">
        <f>IF(OR(ISBLANK(N54),N54=0),"",Settings!$B$14)</f>
        <v/>
      </c>
      <c r="N54" s="30">
        <f>IF(ISBLANK(Inventory!A54),0,SUM(E54:G54)*Inventory!L54)</f>
        <v>0</v>
      </c>
      <c r="O54" s="35" t="str">
        <f>IF(OR(ISBLANK(P54),P54=0),"",Settings!$B$14)</f>
        <v/>
      </c>
      <c r="P54" s="30">
        <f>IF(ISBLANK(Inventory!A54),0,H54*Inventory!L54)</f>
        <v>0</v>
      </c>
    </row>
    <row r="55" spans="1:16" s="29" customFormat="1" ht="15" customHeight="1">
      <c r="A55" s="31" t="str">
        <f>IF(ISBLANK(Inventory!A55),"",Inventory!A55)</f>
        <v/>
      </c>
      <c r="B55" s="31" t="str">
        <f>IF(ISBLANK(Inventory!A55),"",Inventory!C55)</f>
        <v/>
      </c>
      <c r="C55" s="187"/>
      <c r="D55" s="192"/>
      <c r="E55" s="187"/>
      <c r="F55" s="187"/>
      <c r="G55" s="187"/>
      <c r="H55" s="37">
        <f>IF(ISBLANK(Inventory!A55),0,C55+SUM('Week 3'!E55:G55)-SUM(E55:G55))</f>
        <v>0</v>
      </c>
      <c r="I55" s="35" t="str">
        <f>IF(OR(ISBLANK(J55),J55=0),"",Settings!$B$14)</f>
        <v/>
      </c>
      <c r="J55" s="30">
        <f>IF(ISBLANK(C55),0,C55*Inventory!F55)</f>
        <v>0</v>
      </c>
      <c r="K55" s="35" t="str">
        <f>IF(OR(ISBLANK(L55),L55=0),"",Settings!$B$14)</f>
        <v/>
      </c>
      <c r="L55" s="30">
        <f>IF(ISBLANK(Inventory!A55),0,SUM(E55:G55)*Inventory!F55)</f>
        <v>0</v>
      </c>
      <c r="M55" s="35" t="str">
        <f>IF(OR(ISBLANK(N55),N55=0),"",Settings!$B$14)</f>
        <v/>
      </c>
      <c r="N55" s="30">
        <f>IF(ISBLANK(Inventory!A55),0,SUM(E55:G55)*Inventory!L55)</f>
        <v>0</v>
      </c>
      <c r="O55" s="35" t="str">
        <f>IF(OR(ISBLANK(P55),P55=0),"",Settings!$B$14)</f>
        <v/>
      </c>
      <c r="P55" s="30">
        <f>IF(ISBLANK(Inventory!A55),0,H55*Inventory!L55)</f>
        <v>0</v>
      </c>
    </row>
    <row r="56" spans="1:16" ht="6.95" customHeight="1">
      <c r="A56" s="24"/>
      <c r="B56" s="24"/>
      <c r="C56" s="69"/>
      <c r="D56" s="69"/>
      <c r="E56" s="69"/>
      <c r="F56" s="69"/>
      <c r="G56" s="69"/>
      <c r="H56" s="69"/>
      <c r="I56" s="69"/>
      <c r="J56" s="69"/>
      <c r="K56" s="69"/>
      <c r="L56" s="25"/>
      <c r="M56" s="62"/>
      <c r="N56" s="160"/>
      <c r="O56" s="25"/>
      <c r="P56" s="160"/>
    </row>
    <row r="57" spans="1:16" s="50" customFormat="1" ht="18" customHeight="1" thickBot="1">
      <c r="A57" s="78" t="str">
        <f>Inventory!A57</f>
        <v>FORTIFIED WINES</v>
      </c>
      <c r="B57" s="78" t="str">
        <f>Inventory!C57</f>
        <v>VOLUME</v>
      </c>
      <c r="C57" s="22" t="s">
        <v>187</v>
      </c>
      <c r="D57" s="22"/>
      <c r="E57" s="22" t="s">
        <v>101</v>
      </c>
      <c r="F57" s="22" t="s">
        <v>102</v>
      </c>
      <c r="G57" s="23" t="s">
        <v>108</v>
      </c>
      <c r="H57" s="79" t="s">
        <v>119</v>
      </c>
      <c r="I57" s="253" t="s">
        <v>190</v>
      </c>
      <c r="J57" s="253"/>
      <c r="K57" s="235" t="s">
        <v>30</v>
      </c>
      <c r="L57" s="235"/>
      <c r="M57" s="235" t="s">
        <v>31</v>
      </c>
      <c r="N57" s="235"/>
      <c r="O57" s="235" t="s">
        <v>189</v>
      </c>
      <c r="P57" s="235"/>
    </row>
    <row r="58" spans="1:16" ht="6.95" customHeight="1" thickTop="1">
      <c r="A58" s="193"/>
      <c r="B58" s="194"/>
      <c r="C58" s="71"/>
      <c r="D58" s="71"/>
      <c r="E58" s="67"/>
      <c r="F58" s="67"/>
      <c r="G58" s="71"/>
      <c r="H58" s="71"/>
      <c r="I58" s="71"/>
      <c r="J58" s="71"/>
      <c r="K58" s="71"/>
      <c r="L58" s="67"/>
      <c r="M58" s="62"/>
      <c r="N58" s="67"/>
      <c r="O58" s="67"/>
      <c r="P58" s="67"/>
    </row>
    <row r="59" spans="1:16" s="29" customFormat="1" ht="15" customHeight="1">
      <c r="A59" s="31" t="str">
        <f>IF(ISBLANK(Inventory!A59),"",Inventory!A59)</f>
        <v>Cinzano Bianco</v>
      </c>
      <c r="B59" s="31" t="str">
        <f>IF(ISBLANK(Inventory!A59),"",Inventory!C59)</f>
        <v>75cl</v>
      </c>
      <c r="C59" s="187"/>
      <c r="D59" s="192"/>
      <c r="E59" s="187">
        <v>1</v>
      </c>
      <c r="F59" s="187">
        <v>0.2</v>
      </c>
      <c r="G59" s="187"/>
      <c r="H59" s="37">
        <f>IF(ISBLANK(Inventory!A59),0,C59+SUM('Week 3'!E59:G59)-SUM(E59:G59))</f>
        <v>0.30000000000000004</v>
      </c>
      <c r="I59" s="35" t="str">
        <f>IF(OR(ISBLANK(J59),J59=0),"",Settings!$B$14)</f>
        <v/>
      </c>
      <c r="J59" s="30">
        <f>IF(ISBLANK(C59),0,C59*Inventory!F59)</f>
        <v>0</v>
      </c>
      <c r="K59" s="35" t="str">
        <f>IF(OR(ISBLANK(L59),L59=0),"",Settings!$B$14)</f>
        <v>$</v>
      </c>
      <c r="L59" s="30">
        <f>IF(ISBLANK(Inventory!A59),0,SUM(E59:G59)*Inventory!F59)</f>
        <v>16.128</v>
      </c>
      <c r="M59" s="35" t="str">
        <f>IF(OR(ISBLANK(N59),N59=0),"",Settings!$B$14)</f>
        <v>$</v>
      </c>
      <c r="N59" s="30">
        <f>IF(ISBLANK(Inventory!A59),0,SUM(E59:G59)*Inventory!L59)</f>
        <v>34.019999999999996</v>
      </c>
      <c r="O59" s="35" t="str">
        <f>IF(OR(ISBLANK(P59),P59=0),"",Settings!$B$14)</f>
        <v>$</v>
      </c>
      <c r="P59" s="30">
        <f>IF(ISBLANK(Inventory!A59),0,H59*Inventory!L59)</f>
        <v>8.5050000000000008</v>
      </c>
    </row>
    <row r="60" spans="1:16" s="29" customFormat="1" ht="15" customHeight="1">
      <c r="A60" s="31" t="str">
        <f>IF(ISBLANK(Inventory!A60),"",Inventory!A60)</f>
        <v>Martini Dry</v>
      </c>
      <c r="B60" s="31" t="str">
        <f>IF(ISBLANK(Inventory!A60),"",Inventory!C60)</f>
        <v>75cl</v>
      </c>
      <c r="C60" s="187"/>
      <c r="D60" s="192"/>
      <c r="E60" s="187"/>
      <c r="F60" s="187"/>
      <c r="G60" s="187"/>
      <c r="H60" s="37">
        <f>IF(ISBLANK(Inventory!A60),0,C60+SUM('Week 3'!E60:G60)-SUM(E60:G60))</f>
        <v>0</v>
      </c>
      <c r="I60" s="35" t="str">
        <f>IF(OR(ISBLANK(J60),J60=0),"",Settings!$B$14)</f>
        <v/>
      </c>
      <c r="J60" s="30">
        <f>IF(ISBLANK(C60),0,C60*Inventory!F60)</f>
        <v>0</v>
      </c>
      <c r="K60" s="35" t="str">
        <f>IF(OR(ISBLANK(L60),L60=0),"",Settings!$B$14)</f>
        <v/>
      </c>
      <c r="L60" s="30">
        <f>IF(ISBLANK(Inventory!A60),0,SUM(E60:G60)*Inventory!F60)</f>
        <v>0</v>
      </c>
      <c r="M60" s="35" t="str">
        <f>IF(OR(ISBLANK(N60),N60=0),"",Settings!$B$14)</f>
        <v/>
      </c>
      <c r="N60" s="30">
        <f>IF(ISBLANK(Inventory!A60),0,SUM(E60:G60)*Inventory!L60)</f>
        <v>0</v>
      </c>
      <c r="O60" s="35" t="str">
        <f>IF(OR(ISBLANK(P60),P60=0),"",Settings!$B$14)</f>
        <v/>
      </c>
      <c r="P60" s="30">
        <f>IF(ISBLANK(Inventory!A60),0,H60*Inventory!L60)</f>
        <v>0</v>
      </c>
    </row>
    <row r="61" spans="1:16" s="29" customFormat="1" ht="15" customHeight="1">
      <c r="A61" s="31" t="str">
        <f>IF(ISBLANK(Inventory!A61),"",Inventory!A61)</f>
        <v>Martini Rosso</v>
      </c>
      <c r="B61" s="31" t="str">
        <f>IF(ISBLANK(Inventory!A61),"",Inventory!C61)</f>
        <v>75cl</v>
      </c>
      <c r="C61" s="187"/>
      <c r="D61" s="192"/>
      <c r="E61" s="187"/>
      <c r="F61" s="187"/>
      <c r="G61" s="187"/>
      <c r="H61" s="37">
        <f>IF(ISBLANK(Inventory!A61),0,C61+SUM('Week 3'!E61:G61)-SUM(E61:G61))</f>
        <v>0</v>
      </c>
      <c r="I61" s="35" t="str">
        <f>IF(OR(ISBLANK(J61),J61=0),"",Settings!$B$14)</f>
        <v/>
      </c>
      <c r="J61" s="30">
        <f>IF(ISBLANK(C61),0,C61*Inventory!F61)</f>
        <v>0</v>
      </c>
      <c r="K61" s="35" t="str">
        <f>IF(OR(ISBLANK(L61),L61=0),"",Settings!$B$14)</f>
        <v/>
      </c>
      <c r="L61" s="30">
        <f>IF(ISBLANK(Inventory!A61),0,SUM(E61:G61)*Inventory!F61)</f>
        <v>0</v>
      </c>
      <c r="M61" s="35" t="str">
        <f>IF(OR(ISBLANK(N61),N61=0),"",Settings!$B$14)</f>
        <v/>
      </c>
      <c r="N61" s="30">
        <f>IF(ISBLANK(Inventory!A61),0,SUM(E61:G61)*Inventory!L61)</f>
        <v>0</v>
      </c>
      <c r="O61" s="35" t="str">
        <f>IF(OR(ISBLANK(P61),P61=0),"",Settings!$B$14)</f>
        <v/>
      </c>
      <c r="P61" s="30">
        <f>IF(ISBLANK(Inventory!A61),0,H61*Inventory!L61)</f>
        <v>0</v>
      </c>
    </row>
    <row r="62" spans="1:16" s="29" customFormat="1" ht="15" customHeight="1">
      <c r="A62" s="31" t="str">
        <f>IF(ISBLANK(Inventory!A62),"",Inventory!A62)</f>
        <v>Campari</v>
      </c>
      <c r="B62" s="31" t="str">
        <f>IF(ISBLANK(Inventory!A62),"",Inventory!C62)</f>
        <v>75cl</v>
      </c>
      <c r="C62" s="187"/>
      <c r="D62" s="192"/>
      <c r="E62" s="187"/>
      <c r="F62" s="187"/>
      <c r="G62" s="187"/>
      <c r="H62" s="37">
        <f>IF(ISBLANK(Inventory!A62),0,C62+SUM('Week 3'!E62:G62)-SUM(E62:G62))</f>
        <v>0</v>
      </c>
      <c r="I62" s="35" t="str">
        <f>IF(OR(ISBLANK(J62),J62=0),"",Settings!$B$14)</f>
        <v/>
      </c>
      <c r="J62" s="30">
        <f>IF(ISBLANK(C62),0,C62*Inventory!F62)</f>
        <v>0</v>
      </c>
      <c r="K62" s="35" t="str">
        <f>IF(OR(ISBLANK(L62),L62=0),"",Settings!$B$14)</f>
        <v/>
      </c>
      <c r="L62" s="30">
        <f>IF(ISBLANK(Inventory!A62),0,SUM(E62:G62)*Inventory!F62)</f>
        <v>0</v>
      </c>
      <c r="M62" s="35" t="str">
        <f>IF(OR(ISBLANK(N62),N62=0),"",Settings!$B$14)</f>
        <v/>
      </c>
      <c r="N62" s="30">
        <f>IF(ISBLANK(Inventory!A62),0,SUM(E62:G62)*Inventory!L62)</f>
        <v>0</v>
      </c>
      <c r="O62" s="35" t="str">
        <f>IF(OR(ISBLANK(P62),P62=0),"",Settings!$B$14)</f>
        <v/>
      </c>
      <c r="P62" s="30">
        <f>IF(ISBLANK(Inventory!A62),0,H62*Inventory!L62)</f>
        <v>0</v>
      </c>
    </row>
    <row r="63" spans="1:16" s="29" customFormat="1" ht="15" customHeight="1">
      <c r="A63" s="31" t="str">
        <f>IF(ISBLANK(Inventory!A63),"",Inventory!A63)</f>
        <v>Cockburns Ruby</v>
      </c>
      <c r="B63" s="31" t="str">
        <f>IF(ISBLANK(Inventory!A63),"",Inventory!C63)</f>
        <v>75cl</v>
      </c>
      <c r="C63" s="187"/>
      <c r="D63" s="192"/>
      <c r="E63" s="187"/>
      <c r="F63" s="187"/>
      <c r="G63" s="187"/>
      <c r="H63" s="37">
        <f>IF(ISBLANK(Inventory!A63),0,C63+SUM('Week 3'!E63:G63)-SUM(E63:G63))</f>
        <v>0</v>
      </c>
      <c r="I63" s="35" t="str">
        <f>IF(OR(ISBLANK(J63),J63=0),"",Settings!$B$14)</f>
        <v/>
      </c>
      <c r="J63" s="30">
        <f>IF(ISBLANK(C63),0,C63*Inventory!F63)</f>
        <v>0</v>
      </c>
      <c r="K63" s="35" t="str">
        <f>IF(OR(ISBLANK(L63),L63=0),"",Settings!$B$14)</f>
        <v/>
      </c>
      <c r="L63" s="30">
        <f>IF(ISBLANK(Inventory!A63),0,SUM(E63:G63)*Inventory!F63)</f>
        <v>0</v>
      </c>
      <c r="M63" s="35" t="str">
        <f>IF(OR(ISBLANK(N63),N63=0),"",Settings!$B$14)</f>
        <v/>
      </c>
      <c r="N63" s="30">
        <f>IF(ISBLANK(Inventory!A63),0,SUM(E63:G63)*Inventory!L63)</f>
        <v>0</v>
      </c>
      <c r="O63" s="35" t="str">
        <f>IF(OR(ISBLANK(P63),P63=0),"",Settings!$B$14)</f>
        <v/>
      </c>
      <c r="P63" s="30">
        <f>IF(ISBLANK(Inventory!A63),0,H63*Inventory!L63)</f>
        <v>0</v>
      </c>
    </row>
    <row r="64" spans="1:16" s="29" customFormat="1" ht="15" customHeight="1">
      <c r="A64" s="31" t="str">
        <f>IF(ISBLANK(Inventory!A64),"",Inventory!A64)</f>
        <v>Bristol Cream</v>
      </c>
      <c r="B64" s="31" t="str">
        <f>IF(ISBLANK(Inventory!A64),"",Inventory!C64)</f>
        <v>75cl</v>
      </c>
      <c r="C64" s="187"/>
      <c r="D64" s="192"/>
      <c r="E64" s="187"/>
      <c r="F64" s="187"/>
      <c r="G64" s="187"/>
      <c r="H64" s="37">
        <f>IF(ISBLANK(Inventory!A64),0,C64+SUM('Week 3'!E64:G64)-SUM(E64:G64))</f>
        <v>0</v>
      </c>
      <c r="I64" s="35" t="str">
        <f>IF(OR(ISBLANK(J64),J64=0),"",Settings!$B$14)</f>
        <v/>
      </c>
      <c r="J64" s="30">
        <f>IF(ISBLANK(C64),0,C64*Inventory!F64)</f>
        <v>0</v>
      </c>
      <c r="K64" s="35" t="str">
        <f>IF(OR(ISBLANK(L64),L64=0),"",Settings!$B$14)</f>
        <v/>
      </c>
      <c r="L64" s="30">
        <f>IF(ISBLANK(Inventory!A64),0,SUM(E64:G64)*Inventory!F64)</f>
        <v>0</v>
      </c>
      <c r="M64" s="35" t="str">
        <f>IF(OR(ISBLANK(N64),N64=0),"",Settings!$B$14)</f>
        <v/>
      </c>
      <c r="N64" s="30">
        <f>IF(ISBLANK(Inventory!A64),0,SUM(E64:G64)*Inventory!L64)</f>
        <v>0</v>
      </c>
      <c r="O64" s="35" t="str">
        <f>IF(OR(ISBLANK(P64),P64=0),"",Settings!$B$14)</f>
        <v/>
      </c>
      <c r="P64" s="30">
        <f>IF(ISBLANK(Inventory!A64),0,H64*Inventory!L64)</f>
        <v>0</v>
      </c>
    </row>
    <row r="65" spans="1:16" s="29" customFormat="1" ht="15" customHeight="1">
      <c r="A65" s="31" t="str">
        <f>IF(ISBLANK(Inventory!A65),"",Inventory!A65)</f>
        <v>Club Classic</v>
      </c>
      <c r="B65" s="31" t="str">
        <f>IF(ISBLANK(Inventory!A65),"",Inventory!C65)</f>
        <v>75cl</v>
      </c>
      <c r="C65" s="187"/>
      <c r="D65" s="192"/>
      <c r="E65" s="187"/>
      <c r="F65" s="187"/>
      <c r="G65" s="187"/>
      <c r="H65" s="37">
        <f>IF(ISBLANK(Inventory!A65),0,C65+SUM('Week 3'!E65:G65)-SUM(E65:G65))</f>
        <v>0</v>
      </c>
      <c r="I65" s="35" t="str">
        <f>IF(OR(ISBLANK(J65),J65=0),"",Settings!$B$14)</f>
        <v/>
      </c>
      <c r="J65" s="30">
        <f>IF(ISBLANK(C65),0,C65*Inventory!F65)</f>
        <v>0</v>
      </c>
      <c r="K65" s="35" t="str">
        <f>IF(OR(ISBLANK(L65),L65=0),"",Settings!$B$14)</f>
        <v/>
      </c>
      <c r="L65" s="30">
        <f>IF(ISBLANK(Inventory!A65),0,SUM(E65:G65)*Inventory!F65)</f>
        <v>0</v>
      </c>
      <c r="M65" s="35" t="str">
        <f>IF(OR(ISBLANK(N65),N65=0),"",Settings!$B$14)</f>
        <v/>
      </c>
      <c r="N65" s="30">
        <f>IF(ISBLANK(Inventory!A65),0,SUM(E65:G65)*Inventory!L65)</f>
        <v>0</v>
      </c>
      <c r="O65" s="35" t="str">
        <f>IF(OR(ISBLANK(P65),P65=0),"",Settings!$B$14)</f>
        <v/>
      </c>
      <c r="P65" s="30">
        <f>IF(ISBLANK(Inventory!A65),0,H65*Inventory!L65)</f>
        <v>0</v>
      </c>
    </row>
    <row r="66" spans="1:16" s="29" customFormat="1" ht="15" customHeight="1">
      <c r="A66" s="31" t="str">
        <f>IF(ISBLANK(Inventory!A66),"",Inventory!A66)</f>
        <v>Harveys Dune</v>
      </c>
      <c r="B66" s="31" t="str">
        <f>IF(ISBLANK(Inventory!A66),"",Inventory!C66)</f>
        <v>75cl</v>
      </c>
      <c r="C66" s="187"/>
      <c r="D66" s="192"/>
      <c r="E66" s="187"/>
      <c r="F66" s="187"/>
      <c r="G66" s="187"/>
      <c r="H66" s="37">
        <f>IF(ISBLANK(Inventory!A66),0,C66+SUM('Week 3'!E66:G66)-SUM(E66:G66))</f>
        <v>0</v>
      </c>
      <c r="I66" s="35" t="str">
        <f>IF(OR(ISBLANK(J66),J66=0),"",Settings!$B$14)</f>
        <v/>
      </c>
      <c r="J66" s="30">
        <f>IF(ISBLANK(C66),0,C66*Inventory!F66)</f>
        <v>0</v>
      </c>
      <c r="K66" s="35" t="str">
        <f>IF(OR(ISBLANK(L66),L66=0),"",Settings!$B$14)</f>
        <v/>
      </c>
      <c r="L66" s="30">
        <f>IF(ISBLANK(Inventory!A66),0,SUM(E66:G66)*Inventory!F66)</f>
        <v>0</v>
      </c>
      <c r="M66" s="35" t="str">
        <f>IF(OR(ISBLANK(N66),N66=0),"",Settings!$B$14)</f>
        <v/>
      </c>
      <c r="N66" s="30">
        <f>IF(ISBLANK(Inventory!A66),0,SUM(E66:G66)*Inventory!L66)</f>
        <v>0</v>
      </c>
      <c r="O66" s="35" t="str">
        <f>IF(OR(ISBLANK(P66),P66=0),"",Settings!$B$14)</f>
        <v/>
      </c>
      <c r="P66" s="30">
        <f>IF(ISBLANK(Inventory!A66),0,H66*Inventory!L66)</f>
        <v>0</v>
      </c>
    </row>
    <row r="67" spans="1:16" s="29" customFormat="1" ht="15" customHeight="1">
      <c r="A67" s="31" t="str">
        <f>IF(ISBLANK(Inventory!A67),"",Inventory!A67)</f>
        <v/>
      </c>
      <c r="B67" s="31" t="str">
        <f>IF(ISBLANK(Inventory!A67),"",Inventory!C67)</f>
        <v/>
      </c>
      <c r="C67" s="187"/>
      <c r="D67" s="192"/>
      <c r="E67" s="187"/>
      <c r="F67" s="187"/>
      <c r="G67" s="187"/>
      <c r="H67" s="37">
        <f>IF(ISBLANK(Inventory!A67),0,C67+SUM('Week 3'!E67:G67)-SUM(E67:G67))</f>
        <v>0</v>
      </c>
      <c r="I67" s="35" t="str">
        <f>IF(OR(ISBLANK(J67),J67=0),"",Settings!$B$14)</f>
        <v/>
      </c>
      <c r="J67" s="30">
        <f>IF(ISBLANK(C67),0,C67*Inventory!F67)</f>
        <v>0</v>
      </c>
      <c r="K67" s="35" t="str">
        <f>IF(OR(ISBLANK(L67),L67=0),"",Settings!$B$14)</f>
        <v/>
      </c>
      <c r="L67" s="30">
        <f>IF(ISBLANK(Inventory!A67),0,SUM(E67:G67)*Inventory!F67)</f>
        <v>0</v>
      </c>
      <c r="M67" s="35" t="str">
        <f>IF(OR(ISBLANK(N67),N67=0),"",Settings!$B$14)</f>
        <v/>
      </c>
      <c r="N67" s="30">
        <f>IF(ISBLANK(Inventory!A67),0,SUM(E67:G67)*Inventory!L67)</f>
        <v>0</v>
      </c>
      <c r="O67" s="35" t="str">
        <f>IF(OR(ISBLANK(P67),P67=0),"",Settings!$B$14)</f>
        <v/>
      </c>
      <c r="P67" s="30">
        <f>IF(ISBLANK(Inventory!A67),0,H67*Inventory!L67)</f>
        <v>0</v>
      </c>
    </row>
    <row r="68" spans="1:16" s="29" customFormat="1" ht="15" customHeight="1">
      <c r="A68" s="31" t="str">
        <f>IF(ISBLANK(Inventory!A68),"",Inventory!A68)</f>
        <v/>
      </c>
      <c r="B68" s="31" t="str">
        <f>IF(ISBLANK(Inventory!A68),"",Inventory!C68)</f>
        <v/>
      </c>
      <c r="C68" s="187"/>
      <c r="D68" s="192"/>
      <c r="E68" s="187"/>
      <c r="F68" s="187"/>
      <c r="G68" s="187"/>
      <c r="H68" s="37">
        <f>IF(ISBLANK(Inventory!A68),0,C68+SUM('Week 3'!E68:G68)-SUM(E68:G68))</f>
        <v>0</v>
      </c>
      <c r="I68" s="35" t="str">
        <f>IF(OR(ISBLANK(J68),J68=0),"",Settings!$B$14)</f>
        <v/>
      </c>
      <c r="J68" s="30">
        <f>IF(ISBLANK(C68),0,C68*Inventory!F68)</f>
        <v>0</v>
      </c>
      <c r="K68" s="35" t="str">
        <f>IF(OR(ISBLANK(L68),L68=0),"",Settings!$B$14)</f>
        <v/>
      </c>
      <c r="L68" s="30">
        <f>IF(ISBLANK(Inventory!A68),0,SUM(E68:G68)*Inventory!F68)</f>
        <v>0</v>
      </c>
      <c r="M68" s="35" t="str">
        <f>IF(OR(ISBLANK(N68),N68=0),"",Settings!$B$14)</f>
        <v/>
      </c>
      <c r="N68" s="30">
        <f>IF(ISBLANK(Inventory!A68),0,SUM(E68:G68)*Inventory!L68)</f>
        <v>0</v>
      </c>
      <c r="O68" s="35" t="str">
        <f>IF(OR(ISBLANK(P68),P68=0),"",Settings!$B$14)</f>
        <v/>
      </c>
      <c r="P68" s="30">
        <f>IF(ISBLANK(Inventory!A68),0,H68*Inventory!L68)</f>
        <v>0</v>
      </c>
    </row>
    <row r="69" spans="1:16" s="29" customFormat="1" ht="15" customHeight="1">
      <c r="A69" s="31" t="str">
        <f>IF(ISBLANK(Inventory!A69),"",Inventory!A69)</f>
        <v/>
      </c>
      <c r="B69" s="31" t="str">
        <f>IF(ISBLANK(Inventory!A69),"",Inventory!C69)</f>
        <v/>
      </c>
      <c r="C69" s="187"/>
      <c r="D69" s="192"/>
      <c r="E69" s="187"/>
      <c r="F69" s="187"/>
      <c r="G69" s="187"/>
      <c r="H69" s="37">
        <f>IF(ISBLANK(Inventory!A69),0,C69+SUM('Week 3'!E69:G69)-SUM(E69:G69))</f>
        <v>0</v>
      </c>
      <c r="I69" s="35" t="str">
        <f>IF(OR(ISBLANK(J69),J69=0),"",Settings!$B$14)</f>
        <v/>
      </c>
      <c r="J69" s="30">
        <f>IF(ISBLANK(C69),0,C69*Inventory!F69)</f>
        <v>0</v>
      </c>
      <c r="K69" s="35" t="str">
        <f>IF(OR(ISBLANK(L69),L69=0),"",Settings!$B$14)</f>
        <v/>
      </c>
      <c r="L69" s="30">
        <f>IF(ISBLANK(Inventory!A69),0,SUM(E69:G69)*Inventory!F69)</f>
        <v>0</v>
      </c>
      <c r="M69" s="35" t="str">
        <f>IF(OR(ISBLANK(N69),N69=0),"",Settings!$B$14)</f>
        <v/>
      </c>
      <c r="N69" s="30">
        <f>IF(ISBLANK(Inventory!A69),0,SUM(E69:G69)*Inventory!L69)</f>
        <v>0</v>
      </c>
      <c r="O69" s="35" t="str">
        <f>IF(OR(ISBLANK(P69),P69=0),"",Settings!$B$14)</f>
        <v/>
      </c>
      <c r="P69" s="30">
        <f>IF(ISBLANK(Inventory!A69),0,H69*Inventory!L69)</f>
        <v>0</v>
      </c>
    </row>
    <row r="70" spans="1:16" s="29" customFormat="1" ht="15" customHeight="1">
      <c r="A70" s="31" t="str">
        <f>IF(ISBLANK(Inventory!A70),"",Inventory!A70)</f>
        <v/>
      </c>
      <c r="B70" s="31" t="str">
        <f>IF(ISBLANK(Inventory!A70),"",Inventory!C70)</f>
        <v/>
      </c>
      <c r="C70" s="187"/>
      <c r="D70" s="192"/>
      <c r="E70" s="187"/>
      <c r="F70" s="187"/>
      <c r="G70" s="187"/>
      <c r="H70" s="37">
        <f>IF(ISBLANK(Inventory!A70),0,C70+SUM('Week 3'!E70:G70)-SUM(E70:G70))</f>
        <v>0</v>
      </c>
      <c r="I70" s="35" t="str">
        <f>IF(OR(ISBLANK(J70),J70=0),"",Settings!$B$14)</f>
        <v/>
      </c>
      <c r="J70" s="30">
        <f>IF(ISBLANK(C70),0,C70*Inventory!F70)</f>
        <v>0</v>
      </c>
      <c r="K70" s="35" t="str">
        <f>IF(OR(ISBLANK(L70),L70=0),"",Settings!$B$14)</f>
        <v/>
      </c>
      <c r="L70" s="30">
        <f>IF(ISBLANK(Inventory!A70),0,SUM(E70:G70)*Inventory!F70)</f>
        <v>0</v>
      </c>
      <c r="M70" s="35" t="str">
        <f>IF(OR(ISBLANK(N70),N70=0),"",Settings!$B$14)</f>
        <v/>
      </c>
      <c r="N70" s="30">
        <f>IF(ISBLANK(Inventory!A70),0,SUM(E70:G70)*Inventory!L70)</f>
        <v>0</v>
      </c>
      <c r="O70" s="35" t="str">
        <f>IF(OR(ISBLANK(P70),P70=0),"",Settings!$B$14)</f>
        <v/>
      </c>
      <c r="P70" s="30">
        <f>IF(ISBLANK(Inventory!A70),0,H70*Inventory!L70)</f>
        <v>0</v>
      </c>
    </row>
    <row r="71" spans="1:16" s="29" customFormat="1" ht="15" customHeight="1">
      <c r="A71" s="31" t="str">
        <f>IF(ISBLANK(Inventory!A71),"",Inventory!A71)</f>
        <v/>
      </c>
      <c r="B71" s="31" t="str">
        <f>IF(ISBLANK(Inventory!A71),"",Inventory!C71)</f>
        <v/>
      </c>
      <c r="C71" s="187"/>
      <c r="D71" s="192"/>
      <c r="E71" s="187"/>
      <c r="F71" s="187"/>
      <c r="G71" s="187"/>
      <c r="H71" s="37">
        <f>IF(ISBLANK(Inventory!A71),0,C71+SUM('Week 3'!E71:G71)-SUM(E71:G71))</f>
        <v>0</v>
      </c>
      <c r="I71" s="35" t="str">
        <f>IF(OR(ISBLANK(J71),J71=0),"",Settings!$B$14)</f>
        <v/>
      </c>
      <c r="J71" s="30">
        <f>IF(ISBLANK(C71),0,C71*Inventory!F71)</f>
        <v>0</v>
      </c>
      <c r="K71" s="35" t="str">
        <f>IF(OR(ISBLANK(L71),L71=0),"",Settings!$B$14)</f>
        <v/>
      </c>
      <c r="L71" s="30">
        <f>IF(ISBLANK(Inventory!A71),0,SUM(E71:G71)*Inventory!F71)</f>
        <v>0</v>
      </c>
      <c r="M71" s="35" t="str">
        <f>IF(OR(ISBLANK(N71),N71=0),"",Settings!$B$14)</f>
        <v/>
      </c>
      <c r="N71" s="30">
        <f>IF(ISBLANK(Inventory!A71),0,SUM(E71:G71)*Inventory!L71)</f>
        <v>0</v>
      </c>
      <c r="O71" s="35" t="str">
        <f>IF(OR(ISBLANK(P71),P71=0),"",Settings!$B$14)</f>
        <v/>
      </c>
      <c r="P71" s="30">
        <f>IF(ISBLANK(Inventory!A71),0,H71*Inventory!L71)</f>
        <v>0</v>
      </c>
    </row>
    <row r="72" spans="1:16" s="29" customFormat="1" ht="15" customHeight="1">
      <c r="A72" s="31" t="str">
        <f>IF(ISBLANK(Inventory!A72),"",Inventory!A72)</f>
        <v/>
      </c>
      <c r="B72" s="31" t="str">
        <f>IF(ISBLANK(Inventory!A72),"",Inventory!C72)</f>
        <v/>
      </c>
      <c r="C72" s="187"/>
      <c r="D72" s="192"/>
      <c r="E72" s="187"/>
      <c r="F72" s="187"/>
      <c r="G72" s="187"/>
      <c r="H72" s="37">
        <f>IF(ISBLANK(Inventory!A72),0,C72+SUM('Week 3'!E72:G72)-SUM(E72:G72))</f>
        <v>0</v>
      </c>
      <c r="I72" s="35" t="str">
        <f>IF(OR(ISBLANK(J72),J72=0),"",Settings!$B$14)</f>
        <v/>
      </c>
      <c r="J72" s="30">
        <f>IF(ISBLANK(C72),0,C72*Inventory!F72)</f>
        <v>0</v>
      </c>
      <c r="K72" s="35" t="str">
        <f>IF(OR(ISBLANK(L72),L72=0),"",Settings!$B$14)</f>
        <v/>
      </c>
      <c r="L72" s="30">
        <f>IF(ISBLANK(Inventory!A72),0,SUM(E72:G72)*Inventory!F72)</f>
        <v>0</v>
      </c>
      <c r="M72" s="35" t="str">
        <f>IF(OR(ISBLANK(N72),N72=0),"",Settings!$B$14)</f>
        <v/>
      </c>
      <c r="N72" s="30">
        <f>IF(ISBLANK(Inventory!A72),0,SUM(E72:G72)*Inventory!L72)</f>
        <v>0</v>
      </c>
      <c r="O72" s="35" t="str">
        <f>IF(OR(ISBLANK(P72),P72=0),"",Settings!$B$14)</f>
        <v/>
      </c>
      <c r="P72" s="30">
        <f>IF(ISBLANK(Inventory!A72),0,H72*Inventory!L72)</f>
        <v>0</v>
      </c>
    </row>
    <row r="73" spans="1:16" ht="6.95" customHeight="1">
      <c r="A73" s="24"/>
      <c r="B73" s="24"/>
      <c r="C73" s="69"/>
      <c r="D73" s="69"/>
      <c r="E73" s="69"/>
      <c r="F73" s="69"/>
      <c r="G73" s="69"/>
      <c r="H73" s="69"/>
      <c r="I73" s="69"/>
      <c r="J73" s="69"/>
      <c r="K73" s="69"/>
      <c r="L73" s="25"/>
      <c r="M73" s="62"/>
      <c r="N73" s="160"/>
      <c r="O73" s="25"/>
      <c r="P73" s="160"/>
    </row>
    <row r="74" spans="1:16" s="45" customFormat="1" ht="18" customHeight="1" thickBot="1">
      <c r="A74" s="78" t="str">
        <f>Inventory!A74</f>
        <v>TABLE WINES</v>
      </c>
      <c r="B74" s="78" t="str">
        <f>Inventory!C74</f>
        <v>VOLUME</v>
      </c>
      <c r="C74" s="22" t="s">
        <v>187</v>
      </c>
      <c r="D74" s="22"/>
      <c r="E74" s="22" t="s">
        <v>101</v>
      </c>
      <c r="F74" s="22" t="s">
        <v>102</v>
      </c>
      <c r="G74" s="23" t="s">
        <v>108</v>
      </c>
      <c r="H74" s="79" t="s">
        <v>119</v>
      </c>
      <c r="I74" s="253" t="s">
        <v>190</v>
      </c>
      <c r="J74" s="253"/>
      <c r="K74" s="235" t="s">
        <v>30</v>
      </c>
      <c r="L74" s="235"/>
      <c r="M74" s="235" t="s">
        <v>31</v>
      </c>
      <c r="N74" s="235"/>
      <c r="O74" s="235" t="s">
        <v>189</v>
      </c>
      <c r="P74" s="235"/>
    </row>
    <row r="75" spans="1:16" ht="6.95" customHeight="1" thickTop="1">
      <c r="A75" s="193"/>
      <c r="B75" s="194"/>
      <c r="C75" s="71"/>
      <c r="D75" s="71"/>
      <c r="E75" s="67"/>
      <c r="F75" s="67"/>
      <c r="G75" s="71"/>
      <c r="H75" s="71"/>
      <c r="I75" s="71"/>
      <c r="J75" s="71"/>
      <c r="K75" s="71"/>
      <c r="L75" s="67"/>
      <c r="M75" s="62"/>
      <c r="N75" s="67"/>
      <c r="O75" s="67"/>
      <c r="P75" s="67"/>
    </row>
    <row r="76" spans="1:16" s="29" customFormat="1" ht="15" customHeight="1">
      <c r="A76" s="31" t="str">
        <f>IF(ISBLANK(Inventory!A76),"",Inventory!A76)</f>
        <v>35º South Red</v>
      </c>
      <c r="B76" s="31" t="str">
        <f>IF(ISBLANK(Inventory!A76),"",Inventory!C76)</f>
        <v>750ml</v>
      </c>
      <c r="C76" s="187"/>
      <c r="D76" s="192"/>
      <c r="E76" s="187"/>
      <c r="F76" s="187"/>
      <c r="G76" s="187"/>
      <c r="H76" s="37">
        <f>IF(ISBLANK(Inventory!A76),0,C76+SUM('Week 3'!E76:G76)-SUM(E76:G76))</f>
        <v>0</v>
      </c>
      <c r="I76" s="35" t="str">
        <f>IF(OR(ISBLANK(J76),J76=0),"",Settings!$B$14)</f>
        <v/>
      </c>
      <c r="J76" s="30">
        <f>IF(ISBLANK(C76),0,C76*Inventory!H76)</f>
        <v>0</v>
      </c>
      <c r="K76" s="35" t="str">
        <f>IF(OR(ISBLANK(L76),L76=0),"",Settings!$B$14)</f>
        <v/>
      </c>
      <c r="L76" s="30">
        <f>IF(ISBLANK(Inventory!A76),0,SUM(E76:G76)*Inventory!H76)</f>
        <v>0</v>
      </c>
      <c r="M76" s="35" t="str">
        <f>IF(OR(ISBLANK(N76),N76=0),"",Settings!$B$14)</f>
        <v/>
      </c>
      <c r="N76" s="30">
        <f>IF(ISBLANK(Inventory!A76),0,SUM(E76:G76)*Inventory!J76)</f>
        <v>0</v>
      </c>
      <c r="O76" s="35" t="str">
        <f>IF(OR(ISBLANK(P76),P76=0),"",Settings!$B$14)</f>
        <v/>
      </c>
      <c r="P76" s="30">
        <f>IF(ISBLANK(Inventory!A76),0,H76*Inventory!J76)</f>
        <v>0</v>
      </c>
    </row>
    <row r="77" spans="1:16" s="29" customFormat="1" ht="15" customHeight="1">
      <c r="A77" s="31" t="str">
        <f>IF(ISBLANK(Inventory!A77),"",Inventory!A77)</f>
        <v>Lindemans' Chardonnay</v>
      </c>
      <c r="B77" s="31" t="str">
        <f>IF(ISBLANK(Inventory!A77),"",Inventory!C77)</f>
        <v>750ml</v>
      </c>
      <c r="C77" s="187"/>
      <c r="D77" s="192"/>
      <c r="E77" s="187"/>
      <c r="F77" s="187"/>
      <c r="G77" s="187"/>
      <c r="H77" s="37">
        <f>IF(ISBLANK(Inventory!A77),0,C77+SUM('Week 3'!E77:G77)-SUM(E77:G77))</f>
        <v>0</v>
      </c>
      <c r="I77" s="35" t="str">
        <f>IF(OR(ISBLANK(J77),J77=0),"",Settings!$B$14)</f>
        <v/>
      </c>
      <c r="J77" s="30">
        <f>IF(ISBLANK(C77),0,C77*Inventory!H77)</f>
        <v>0</v>
      </c>
      <c r="K77" s="35" t="str">
        <f>IF(OR(ISBLANK(L77),L77=0),"",Settings!$B$14)</f>
        <v/>
      </c>
      <c r="L77" s="30">
        <f>IF(ISBLANK(Inventory!A77),0,SUM(E77:G77)*Inventory!H77)</f>
        <v>0</v>
      </c>
      <c r="M77" s="35" t="str">
        <f>IF(OR(ISBLANK(N77),N77=0),"",Settings!$B$14)</f>
        <v/>
      </c>
      <c r="N77" s="30">
        <f>IF(ISBLANK(Inventory!A77),0,SUM(E77:G77)*Inventory!J77)</f>
        <v>0</v>
      </c>
      <c r="O77" s="35" t="str">
        <f>IF(OR(ISBLANK(P77),P77=0),"",Settings!$B$14)</f>
        <v/>
      </c>
      <c r="P77" s="30">
        <f>IF(ISBLANK(Inventory!A77),0,H77*Inventory!J77)</f>
        <v>0</v>
      </c>
    </row>
    <row r="78" spans="1:16" s="29" customFormat="1" ht="15" customHeight="1">
      <c r="A78" s="31" t="str">
        <f>IF(ISBLANK(Inventory!A78),"",Inventory!A78)</f>
        <v>Arniston Bay</v>
      </c>
      <c r="B78" s="31" t="str">
        <f>IF(ISBLANK(Inventory!A78),"",Inventory!C78)</f>
        <v>750ml</v>
      </c>
      <c r="C78" s="187"/>
      <c r="D78" s="192"/>
      <c r="E78" s="187"/>
      <c r="F78" s="187"/>
      <c r="G78" s="187"/>
      <c r="H78" s="37">
        <f>IF(ISBLANK(Inventory!A78),0,C78+SUM('Week 3'!E78:G78)-SUM(E78:G78))</f>
        <v>0</v>
      </c>
      <c r="I78" s="35" t="str">
        <f>IF(OR(ISBLANK(J78),J78=0),"",Settings!$B$14)</f>
        <v/>
      </c>
      <c r="J78" s="30">
        <f>IF(ISBLANK(C78),0,C78*Inventory!H78)</f>
        <v>0</v>
      </c>
      <c r="K78" s="35" t="str">
        <f>IF(OR(ISBLANK(L78),L78=0),"",Settings!$B$14)</f>
        <v/>
      </c>
      <c r="L78" s="30">
        <f>IF(ISBLANK(Inventory!A78),0,SUM(E78:G78)*Inventory!H78)</f>
        <v>0</v>
      </c>
      <c r="M78" s="35" t="str">
        <f>IF(OR(ISBLANK(N78),N78=0),"",Settings!$B$14)</f>
        <v/>
      </c>
      <c r="N78" s="30">
        <f>IF(ISBLANK(Inventory!A78),0,SUM(E78:G78)*Inventory!J78)</f>
        <v>0</v>
      </c>
      <c r="O78" s="35" t="str">
        <f>IF(OR(ISBLANK(P78),P78=0),"",Settings!$B$14)</f>
        <v/>
      </c>
      <c r="P78" s="30">
        <f>IF(ISBLANK(Inventory!A78),0,H78*Inventory!J78)</f>
        <v>0</v>
      </c>
    </row>
    <row r="79" spans="1:16" s="29" customFormat="1" ht="15" customHeight="1">
      <c r="A79" s="31" t="str">
        <f>IF(ISBLANK(Inventory!A79),"",Inventory!A79)</f>
        <v>Côtes du Rhône</v>
      </c>
      <c r="B79" s="31" t="str">
        <f>IF(ISBLANK(Inventory!A79),"",Inventory!C79)</f>
        <v>750ml</v>
      </c>
      <c r="C79" s="187"/>
      <c r="D79" s="192"/>
      <c r="E79" s="187"/>
      <c r="F79" s="187"/>
      <c r="G79" s="187"/>
      <c r="H79" s="37">
        <f>IF(ISBLANK(Inventory!A79),0,C79+SUM('Week 3'!E79:G79)-SUM(E79:G79))</f>
        <v>0</v>
      </c>
      <c r="I79" s="35" t="str">
        <f>IF(OR(ISBLANK(J79),J79=0),"",Settings!$B$14)</f>
        <v/>
      </c>
      <c r="J79" s="30">
        <f>IF(ISBLANK(C79),0,C79*Inventory!H79)</f>
        <v>0</v>
      </c>
      <c r="K79" s="35" t="str">
        <f>IF(OR(ISBLANK(L79),L79=0),"",Settings!$B$14)</f>
        <v/>
      </c>
      <c r="L79" s="30">
        <f>IF(ISBLANK(Inventory!A79),0,SUM(E79:G79)*Inventory!H79)</f>
        <v>0</v>
      </c>
      <c r="M79" s="35" t="str">
        <f>IF(OR(ISBLANK(N79),N79=0),"",Settings!$B$14)</f>
        <v/>
      </c>
      <c r="N79" s="30">
        <f>IF(ISBLANK(Inventory!A79),0,SUM(E79:G79)*Inventory!J79)</f>
        <v>0</v>
      </c>
      <c r="O79" s="35" t="str">
        <f>IF(OR(ISBLANK(P79),P79=0),"",Settings!$B$14)</f>
        <v/>
      </c>
      <c r="P79" s="30">
        <f>IF(ISBLANK(Inventory!A79),0,H79*Inventory!J79)</f>
        <v>0</v>
      </c>
    </row>
    <row r="80" spans="1:16" s="29" customFormat="1" ht="15" customHeight="1">
      <c r="A80" s="31" t="str">
        <f>IF(ISBLANK(Inventory!A80),"",Inventory!A80)</f>
        <v>Jacobs Creek</v>
      </c>
      <c r="B80" s="31" t="str">
        <f>IF(ISBLANK(Inventory!A80),"",Inventory!C80)</f>
        <v>750ml</v>
      </c>
      <c r="C80" s="187"/>
      <c r="D80" s="192"/>
      <c r="E80" s="187"/>
      <c r="F80" s="187"/>
      <c r="G80" s="187"/>
      <c r="H80" s="37">
        <f>IF(ISBLANK(Inventory!A80),0,C80+SUM('Week 3'!E80:G80)-SUM(E80:G80))</f>
        <v>0</v>
      </c>
      <c r="I80" s="35" t="str">
        <f>IF(OR(ISBLANK(J80),J80=0),"",Settings!$B$14)</f>
        <v/>
      </c>
      <c r="J80" s="30">
        <f>IF(ISBLANK(C80),0,C80*Inventory!H80)</f>
        <v>0</v>
      </c>
      <c r="K80" s="35" t="str">
        <f>IF(OR(ISBLANK(L80),L80=0),"",Settings!$B$14)</f>
        <v/>
      </c>
      <c r="L80" s="30">
        <f>IF(ISBLANK(Inventory!A80),0,SUM(E80:G80)*Inventory!H80)</f>
        <v>0</v>
      </c>
      <c r="M80" s="35" t="str">
        <f>IF(OR(ISBLANK(N80),N80=0),"",Settings!$B$14)</f>
        <v/>
      </c>
      <c r="N80" s="30">
        <f>IF(ISBLANK(Inventory!A80),0,SUM(E80:G80)*Inventory!J80)</f>
        <v>0</v>
      </c>
      <c r="O80" s="35" t="str">
        <f>IF(OR(ISBLANK(P80),P80=0),"",Settings!$B$14)</f>
        <v/>
      </c>
      <c r="P80" s="30">
        <f>IF(ISBLANK(Inventory!A80),0,H80*Inventory!J80)</f>
        <v>0</v>
      </c>
    </row>
    <row r="81" spans="1:16" s="29" customFormat="1" ht="15" customHeight="1">
      <c r="A81" s="31" t="str">
        <f>IF(ISBLANK(Inventory!A81),"",Inventory!A81)</f>
        <v>Louis Raymond</v>
      </c>
      <c r="B81" s="31" t="str">
        <f>IF(ISBLANK(Inventory!A81),"",Inventory!C81)</f>
        <v>375ml</v>
      </c>
      <c r="C81" s="187"/>
      <c r="D81" s="192"/>
      <c r="E81" s="187"/>
      <c r="F81" s="187"/>
      <c r="G81" s="187"/>
      <c r="H81" s="37">
        <f>IF(ISBLANK(Inventory!A81),0,C81+SUM('Week 3'!E81:G81)-SUM(E81:G81))</f>
        <v>0</v>
      </c>
      <c r="I81" s="35" t="str">
        <f>IF(OR(ISBLANK(J81),J81=0),"",Settings!$B$14)</f>
        <v/>
      </c>
      <c r="J81" s="30">
        <f>IF(ISBLANK(C81),0,C81*Inventory!H81)</f>
        <v>0</v>
      </c>
      <c r="K81" s="35" t="str">
        <f>IF(OR(ISBLANK(L81),L81=0),"",Settings!$B$14)</f>
        <v/>
      </c>
      <c r="L81" s="30">
        <f>IF(ISBLANK(Inventory!A81),0,SUM(E81:G81)*Inventory!H81)</f>
        <v>0</v>
      </c>
      <c r="M81" s="35" t="str">
        <f>IF(OR(ISBLANK(N81),N81=0),"",Settings!$B$14)</f>
        <v/>
      </c>
      <c r="N81" s="30">
        <f>IF(ISBLANK(Inventory!A81),0,SUM(E81:G81)*Inventory!J81)</f>
        <v>0</v>
      </c>
      <c r="O81" s="35" t="str">
        <f>IF(OR(ISBLANK(P81),P81=0),"",Settings!$B$14)</f>
        <v/>
      </c>
      <c r="P81" s="30">
        <f>IF(ISBLANK(Inventory!A81),0,H81*Inventory!J81)</f>
        <v>0</v>
      </c>
    </row>
    <row r="82" spans="1:16" s="29" customFormat="1" ht="15" customHeight="1">
      <c r="A82" s="31" t="str">
        <f>IF(ISBLANK(Inventory!A82),"",Inventory!A82)</f>
        <v>Castletorre</v>
      </c>
      <c r="B82" s="31" t="str">
        <f>IF(ISBLANK(Inventory!A82),"",Inventory!C82)</f>
        <v>375ml</v>
      </c>
      <c r="C82" s="187"/>
      <c r="D82" s="192"/>
      <c r="E82" s="187"/>
      <c r="F82" s="187"/>
      <c r="G82" s="187"/>
      <c r="H82" s="37">
        <f>IF(ISBLANK(Inventory!A82),0,C82+SUM('Week 3'!E82:G82)-SUM(E82:G82))</f>
        <v>0</v>
      </c>
      <c r="I82" s="35" t="str">
        <f>IF(OR(ISBLANK(J82),J82=0),"",Settings!$B$14)</f>
        <v/>
      </c>
      <c r="J82" s="30">
        <f>IF(ISBLANK(C82),0,C82*Inventory!H82)</f>
        <v>0</v>
      </c>
      <c r="K82" s="35" t="str">
        <f>IF(OR(ISBLANK(L82),L82=0),"",Settings!$B$14)</f>
        <v/>
      </c>
      <c r="L82" s="30">
        <f>IF(ISBLANK(Inventory!A82),0,SUM(E82:G82)*Inventory!H82)</f>
        <v>0</v>
      </c>
      <c r="M82" s="35" t="str">
        <f>IF(OR(ISBLANK(N82),N82=0),"",Settings!$B$14)</f>
        <v/>
      </c>
      <c r="N82" s="30">
        <f>IF(ISBLANK(Inventory!A82),0,SUM(E82:G82)*Inventory!J82)</f>
        <v>0</v>
      </c>
      <c r="O82" s="35" t="str">
        <f>IF(OR(ISBLANK(P82),P82=0),"",Settings!$B$14)</f>
        <v/>
      </c>
      <c r="P82" s="30">
        <f>IF(ISBLANK(Inventory!A82),0,H82*Inventory!J82)</f>
        <v>0</v>
      </c>
    </row>
    <row r="83" spans="1:16" s="29" customFormat="1" ht="15" customHeight="1">
      <c r="A83" s="31" t="str">
        <f>IF(ISBLANK(Inventory!A83),"",Inventory!A83)</f>
        <v>Muscadet</v>
      </c>
      <c r="B83" s="31" t="str">
        <f>IF(ISBLANK(Inventory!A83),"",Inventory!C83)</f>
        <v>750ml</v>
      </c>
      <c r="C83" s="187"/>
      <c r="D83" s="192"/>
      <c r="E83" s="187"/>
      <c r="F83" s="187"/>
      <c r="G83" s="187"/>
      <c r="H83" s="37">
        <f>IF(ISBLANK(Inventory!A83),0,C83+SUM('Week 3'!E83:G83)-SUM(E83:G83))</f>
        <v>0</v>
      </c>
      <c r="I83" s="35" t="str">
        <f>IF(OR(ISBLANK(J83),J83=0),"",Settings!$B$14)</f>
        <v/>
      </c>
      <c r="J83" s="30">
        <f>IF(ISBLANK(C83),0,C83*Inventory!H83)</f>
        <v>0</v>
      </c>
      <c r="K83" s="35" t="str">
        <f>IF(OR(ISBLANK(L83),L83=0),"",Settings!$B$14)</f>
        <v/>
      </c>
      <c r="L83" s="30">
        <f>IF(ISBLANK(Inventory!A83),0,SUM(E83:G83)*Inventory!H83)</f>
        <v>0</v>
      </c>
      <c r="M83" s="35" t="str">
        <f>IF(OR(ISBLANK(N83),N83=0),"",Settings!$B$14)</f>
        <v/>
      </c>
      <c r="N83" s="30">
        <f>IF(ISBLANK(Inventory!A83),0,SUM(E83:G83)*Inventory!J83)</f>
        <v>0</v>
      </c>
      <c r="O83" s="35" t="str">
        <f>IF(OR(ISBLANK(P83),P83=0),"",Settings!$B$14)</f>
        <v/>
      </c>
      <c r="P83" s="30">
        <f>IF(ISBLANK(Inventory!A83),0,H83*Inventory!J83)</f>
        <v>0</v>
      </c>
    </row>
    <row r="84" spans="1:16" s="29" customFormat="1" ht="15" customHeight="1">
      <c r="A84" s="31" t="str">
        <f>IF(ISBLANK(Inventory!A84),"",Inventory!A84)</f>
        <v>Piesporter</v>
      </c>
      <c r="B84" s="31" t="str">
        <f>IF(ISBLANK(Inventory!A84),"",Inventory!C84)</f>
        <v>750ml</v>
      </c>
      <c r="C84" s="187"/>
      <c r="D84" s="192"/>
      <c r="E84" s="187"/>
      <c r="F84" s="187"/>
      <c r="G84" s="187"/>
      <c r="H84" s="37">
        <f>IF(ISBLANK(Inventory!A84),0,C84+SUM('Week 3'!E84:G84)-SUM(E84:G84))</f>
        <v>0</v>
      </c>
      <c r="I84" s="35" t="str">
        <f>IF(OR(ISBLANK(J84),J84=0),"",Settings!$B$14)</f>
        <v/>
      </c>
      <c r="J84" s="30">
        <f>IF(ISBLANK(C84),0,C84*Inventory!H84)</f>
        <v>0</v>
      </c>
      <c r="K84" s="35" t="str">
        <f>IF(OR(ISBLANK(L84),L84=0),"",Settings!$B$14)</f>
        <v/>
      </c>
      <c r="L84" s="30">
        <f>IF(ISBLANK(Inventory!A84),0,SUM(E84:G84)*Inventory!H84)</f>
        <v>0</v>
      </c>
      <c r="M84" s="35" t="str">
        <f>IF(OR(ISBLANK(N84),N84=0),"",Settings!$B$14)</f>
        <v/>
      </c>
      <c r="N84" s="30">
        <f>IF(ISBLANK(Inventory!A84),0,SUM(E84:G84)*Inventory!J84)</f>
        <v>0</v>
      </c>
      <c r="O84" s="35" t="str">
        <f>IF(OR(ISBLANK(P84),P84=0),"",Settings!$B$14)</f>
        <v/>
      </c>
      <c r="P84" s="30">
        <f>IF(ISBLANK(Inventory!A84),0,H84*Inventory!J84)</f>
        <v>0</v>
      </c>
    </row>
    <row r="85" spans="1:16" s="29" customFormat="1" ht="15" customHeight="1">
      <c r="A85" s="31" t="str">
        <f>IF(ISBLANK(Inventory!A85),"",Inventory!A85)</f>
        <v>Piesporter (Small)</v>
      </c>
      <c r="B85" s="31" t="str">
        <f>IF(ISBLANK(Inventory!A85),"",Inventory!C85)</f>
        <v>375ml</v>
      </c>
      <c r="C85" s="187"/>
      <c r="D85" s="192"/>
      <c r="E85" s="187"/>
      <c r="F85" s="187"/>
      <c r="G85" s="187"/>
      <c r="H85" s="37">
        <f>IF(ISBLANK(Inventory!A85),0,C85+SUM('Week 3'!E85:G85)-SUM(E85:G85))</f>
        <v>0</v>
      </c>
      <c r="I85" s="35" t="str">
        <f>IF(OR(ISBLANK(J85),J85=0),"",Settings!$B$14)</f>
        <v/>
      </c>
      <c r="J85" s="30">
        <f>IF(ISBLANK(C85),0,C85*Inventory!H85)</f>
        <v>0</v>
      </c>
      <c r="K85" s="35" t="str">
        <f>IF(OR(ISBLANK(L85),L85=0),"",Settings!$B$14)</f>
        <v/>
      </c>
      <c r="L85" s="30">
        <f>IF(ISBLANK(Inventory!A85),0,SUM(E85:G85)*Inventory!H85)</f>
        <v>0</v>
      </c>
      <c r="M85" s="35" t="str">
        <f>IF(OR(ISBLANK(N85),N85=0),"",Settings!$B$14)</f>
        <v/>
      </c>
      <c r="N85" s="30">
        <f>IF(ISBLANK(Inventory!A85),0,SUM(E85:G85)*Inventory!J85)</f>
        <v>0</v>
      </c>
      <c r="O85" s="35" t="str">
        <f>IF(OR(ISBLANK(P85),P85=0),"",Settings!$B$14)</f>
        <v/>
      </c>
      <c r="P85" s="30">
        <f>IF(ISBLANK(Inventory!A85),0,H85*Inventory!J85)</f>
        <v>0</v>
      </c>
    </row>
    <row r="86" spans="1:16" s="29" customFormat="1" ht="15" customHeight="1">
      <c r="A86" s="31" t="str">
        <f>IF(ISBLANK(Inventory!A86),"",Inventory!A86)</f>
        <v>Pinot Grigio</v>
      </c>
      <c r="B86" s="31" t="str">
        <f>IF(ISBLANK(Inventory!A86),"",Inventory!C86)</f>
        <v>750ml</v>
      </c>
      <c r="C86" s="187"/>
      <c r="D86" s="192"/>
      <c r="E86" s="187"/>
      <c r="F86" s="187"/>
      <c r="G86" s="187"/>
      <c r="H86" s="37">
        <f>IF(ISBLANK(Inventory!A86),0,C86+SUM('Week 3'!E86:G86)-SUM(E86:G86))</f>
        <v>0</v>
      </c>
      <c r="I86" s="35" t="str">
        <f>IF(OR(ISBLANK(J86),J86=0),"",Settings!$B$14)</f>
        <v/>
      </c>
      <c r="J86" s="30">
        <f>IF(ISBLANK(C86),0,C86*Inventory!H86)</f>
        <v>0</v>
      </c>
      <c r="K86" s="35" t="str">
        <f>IF(OR(ISBLANK(L86),L86=0),"",Settings!$B$14)</f>
        <v/>
      </c>
      <c r="L86" s="30">
        <f>IF(ISBLANK(Inventory!A86),0,SUM(E86:G86)*Inventory!H86)</f>
        <v>0</v>
      </c>
      <c r="M86" s="35" t="str">
        <f>IF(OR(ISBLANK(N86),N86=0),"",Settings!$B$14)</f>
        <v/>
      </c>
      <c r="N86" s="30">
        <f>IF(ISBLANK(Inventory!A86),0,SUM(E86:G86)*Inventory!J86)</f>
        <v>0</v>
      </c>
      <c r="O86" s="35" t="str">
        <f>IF(OR(ISBLANK(P86),P86=0),"",Settings!$B$14)</f>
        <v/>
      </c>
      <c r="P86" s="30">
        <f>IF(ISBLANK(Inventory!A86),0,H86*Inventory!J86)</f>
        <v>0</v>
      </c>
    </row>
    <row r="87" spans="1:16" s="29" customFormat="1" ht="15" customHeight="1">
      <c r="A87" s="31" t="str">
        <f>IF(ISBLANK(Inventory!A87),"",Inventory!A87)</f>
        <v>Faustino Crianza</v>
      </c>
      <c r="B87" s="31" t="str">
        <f>IF(ISBLANK(Inventory!A87),"",Inventory!C87)</f>
        <v>750ml</v>
      </c>
      <c r="C87" s="187"/>
      <c r="D87" s="192"/>
      <c r="E87" s="187"/>
      <c r="F87" s="187"/>
      <c r="G87" s="187"/>
      <c r="H87" s="37">
        <f>IF(ISBLANK(Inventory!A87),0,C87+SUM('Week 3'!E87:G87)-SUM(E87:G87))</f>
        <v>0</v>
      </c>
      <c r="I87" s="35" t="str">
        <f>IF(OR(ISBLANK(J87),J87=0),"",Settings!$B$14)</f>
        <v/>
      </c>
      <c r="J87" s="30">
        <f>IF(ISBLANK(C87),0,C87*Inventory!H87)</f>
        <v>0</v>
      </c>
      <c r="K87" s="35" t="str">
        <f>IF(OR(ISBLANK(L87),L87=0),"",Settings!$B$14)</f>
        <v/>
      </c>
      <c r="L87" s="30">
        <f>IF(ISBLANK(Inventory!A87),0,SUM(E87:G87)*Inventory!H87)</f>
        <v>0</v>
      </c>
      <c r="M87" s="35" t="str">
        <f>IF(OR(ISBLANK(N87),N87=0),"",Settings!$B$14)</f>
        <v/>
      </c>
      <c r="N87" s="30">
        <f>IF(ISBLANK(Inventory!A87),0,SUM(E87:G87)*Inventory!J87)</f>
        <v>0</v>
      </c>
      <c r="O87" s="35" t="str">
        <f>IF(OR(ISBLANK(P87),P87=0),"",Settings!$B$14)</f>
        <v/>
      </c>
      <c r="P87" s="30">
        <f>IF(ISBLANK(Inventory!A87),0,H87*Inventory!J87)</f>
        <v>0</v>
      </c>
    </row>
    <row r="88" spans="1:16" s="29" customFormat="1" ht="15" customHeight="1">
      <c r="A88" s="31" t="str">
        <f>IF(ISBLANK(Inventory!A88),"",Inventory!A88)</f>
        <v>35º South White</v>
      </c>
      <c r="B88" s="31" t="str">
        <f>IF(ISBLANK(Inventory!A88),"",Inventory!C88)</f>
        <v>750ml</v>
      </c>
      <c r="C88" s="187"/>
      <c r="D88" s="192"/>
      <c r="E88" s="187"/>
      <c r="F88" s="187"/>
      <c r="G88" s="187"/>
      <c r="H88" s="37">
        <f>IF(ISBLANK(Inventory!A88),0,C88+SUM('Week 3'!E88:G88)-SUM(E88:G88))</f>
        <v>0</v>
      </c>
      <c r="I88" s="35" t="str">
        <f>IF(OR(ISBLANK(J88),J88=0),"",Settings!$B$14)</f>
        <v/>
      </c>
      <c r="J88" s="30">
        <f>IF(ISBLANK(C88),0,C88*Inventory!H88)</f>
        <v>0</v>
      </c>
      <c r="K88" s="35" t="str">
        <f>IF(OR(ISBLANK(L88),L88=0),"",Settings!$B$14)</f>
        <v/>
      </c>
      <c r="L88" s="30">
        <f>IF(ISBLANK(Inventory!A88),0,SUM(E88:G88)*Inventory!H88)</f>
        <v>0</v>
      </c>
      <c r="M88" s="35" t="str">
        <f>IF(OR(ISBLANK(N88),N88=0),"",Settings!$B$14)</f>
        <v/>
      </c>
      <c r="N88" s="30">
        <f>IF(ISBLANK(Inventory!A88),0,SUM(E88:G88)*Inventory!J88)</f>
        <v>0</v>
      </c>
      <c r="O88" s="35" t="str">
        <f>IF(OR(ISBLANK(P88),P88=0),"",Settings!$B$14)</f>
        <v/>
      </c>
      <c r="P88" s="30">
        <f>IF(ISBLANK(Inventory!A88),0,H88*Inventory!J88)</f>
        <v>0</v>
      </c>
    </row>
    <row r="89" spans="1:16" s="29" customFormat="1" ht="15" customHeight="1">
      <c r="A89" s="31" t="str">
        <f>IF(ISBLANK(Inventory!A89),"",Inventory!A89)</f>
        <v/>
      </c>
      <c r="B89" s="31" t="str">
        <f>IF(ISBLANK(Inventory!A89),"",Inventory!C89)</f>
        <v/>
      </c>
      <c r="C89" s="187"/>
      <c r="D89" s="192"/>
      <c r="E89" s="187"/>
      <c r="F89" s="187"/>
      <c r="G89" s="187"/>
      <c r="H89" s="37">
        <f>IF(ISBLANK(Inventory!A89),0,C89+SUM('Week 3'!E89:G89)-SUM(E89:G89))</f>
        <v>0</v>
      </c>
      <c r="I89" s="35" t="str">
        <f>IF(OR(ISBLANK(J89),J89=0),"",Settings!$B$14)</f>
        <v/>
      </c>
      <c r="J89" s="30">
        <f>IF(ISBLANK(C89),0,C89*Inventory!H89)</f>
        <v>0</v>
      </c>
      <c r="K89" s="35" t="str">
        <f>IF(OR(ISBLANK(L89),L89=0),"",Settings!$B$14)</f>
        <v/>
      </c>
      <c r="L89" s="30">
        <f>IF(ISBLANK(Inventory!A89),0,SUM(E89:G89)*Inventory!H89)</f>
        <v>0</v>
      </c>
      <c r="M89" s="35" t="str">
        <f>IF(OR(ISBLANK(N89),N89=0),"",Settings!$B$14)</f>
        <v/>
      </c>
      <c r="N89" s="30">
        <f>IF(ISBLANK(Inventory!A89),0,SUM(E89:G89)*Inventory!J89)</f>
        <v>0</v>
      </c>
      <c r="O89" s="35" t="str">
        <f>IF(OR(ISBLANK(P89),P89=0),"",Settings!$B$14)</f>
        <v/>
      </c>
      <c r="P89" s="30">
        <f>IF(ISBLANK(Inventory!A89),0,H89*Inventory!J89)</f>
        <v>0</v>
      </c>
    </row>
    <row r="90" spans="1:16" s="29" customFormat="1" ht="15" customHeight="1">
      <c r="A90" s="31" t="str">
        <f>IF(ISBLANK(Inventory!A90),"",Inventory!A90)</f>
        <v/>
      </c>
      <c r="B90" s="31" t="str">
        <f>IF(ISBLANK(Inventory!A90),"",Inventory!C90)</f>
        <v/>
      </c>
      <c r="C90" s="187"/>
      <c r="D90" s="192"/>
      <c r="E90" s="187"/>
      <c r="F90" s="187"/>
      <c r="G90" s="187"/>
      <c r="H90" s="37">
        <f>IF(ISBLANK(Inventory!A90),0,C90+SUM('Week 3'!E90:G90)-SUM(E90:G90))</f>
        <v>0</v>
      </c>
      <c r="I90" s="35" t="str">
        <f>IF(OR(ISBLANK(J90),J90=0),"",Settings!$B$14)</f>
        <v/>
      </c>
      <c r="J90" s="30">
        <f>IF(ISBLANK(C90),0,C90*Inventory!H90)</f>
        <v>0</v>
      </c>
      <c r="K90" s="35" t="str">
        <f>IF(OR(ISBLANK(L90),L90=0),"",Settings!$B$14)</f>
        <v/>
      </c>
      <c r="L90" s="30">
        <f>IF(ISBLANK(Inventory!A90),0,SUM(E90:G90)*Inventory!H90)</f>
        <v>0</v>
      </c>
      <c r="M90" s="35" t="str">
        <f>IF(OR(ISBLANK(N90),N90=0),"",Settings!$B$14)</f>
        <v/>
      </c>
      <c r="N90" s="30">
        <f>IF(ISBLANK(Inventory!A90),0,SUM(E90:G90)*Inventory!J90)</f>
        <v>0</v>
      </c>
      <c r="O90" s="35" t="str">
        <f>IF(OR(ISBLANK(P90),P90=0),"",Settings!$B$14)</f>
        <v/>
      </c>
      <c r="P90" s="30">
        <f>IF(ISBLANK(Inventory!A90),0,H90*Inventory!J90)</f>
        <v>0</v>
      </c>
    </row>
    <row r="91" spans="1:16" s="29" customFormat="1" ht="15" customHeight="1">
      <c r="A91" s="31" t="str">
        <f>IF(ISBLANK(Inventory!A91),"",Inventory!A91)</f>
        <v/>
      </c>
      <c r="B91" s="31" t="str">
        <f>IF(ISBLANK(Inventory!A91),"",Inventory!C91)</f>
        <v/>
      </c>
      <c r="C91" s="187"/>
      <c r="D91" s="192"/>
      <c r="E91" s="187"/>
      <c r="F91" s="187"/>
      <c r="G91" s="187"/>
      <c r="H91" s="37">
        <f>IF(ISBLANK(Inventory!A91),0,C91+SUM('Week 3'!E91:G91)-SUM(E91:G91))</f>
        <v>0</v>
      </c>
      <c r="I91" s="35" t="str">
        <f>IF(OR(ISBLANK(J91),J91=0),"",Settings!$B$14)</f>
        <v/>
      </c>
      <c r="J91" s="30">
        <f>IF(ISBLANK(C91),0,C91*Inventory!H91)</f>
        <v>0</v>
      </c>
      <c r="K91" s="35" t="str">
        <f>IF(OR(ISBLANK(L91),L91=0),"",Settings!$B$14)</f>
        <v/>
      </c>
      <c r="L91" s="30">
        <f>IF(ISBLANK(Inventory!A91),0,SUM(E91:G91)*Inventory!H91)</f>
        <v>0</v>
      </c>
      <c r="M91" s="35" t="str">
        <f>IF(OR(ISBLANK(N91),N91=0),"",Settings!$B$14)</f>
        <v/>
      </c>
      <c r="N91" s="30">
        <f>IF(ISBLANK(Inventory!A91),0,SUM(E91:G91)*Inventory!J91)</f>
        <v>0</v>
      </c>
      <c r="O91" s="35" t="str">
        <f>IF(OR(ISBLANK(P91),P91=0),"",Settings!$B$14)</f>
        <v/>
      </c>
      <c r="P91" s="30">
        <f>IF(ISBLANK(Inventory!A91),0,H91*Inventory!J91)</f>
        <v>0</v>
      </c>
    </row>
    <row r="92" spans="1:16" s="29" customFormat="1" ht="15" customHeight="1">
      <c r="A92" s="31" t="str">
        <f>IF(ISBLANK(Inventory!A92),"",Inventory!A92)</f>
        <v/>
      </c>
      <c r="B92" s="31" t="str">
        <f>IF(ISBLANK(Inventory!A92),"",Inventory!C92)</f>
        <v/>
      </c>
      <c r="C92" s="187"/>
      <c r="D92" s="192"/>
      <c r="E92" s="187"/>
      <c r="F92" s="187"/>
      <c r="G92" s="187"/>
      <c r="H92" s="37">
        <f>IF(ISBLANK(Inventory!A92),0,C92+SUM('Week 3'!E92:G92)-SUM(E92:G92))</f>
        <v>0</v>
      </c>
      <c r="I92" s="35" t="str">
        <f>IF(OR(ISBLANK(J92),J92=0),"",Settings!$B$14)</f>
        <v/>
      </c>
      <c r="J92" s="30">
        <f>IF(ISBLANK(C92),0,C92*Inventory!H92)</f>
        <v>0</v>
      </c>
      <c r="K92" s="35" t="str">
        <f>IF(OR(ISBLANK(L92),L92=0),"",Settings!$B$14)</f>
        <v/>
      </c>
      <c r="L92" s="30">
        <f>IF(ISBLANK(Inventory!A92),0,SUM(E92:G92)*Inventory!H92)</f>
        <v>0</v>
      </c>
      <c r="M92" s="35" t="str">
        <f>IF(OR(ISBLANK(N92),N92=0),"",Settings!$B$14)</f>
        <v/>
      </c>
      <c r="N92" s="30">
        <f>IF(ISBLANK(Inventory!A92),0,SUM(E92:G92)*Inventory!J92)</f>
        <v>0</v>
      </c>
      <c r="O92" s="35" t="str">
        <f>IF(OR(ISBLANK(P92),P92=0),"",Settings!$B$14)</f>
        <v/>
      </c>
      <c r="P92" s="30">
        <f>IF(ISBLANK(Inventory!A92),0,H92*Inventory!J92)</f>
        <v>0</v>
      </c>
    </row>
    <row r="93" spans="1:16" s="29" customFormat="1" ht="15" customHeight="1">
      <c r="A93" s="31" t="str">
        <f>IF(ISBLANK(Inventory!A93),"",Inventory!A93)</f>
        <v/>
      </c>
      <c r="B93" s="31" t="str">
        <f>IF(ISBLANK(Inventory!A93),"",Inventory!C93)</f>
        <v/>
      </c>
      <c r="C93" s="187"/>
      <c r="D93" s="192"/>
      <c r="E93" s="187"/>
      <c r="F93" s="187"/>
      <c r="G93" s="187"/>
      <c r="H93" s="37">
        <f>IF(ISBLANK(Inventory!A93),0,C93+SUM('Week 3'!E93:G93)-SUM(E93:G93))</f>
        <v>0</v>
      </c>
      <c r="I93" s="35" t="str">
        <f>IF(OR(ISBLANK(J93),J93=0),"",Settings!$B$14)</f>
        <v/>
      </c>
      <c r="J93" s="30">
        <f>IF(ISBLANK(C93),0,C93*Inventory!H93)</f>
        <v>0</v>
      </c>
      <c r="K93" s="35" t="str">
        <f>IF(OR(ISBLANK(L93),L93=0),"",Settings!$B$14)</f>
        <v/>
      </c>
      <c r="L93" s="30">
        <f>IF(ISBLANK(Inventory!A93),0,SUM(E93:G93)*Inventory!H93)</f>
        <v>0</v>
      </c>
      <c r="M93" s="35" t="str">
        <f>IF(OR(ISBLANK(N93),N93=0),"",Settings!$B$14)</f>
        <v/>
      </c>
      <c r="N93" s="30">
        <f>IF(ISBLANK(Inventory!A93),0,SUM(E93:G93)*Inventory!J93)</f>
        <v>0</v>
      </c>
      <c r="O93" s="35" t="str">
        <f>IF(OR(ISBLANK(P93),P93=0),"",Settings!$B$14)</f>
        <v/>
      </c>
      <c r="P93" s="30">
        <f>IF(ISBLANK(Inventory!A93),0,H93*Inventory!J93)</f>
        <v>0</v>
      </c>
    </row>
    <row r="94" spans="1:16" s="29" customFormat="1" ht="15" customHeight="1">
      <c r="A94" s="31" t="str">
        <f>IF(ISBLANK(Inventory!A94),"",Inventory!A94)</f>
        <v/>
      </c>
      <c r="B94" s="31" t="str">
        <f>IF(ISBLANK(Inventory!A94),"",Inventory!C94)</f>
        <v/>
      </c>
      <c r="C94" s="187"/>
      <c r="D94" s="192"/>
      <c r="E94" s="187"/>
      <c r="F94" s="187"/>
      <c r="G94" s="187"/>
      <c r="H94" s="37">
        <f>IF(ISBLANK(Inventory!A94),0,C94+SUM('Week 3'!E94:G94)-SUM(E94:G94))</f>
        <v>0</v>
      </c>
      <c r="I94" s="35" t="str">
        <f>IF(OR(ISBLANK(J94),J94=0),"",Settings!$B$14)</f>
        <v/>
      </c>
      <c r="J94" s="30">
        <f>IF(ISBLANK(C94),0,C94*Inventory!H94)</f>
        <v>0</v>
      </c>
      <c r="K94" s="35" t="str">
        <f>IF(OR(ISBLANK(L94),L94=0),"",Settings!$B$14)</f>
        <v/>
      </c>
      <c r="L94" s="30">
        <f>IF(ISBLANK(Inventory!A94),0,SUM(E94:G94)*Inventory!H94)</f>
        <v>0</v>
      </c>
      <c r="M94" s="35" t="str">
        <f>IF(OR(ISBLANK(N94),N94=0),"",Settings!$B$14)</f>
        <v/>
      </c>
      <c r="N94" s="30">
        <f>IF(ISBLANK(Inventory!A94),0,SUM(E94:G94)*Inventory!J94)</f>
        <v>0</v>
      </c>
      <c r="O94" s="35" t="str">
        <f>IF(OR(ISBLANK(P94),P94=0),"",Settings!$B$14)</f>
        <v/>
      </c>
      <c r="P94" s="30">
        <f>IF(ISBLANK(Inventory!A94),0,H94*Inventory!J94)</f>
        <v>0</v>
      </c>
    </row>
    <row r="95" spans="1:16" s="29" customFormat="1" ht="15" customHeight="1">
      <c r="A95" s="31" t="str">
        <f>IF(ISBLANK(Inventory!A95),"",Inventory!A95)</f>
        <v/>
      </c>
      <c r="B95" s="31" t="str">
        <f>IF(ISBLANK(Inventory!A95),"",Inventory!C95)</f>
        <v/>
      </c>
      <c r="C95" s="187"/>
      <c r="D95" s="192"/>
      <c r="E95" s="187"/>
      <c r="F95" s="187"/>
      <c r="G95" s="187"/>
      <c r="H95" s="37">
        <f>IF(ISBLANK(Inventory!A95),0,C95+SUM('Week 3'!E95:G95)-SUM(E95:G95))</f>
        <v>0</v>
      </c>
      <c r="I95" s="35" t="str">
        <f>IF(OR(ISBLANK(J95),J95=0),"",Settings!$B$14)</f>
        <v/>
      </c>
      <c r="J95" s="30">
        <f>IF(ISBLANK(C95),0,C95*Inventory!H95)</f>
        <v>0</v>
      </c>
      <c r="K95" s="35" t="str">
        <f>IF(OR(ISBLANK(L95),L95=0),"",Settings!$B$14)</f>
        <v/>
      </c>
      <c r="L95" s="30">
        <f>IF(ISBLANK(Inventory!A95),0,SUM(E95:G95)*Inventory!H95)</f>
        <v>0</v>
      </c>
      <c r="M95" s="35" t="str">
        <f>IF(OR(ISBLANK(N95),N95=0),"",Settings!$B$14)</f>
        <v/>
      </c>
      <c r="N95" s="30">
        <f>IF(ISBLANK(Inventory!A95),0,SUM(E95:G95)*Inventory!J95)</f>
        <v>0</v>
      </c>
      <c r="O95" s="35" t="str">
        <f>IF(OR(ISBLANK(P95),P95=0),"",Settings!$B$14)</f>
        <v/>
      </c>
      <c r="P95" s="30">
        <f>IF(ISBLANK(Inventory!A95),0,H95*Inventory!J95)</f>
        <v>0</v>
      </c>
    </row>
    <row r="96" spans="1:16" s="29" customFormat="1" ht="15" customHeight="1">
      <c r="A96" s="31" t="str">
        <f>IF(ISBLANK(Inventory!A96),"",Inventory!A96)</f>
        <v/>
      </c>
      <c r="B96" s="31" t="str">
        <f>IF(ISBLANK(Inventory!A96),"",Inventory!C96)</f>
        <v/>
      </c>
      <c r="C96" s="187"/>
      <c r="D96" s="192"/>
      <c r="E96" s="187"/>
      <c r="F96" s="187"/>
      <c r="G96" s="187"/>
      <c r="H96" s="37">
        <f>IF(ISBLANK(Inventory!A96),0,C96+SUM('Week 3'!E96:G96)-SUM(E96:G96))</f>
        <v>0</v>
      </c>
      <c r="I96" s="35" t="str">
        <f>IF(OR(ISBLANK(J96),J96=0),"",Settings!$B$14)</f>
        <v/>
      </c>
      <c r="J96" s="30">
        <f>IF(ISBLANK(C96),0,C96*Inventory!H96)</f>
        <v>0</v>
      </c>
      <c r="K96" s="35" t="str">
        <f>IF(OR(ISBLANK(L96),L96=0),"",Settings!$B$14)</f>
        <v/>
      </c>
      <c r="L96" s="30">
        <f>IF(ISBLANK(Inventory!A96),0,SUM(E96:G96)*Inventory!H96)</f>
        <v>0</v>
      </c>
      <c r="M96" s="35" t="str">
        <f>IF(OR(ISBLANK(N96),N96=0),"",Settings!$B$14)</f>
        <v/>
      </c>
      <c r="N96" s="30">
        <f>IF(ISBLANK(Inventory!A96),0,SUM(E96:G96)*Inventory!J96)</f>
        <v>0</v>
      </c>
      <c r="O96" s="35" t="str">
        <f>IF(OR(ISBLANK(P96),P96=0),"",Settings!$B$14)</f>
        <v/>
      </c>
      <c r="P96" s="30">
        <f>IF(ISBLANK(Inventory!A96),0,H96*Inventory!J96)</f>
        <v>0</v>
      </c>
    </row>
    <row r="97" spans="1:16" s="29" customFormat="1" ht="15" customHeight="1">
      <c r="A97" s="31" t="str">
        <f>IF(ISBLANK(Inventory!A97),"",Inventory!A97)</f>
        <v/>
      </c>
      <c r="B97" s="31" t="str">
        <f>IF(ISBLANK(Inventory!A97),"",Inventory!C97)</f>
        <v/>
      </c>
      <c r="C97" s="187"/>
      <c r="D97" s="192"/>
      <c r="E97" s="187"/>
      <c r="F97" s="187"/>
      <c r="G97" s="187"/>
      <c r="H97" s="37">
        <f>IF(ISBLANK(Inventory!A97),0,C97+SUM('Week 3'!E97:G97)-SUM(E97:G97))</f>
        <v>0</v>
      </c>
      <c r="I97" s="35" t="str">
        <f>IF(OR(ISBLANK(J97),J97=0),"",Settings!$B$14)</f>
        <v/>
      </c>
      <c r="J97" s="30">
        <f>IF(ISBLANK(C97),0,C97*Inventory!H97)</f>
        <v>0</v>
      </c>
      <c r="K97" s="35" t="str">
        <f>IF(OR(ISBLANK(L97),L97=0),"",Settings!$B$14)</f>
        <v/>
      </c>
      <c r="L97" s="30">
        <f>IF(ISBLANK(Inventory!A97),0,SUM(E97:G97)*Inventory!H97)</f>
        <v>0</v>
      </c>
      <c r="M97" s="35" t="str">
        <f>IF(OR(ISBLANK(N97),N97=0),"",Settings!$B$14)</f>
        <v/>
      </c>
      <c r="N97" s="30">
        <f>IF(ISBLANK(Inventory!A97),0,SUM(E97:G97)*Inventory!J97)</f>
        <v>0</v>
      </c>
      <c r="O97" s="35" t="str">
        <f>IF(OR(ISBLANK(P97),P97=0),"",Settings!$B$14)</f>
        <v/>
      </c>
      <c r="P97" s="30">
        <f>IF(ISBLANK(Inventory!A97),0,H97*Inventory!J97)</f>
        <v>0</v>
      </c>
    </row>
    <row r="98" spans="1:16" ht="6.95" customHeight="1">
      <c r="A98" s="24"/>
      <c r="B98" s="24"/>
      <c r="C98" s="69"/>
      <c r="D98" s="69"/>
      <c r="E98" s="69"/>
      <c r="F98" s="69"/>
      <c r="G98" s="69"/>
      <c r="H98" s="69"/>
      <c r="I98" s="69"/>
      <c r="J98" s="69"/>
      <c r="K98" s="69"/>
      <c r="L98" s="25"/>
      <c r="M98" s="62"/>
      <c r="N98" s="160"/>
      <c r="O98" s="25"/>
      <c r="P98" s="160"/>
    </row>
    <row r="99" spans="1:16" s="45" customFormat="1" ht="18" customHeight="1" thickBot="1">
      <c r="A99" s="78" t="str">
        <f>Inventory!A99</f>
        <v>DRAUGHT BEER</v>
      </c>
      <c r="B99" s="78" t="str">
        <f>Inventory!C99</f>
        <v>VOLUME</v>
      </c>
      <c r="C99" s="22" t="s">
        <v>187</v>
      </c>
      <c r="D99" s="22"/>
      <c r="E99" s="22" t="s">
        <v>101</v>
      </c>
      <c r="F99" s="22"/>
      <c r="G99" s="23" t="s">
        <v>108</v>
      </c>
      <c r="H99" s="79" t="s">
        <v>119</v>
      </c>
      <c r="I99" s="253" t="s">
        <v>190</v>
      </c>
      <c r="J99" s="253"/>
      <c r="K99" s="235" t="s">
        <v>30</v>
      </c>
      <c r="L99" s="235"/>
      <c r="M99" s="235" t="s">
        <v>31</v>
      </c>
      <c r="N99" s="235"/>
      <c r="O99" s="235" t="s">
        <v>189</v>
      </c>
      <c r="P99" s="235"/>
    </row>
    <row r="100" spans="1:16" ht="6.95" customHeight="1" thickTop="1">
      <c r="A100" s="193"/>
      <c r="B100" s="194"/>
      <c r="C100" s="71"/>
      <c r="D100" s="71"/>
      <c r="E100" s="67"/>
      <c r="F100" s="67"/>
      <c r="G100" s="71"/>
      <c r="H100" s="71"/>
      <c r="I100" s="71"/>
      <c r="J100" s="71"/>
      <c r="K100" s="71"/>
      <c r="L100" s="67"/>
      <c r="M100" s="62"/>
      <c r="N100" s="67"/>
      <c r="O100" s="67"/>
      <c r="P100" s="67"/>
    </row>
    <row r="101" spans="1:16" s="29" customFormat="1" ht="15" customHeight="1">
      <c r="A101" s="31" t="str">
        <f>IF(ISBLANK(Inventory!A101),"",Inventory!A101)</f>
        <v>Boddingtons</v>
      </c>
      <c r="B101" s="31" t="str">
        <f>IF(ISBLANK(Inventory!A101),"",Inventory!C101)</f>
        <v>22 Gallon</v>
      </c>
      <c r="C101" s="187">
        <v>1</v>
      </c>
      <c r="D101" s="192"/>
      <c r="E101" s="187">
        <v>1</v>
      </c>
      <c r="F101" s="173"/>
      <c r="G101" s="187">
        <v>0.5</v>
      </c>
      <c r="H101" s="37">
        <f>IF(ISBLANK(Inventory!A101),0,C101+SUM('Week 3'!E101:G101)-SUM(E101:G101))</f>
        <v>1</v>
      </c>
      <c r="I101" s="35" t="str">
        <f>IF(OR(ISBLANK(J101),J101=0),"",Settings!$B$14)</f>
        <v>$</v>
      </c>
      <c r="J101" s="30">
        <f>IF(ISBLANK(C101),0,C101*Inventory!F101)</f>
        <v>95.38</v>
      </c>
      <c r="K101" s="35" t="str">
        <f>IF(OR(ISBLANK(L101),L101=0),"",Settings!$B$14)</f>
        <v>$</v>
      </c>
      <c r="L101" s="30">
        <f>IF(ISBLANK(Inventory!A101),0,SUM(E101:G101)*Inventory!F101)</f>
        <v>143.07</v>
      </c>
      <c r="M101" s="35" t="str">
        <f>IF(OR(ISBLANK(N101),N101=0),"",Settings!$B$14)</f>
        <v>$</v>
      </c>
      <c r="N101" s="30">
        <f>IF(ISBLANK(Inventory!A101),0,SUM(E101:G101)*Inventory!L101)</f>
        <v>707.52</v>
      </c>
      <c r="O101" s="35" t="str">
        <f>IF(OR(ISBLANK(P101),P101=0),"",Settings!$B$14)</f>
        <v>$</v>
      </c>
      <c r="P101" s="30">
        <f>IF(ISBLANK(Inventory!A101),0,H101*Inventory!L101)</f>
        <v>471.68</v>
      </c>
    </row>
    <row r="102" spans="1:16" s="29" customFormat="1" ht="15" customHeight="1">
      <c r="A102" s="31" t="str">
        <f>IF(ISBLANK(Inventory!A102),"",Inventory!A102)</f>
        <v>Murphy's</v>
      </c>
      <c r="B102" s="31" t="str">
        <f>IF(ISBLANK(Inventory!A102),"",Inventory!C102)</f>
        <v>10 Gallon</v>
      </c>
      <c r="C102" s="187">
        <v>1</v>
      </c>
      <c r="D102" s="192"/>
      <c r="E102" s="187">
        <v>1</v>
      </c>
      <c r="F102" s="173"/>
      <c r="G102" s="187">
        <v>0.1</v>
      </c>
      <c r="H102" s="37">
        <f>IF(ISBLANK(Inventory!A102),0,C102+SUM('Week 3'!E102:G102)-SUM(E102:G102))</f>
        <v>1</v>
      </c>
      <c r="I102" s="35" t="str">
        <f>IF(OR(ISBLANK(J102),J102=0),"",Settings!$B$14)</f>
        <v>$</v>
      </c>
      <c r="J102" s="30">
        <f>IF(ISBLANK(C102),0,C102*Inventory!F102)</f>
        <v>53.25</v>
      </c>
      <c r="K102" s="35" t="str">
        <f>IF(OR(ISBLANK(L102),L102=0),"",Settings!$B$14)</f>
        <v>$</v>
      </c>
      <c r="L102" s="30">
        <f>IF(ISBLANK(Inventory!A102),0,SUM(E102:G102)*Inventory!F102)</f>
        <v>58.575000000000003</v>
      </c>
      <c r="M102" s="35" t="str">
        <f>IF(OR(ISBLANK(N102),N102=0),"",Settings!$B$14)</f>
        <v>$</v>
      </c>
      <c r="N102" s="30">
        <f>IF(ISBLANK(Inventory!A102),0,SUM(E102:G102)*Inventory!L102)</f>
        <v>256.96000000000004</v>
      </c>
      <c r="O102" s="35" t="str">
        <f>IF(OR(ISBLANK(P102),P102=0),"",Settings!$B$14)</f>
        <v>$</v>
      </c>
      <c r="P102" s="30">
        <f>IF(ISBLANK(Inventory!A102),0,H102*Inventory!L102)</f>
        <v>233.6</v>
      </c>
    </row>
    <row r="103" spans="1:16" s="29" customFormat="1" ht="15" customHeight="1">
      <c r="A103" s="31" t="str">
        <f>IF(ISBLANK(Inventory!A103),"",Inventory!A103)</f>
        <v/>
      </c>
      <c r="B103" s="31" t="str">
        <f>IF(ISBLANK(Inventory!A103),"",Inventory!C103)</f>
        <v/>
      </c>
      <c r="C103" s="187"/>
      <c r="D103" s="192"/>
      <c r="E103" s="187"/>
      <c r="F103" s="173"/>
      <c r="G103" s="187"/>
      <c r="H103" s="37">
        <f>IF(ISBLANK(Inventory!A103),0,C103+SUM('Week 3'!E103:G103)-SUM(E103:G103))</f>
        <v>0</v>
      </c>
      <c r="I103" s="35" t="str">
        <f>IF(OR(ISBLANK(J103),J103=0),"",Settings!$B$14)</f>
        <v/>
      </c>
      <c r="J103" s="30">
        <f>IF(ISBLANK(C103),0,C103*Inventory!F103)</f>
        <v>0</v>
      </c>
      <c r="K103" s="35" t="str">
        <f>IF(OR(ISBLANK(L103),L103=0),"",Settings!$B$14)</f>
        <v/>
      </c>
      <c r="L103" s="30">
        <f>IF(ISBLANK(Inventory!A103),0,SUM(E103:G103)*Inventory!F103)</f>
        <v>0</v>
      </c>
      <c r="M103" s="35" t="str">
        <f>IF(OR(ISBLANK(N103),N103=0),"",Settings!$B$14)</f>
        <v/>
      </c>
      <c r="N103" s="30">
        <f>IF(ISBLANK(Inventory!A103),0,SUM(E103:G103)*Inventory!L103)</f>
        <v>0</v>
      </c>
      <c r="O103" s="35" t="str">
        <f>IF(OR(ISBLANK(P103),P103=0),"",Settings!$B$14)</f>
        <v/>
      </c>
      <c r="P103" s="30">
        <f>IF(ISBLANK(Inventory!A103),0,H103*Inventory!L103)</f>
        <v>0</v>
      </c>
    </row>
    <row r="104" spans="1:16" s="29" customFormat="1" ht="15" customHeight="1">
      <c r="A104" s="31" t="str">
        <f>IF(ISBLANK(Inventory!A104),"",Inventory!A104)</f>
        <v/>
      </c>
      <c r="B104" s="31" t="str">
        <f>IF(ISBLANK(Inventory!A104),"",Inventory!C104)</f>
        <v/>
      </c>
      <c r="C104" s="187"/>
      <c r="D104" s="192"/>
      <c r="E104" s="187"/>
      <c r="F104" s="173"/>
      <c r="G104" s="187"/>
      <c r="H104" s="37">
        <f>IF(ISBLANK(Inventory!A104),0,C104+SUM('Week 3'!E104:G104)-SUM(E104:G104))</f>
        <v>0</v>
      </c>
      <c r="I104" s="35" t="str">
        <f>IF(OR(ISBLANK(J104),J104=0),"",Settings!$B$14)</f>
        <v/>
      </c>
      <c r="J104" s="30">
        <f>IF(ISBLANK(C104),0,C104*Inventory!F104)</f>
        <v>0</v>
      </c>
      <c r="K104" s="35" t="str">
        <f>IF(OR(ISBLANK(L104),L104=0),"",Settings!$B$14)</f>
        <v/>
      </c>
      <c r="L104" s="30">
        <f>IF(ISBLANK(Inventory!A104),0,SUM(E104:G104)*Inventory!F104)</f>
        <v>0</v>
      </c>
      <c r="M104" s="35" t="str">
        <f>IF(OR(ISBLANK(N104),N104=0),"",Settings!$B$14)</f>
        <v/>
      </c>
      <c r="N104" s="30">
        <f>IF(ISBLANK(Inventory!A104),0,SUM(E104:G104)*Inventory!L104)</f>
        <v>0</v>
      </c>
      <c r="O104" s="35" t="str">
        <f>IF(OR(ISBLANK(P104),P104=0),"",Settings!$B$14)</f>
        <v/>
      </c>
      <c r="P104" s="30">
        <f>IF(ISBLANK(Inventory!A104),0,H104*Inventory!L104)</f>
        <v>0</v>
      </c>
    </row>
    <row r="105" spans="1:16" s="29" customFormat="1" ht="15" customHeight="1">
      <c r="A105" s="31" t="str">
        <f>IF(ISBLANK(Inventory!A105),"",Inventory!A105)</f>
        <v/>
      </c>
      <c r="B105" s="31" t="str">
        <f>IF(ISBLANK(Inventory!A105),"",Inventory!C105)</f>
        <v/>
      </c>
      <c r="C105" s="187"/>
      <c r="D105" s="192"/>
      <c r="E105" s="187"/>
      <c r="F105" s="173"/>
      <c r="G105" s="187"/>
      <c r="H105" s="37">
        <f>IF(ISBLANK(Inventory!A105),0,C105+SUM('Week 3'!E105:G105)-SUM(E105:G105))</f>
        <v>0</v>
      </c>
      <c r="I105" s="35" t="str">
        <f>IF(OR(ISBLANK(J105),J105=0),"",Settings!$B$14)</f>
        <v/>
      </c>
      <c r="J105" s="30">
        <f>IF(ISBLANK(C105),0,C105*Inventory!F105)</f>
        <v>0</v>
      </c>
      <c r="K105" s="35" t="str">
        <f>IF(OR(ISBLANK(L105),L105=0),"",Settings!$B$14)</f>
        <v/>
      </c>
      <c r="L105" s="30">
        <f>IF(ISBLANK(Inventory!A105),0,SUM(E105:G105)*Inventory!F105)</f>
        <v>0</v>
      </c>
      <c r="M105" s="35" t="str">
        <f>IF(OR(ISBLANK(N105),N105=0),"",Settings!$B$14)</f>
        <v/>
      </c>
      <c r="N105" s="30">
        <f>IF(ISBLANK(Inventory!A105),0,SUM(E105:G105)*Inventory!L105)</f>
        <v>0</v>
      </c>
      <c r="O105" s="35" t="str">
        <f>IF(OR(ISBLANK(P105),P105=0),"",Settings!$B$14)</f>
        <v/>
      </c>
      <c r="P105" s="30">
        <f>IF(ISBLANK(Inventory!A105),0,H105*Inventory!L105)</f>
        <v>0</v>
      </c>
    </row>
    <row r="106" spans="1:16" s="29" customFormat="1" ht="15" customHeight="1">
      <c r="A106" s="31" t="str">
        <f>IF(ISBLANK(Inventory!A106),"",Inventory!A106)</f>
        <v/>
      </c>
      <c r="B106" s="31" t="str">
        <f>IF(ISBLANK(Inventory!A106),"",Inventory!C106)</f>
        <v/>
      </c>
      <c r="C106" s="187"/>
      <c r="D106" s="192"/>
      <c r="E106" s="187"/>
      <c r="F106" s="173"/>
      <c r="G106" s="187"/>
      <c r="H106" s="37">
        <f>IF(ISBLANK(Inventory!A106),0,C106+SUM('Week 3'!E106:G106)-SUM(E106:G106))</f>
        <v>0</v>
      </c>
      <c r="I106" s="35" t="str">
        <f>IF(OR(ISBLANK(J106),J106=0),"",Settings!$B$14)</f>
        <v/>
      </c>
      <c r="J106" s="30">
        <f>IF(ISBLANK(C106),0,C106*Inventory!F106)</f>
        <v>0</v>
      </c>
      <c r="K106" s="35" t="str">
        <f>IF(OR(ISBLANK(L106),L106=0),"",Settings!$B$14)</f>
        <v/>
      </c>
      <c r="L106" s="30">
        <f>IF(ISBLANK(Inventory!A106),0,SUM(E106:G106)*Inventory!F106)</f>
        <v>0</v>
      </c>
      <c r="M106" s="35" t="str">
        <f>IF(OR(ISBLANK(N106),N106=0),"",Settings!$B$14)</f>
        <v/>
      </c>
      <c r="N106" s="30">
        <f>IF(ISBLANK(Inventory!A106),0,SUM(E106:G106)*Inventory!L106)</f>
        <v>0</v>
      </c>
      <c r="O106" s="35" t="str">
        <f>IF(OR(ISBLANK(P106),P106=0),"",Settings!$B$14)</f>
        <v/>
      </c>
      <c r="P106" s="30">
        <f>IF(ISBLANK(Inventory!A106),0,H106*Inventory!L106)</f>
        <v>0</v>
      </c>
    </row>
    <row r="107" spans="1:16" ht="6.95" customHeight="1">
      <c r="A107" s="24"/>
      <c r="B107" s="24"/>
      <c r="C107" s="69"/>
      <c r="D107" s="69"/>
      <c r="E107" s="69"/>
      <c r="F107" s="69"/>
      <c r="G107" s="69"/>
      <c r="H107" s="69"/>
      <c r="I107" s="69"/>
      <c r="J107" s="69"/>
      <c r="K107" s="69"/>
      <c r="L107" s="25"/>
      <c r="M107" s="62"/>
      <c r="N107" s="160"/>
      <c r="O107" s="25"/>
      <c r="P107" s="160"/>
    </row>
    <row r="108" spans="1:16" s="45" customFormat="1" ht="18" customHeight="1" thickBot="1">
      <c r="A108" s="78" t="str">
        <f>Inventory!A108</f>
        <v>DRAUGHT LAGER</v>
      </c>
      <c r="B108" s="78" t="str">
        <f>Inventory!C108</f>
        <v>VOLUME</v>
      </c>
      <c r="C108" s="22" t="s">
        <v>187</v>
      </c>
      <c r="D108" s="22"/>
      <c r="E108" s="22" t="s">
        <v>101</v>
      </c>
      <c r="F108" s="22"/>
      <c r="G108" s="23" t="s">
        <v>108</v>
      </c>
      <c r="H108" s="79" t="s">
        <v>119</v>
      </c>
      <c r="I108" s="253" t="s">
        <v>190</v>
      </c>
      <c r="J108" s="253"/>
      <c r="K108" s="235" t="s">
        <v>30</v>
      </c>
      <c r="L108" s="235"/>
      <c r="M108" s="235" t="s">
        <v>31</v>
      </c>
      <c r="N108" s="235"/>
      <c r="O108" s="235" t="s">
        <v>189</v>
      </c>
      <c r="P108" s="235"/>
    </row>
    <row r="109" spans="1:16" ht="6.95" customHeight="1" thickTop="1">
      <c r="A109" s="193"/>
      <c r="B109" s="194"/>
      <c r="C109" s="71"/>
      <c r="D109" s="71"/>
      <c r="E109" s="67"/>
      <c r="F109" s="67"/>
      <c r="G109" s="71"/>
      <c r="H109" s="71"/>
      <c r="I109" s="71"/>
      <c r="J109" s="71"/>
      <c r="K109" s="71"/>
      <c r="L109" s="67"/>
      <c r="M109" s="62"/>
      <c r="N109" s="67"/>
      <c r="O109" s="67"/>
      <c r="P109" s="67"/>
    </row>
    <row r="110" spans="1:16" s="29" customFormat="1" ht="15" customHeight="1">
      <c r="A110" s="31" t="str">
        <f>IF(ISBLANK(Inventory!A110),"",Inventory!A110)</f>
        <v>Hoegaarden</v>
      </c>
      <c r="B110" s="31" t="str">
        <f>IF(ISBLANK(Inventory!A110),"",Inventory!C110)</f>
        <v>7.1 Gallon</v>
      </c>
      <c r="C110" s="187"/>
      <c r="D110" s="192"/>
      <c r="E110" s="187">
        <v>1</v>
      </c>
      <c r="F110" s="173"/>
      <c r="G110" s="187">
        <v>0.8</v>
      </c>
      <c r="H110" s="37">
        <f>IF(ISBLANK(Inventory!A110),0,C110+SUM('Week 3'!E110:G110)-SUM(E110:G110))</f>
        <v>0</v>
      </c>
      <c r="I110" s="35" t="str">
        <f>IF(OR(ISBLANK(J110),J110=0),"",Settings!$B$14)</f>
        <v/>
      </c>
      <c r="J110" s="30">
        <f>IF(ISBLANK(C110),0,C110*Inventory!F110)</f>
        <v>0</v>
      </c>
      <c r="K110" s="35" t="str">
        <f>IF(OR(ISBLANK(L110),L110=0),"",Settings!$B$14)</f>
        <v>$</v>
      </c>
      <c r="L110" s="30">
        <f>IF(ISBLANK(Inventory!A110),0,SUM(E110:G110)*Inventory!F110)</f>
        <v>63</v>
      </c>
      <c r="M110" s="35" t="str">
        <f>IF(OR(ISBLANK(N110),N110=0),"",Settings!$B$14)</f>
        <v>$</v>
      </c>
      <c r="N110" s="30">
        <f>IF(ISBLANK(Inventory!A110),0,SUM(E110:G110)*Inventory!L110)</f>
        <v>260.71199999999999</v>
      </c>
      <c r="O110" s="35" t="str">
        <f>IF(OR(ISBLANK(P110),P110=0),"",Settings!$B$14)</f>
        <v/>
      </c>
      <c r="P110" s="30">
        <f>IF(ISBLANK(Inventory!A110),0,H110*Inventory!L110)</f>
        <v>0</v>
      </c>
    </row>
    <row r="111" spans="1:16" s="29" customFormat="1" ht="15" customHeight="1">
      <c r="A111" s="31" t="str">
        <f>IF(ISBLANK(Inventory!A111),"",Inventory!A111)</f>
        <v>Stella Artois</v>
      </c>
      <c r="B111" s="31" t="str">
        <f>IF(ISBLANK(Inventory!A111),"",Inventory!C111)</f>
        <v>22 Gallon</v>
      </c>
      <c r="C111" s="187"/>
      <c r="D111" s="192"/>
      <c r="E111" s="187"/>
      <c r="F111" s="173"/>
      <c r="G111" s="187"/>
      <c r="H111" s="37">
        <f>IF(ISBLANK(Inventory!A111),0,C111+SUM('Week 3'!E111:G111)-SUM(E111:G111))</f>
        <v>0</v>
      </c>
      <c r="I111" s="35" t="str">
        <f>IF(OR(ISBLANK(J111),J111=0),"",Settings!$B$14)</f>
        <v/>
      </c>
      <c r="J111" s="30">
        <f>IF(ISBLANK(C111),0,C111*Inventory!F111)</f>
        <v>0</v>
      </c>
      <c r="K111" s="35" t="str">
        <f>IF(OR(ISBLANK(L111),L111=0),"",Settings!$B$14)</f>
        <v/>
      </c>
      <c r="L111" s="30">
        <f>IF(ISBLANK(Inventory!A111),0,SUM(E111:G111)*Inventory!F111)</f>
        <v>0</v>
      </c>
      <c r="M111" s="35" t="str">
        <f>IF(OR(ISBLANK(N111),N111=0),"",Settings!$B$14)</f>
        <v/>
      </c>
      <c r="N111" s="30">
        <f>IF(ISBLANK(Inventory!A111),0,SUM(E111:G111)*Inventory!L111)</f>
        <v>0</v>
      </c>
      <c r="O111" s="35" t="str">
        <f>IF(OR(ISBLANK(P111),P111=0),"",Settings!$B$14)</f>
        <v/>
      </c>
      <c r="P111" s="30">
        <f>IF(ISBLANK(Inventory!A111),0,H111*Inventory!L111)</f>
        <v>0</v>
      </c>
    </row>
    <row r="112" spans="1:16" s="29" customFormat="1" ht="15" customHeight="1">
      <c r="A112" s="31" t="str">
        <f>IF(ISBLANK(Inventory!A112),"",Inventory!A112)</f>
        <v>Stella Artois</v>
      </c>
      <c r="B112" s="31" t="str">
        <f>IF(ISBLANK(Inventory!A112),"",Inventory!C112)</f>
        <v>10 Gallon</v>
      </c>
      <c r="C112" s="187"/>
      <c r="D112" s="192"/>
      <c r="E112" s="187"/>
      <c r="F112" s="173"/>
      <c r="G112" s="187"/>
      <c r="H112" s="37">
        <f>IF(ISBLANK(Inventory!A112),0,C112+SUM('Week 3'!E112:G112)-SUM(E112:G112))</f>
        <v>0</v>
      </c>
      <c r="I112" s="35" t="str">
        <f>IF(OR(ISBLANK(J112),J112=0),"",Settings!$B$14)</f>
        <v/>
      </c>
      <c r="J112" s="30">
        <f>IF(ISBLANK(C112),0,C112*Inventory!F112)</f>
        <v>0</v>
      </c>
      <c r="K112" s="35" t="str">
        <f>IF(OR(ISBLANK(L112),L112=0),"",Settings!$B$14)</f>
        <v/>
      </c>
      <c r="L112" s="30">
        <f>IF(ISBLANK(Inventory!A112),0,SUM(E112:G112)*Inventory!F112)</f>
        <v>0</v>
      </c>
      <c r="M112" s="35" t="str">
        <f>IF(OR(ISBLANK(N112),N112=0),"",Settings!$B$14)</f>
        <v/>
      </c>
      <c r="N112" s="30">
        <f>IF(ISBLANK(Inventory!A112),0,SUM(E112:G112)*Inventory!L112)</f>
        <v>0</v>
      </c>
      <c r="O112" s="35" t="str">
        <f>IF(OR(ISBLANK(P112),P112=0),"",Settings!$B$14)</f>
        <v/>
      </c>
      <c r="P112" s="30">
        <f>IF(ISBLANK(Inventory!A112),0,H112*Inventory!L112)</f>
        <v>0</v>
      </c>
    </row>
    <row r="113" spans="1:16" s="29" customFormat="1" ht="15" customHeight="1">
      <c r="A113" s="31" t="str">
        <f>IF(ISBLANK(Inventory!A113),"",Inventory!A113)</f>
        <v/>
      </c>
      <c r="B113" s="31" t="str">
        <f>IF(ISBLANK(Inventory!A113),"",Inventory!C113)</f>
        <v/>
      </c>
      <c r="C113" s="187"/>
      <c r="D113" s="192"/>
      <c r="E113" s="187"/>
      <c r="F113" s="173"/>
      <c r="G113" s="187"/>
      <c r="H113" s="37">
        <f>IF(ISBLANK(Inventory!A113),0,C113+SUM('Week 3'!E113:G113)-SUM(E113:G113))</f>
        <v>0</v>
      </c>
      <c r="I113" s="35" t="str">
        <f>IF(OR(ISBLANK(J113),J113=0),"",Settings!$B$14)</f>
        <v/>
      </c>
      <c r="J113" s="30">
        <f>IF(ISBLANK(C113),0,C113*Inventory!F113)</f>
        <v>0</v>
      </c>
      <c r="K113" s="35" t="str">
        <f>IF(OR(ISBLANK(L113),L113=0),"",Settings!$B$14)</f>
        <v/>
      </c>
      <c r="L113" s="30">
        <f>IF(ISBLANK(Inventory!A113),0,SUM(E113:G113)*Inventory!F113)</f>
        <v>0</v>
      </c>
      <c r="M113" s="35" t="str">
        <f>IF(OR(ISBLANK(N113),N113=0),"",Settings!$B$14)</f>
        <v/>
      </c>
      <c r="N113" s="30">
        <f>IF(ISBLANK(Inventory!A113),0,SUM(E113:G113)*Inventory!L113)</f>
        <v>0</v>
      </c>
      <c r="O113" s="35" t="str">
        <f>IF(OR(ISBLANK(P113),P113=0),"",Settings!$B$14)</f>
        <v/>
      </c>
      <c r="P113" s="30">
        <f>IF(ISBLANK(Inventory!A113),0,H113*Inventory!L113)</f>
        <v>0</v>
      </c>
    </row>
    <row r="114" spans="1:16" s="29" customFormat="1" ht="15" customHeight="1">
      <c r="A114" s="31" t="str">
        <f>IF(ISBLANK(Inventory!A114),"",Inventory!A114)</f>
        <v/>
      </c>
      <c r="B114" s="31" t="str">
        <f>IF(ISBLANK(Inventory!A114),"",Inventory!C114)</f>
        <v/>
      </c>
      <c r="C114" s="187"/>
      <c r="D114" s="192"/>
      <c r="E114" s="187"/>
      <c r="F114" s="173"/>
      <c r="G114" s="187"/>
      <c r="H114" s="37">
        <f>IF(ISBLANK(Inventory!A114),0,C114+SUM('Week 3'!E114:G114)-SUM(E114:G114))</f>
        <v>0</v>
      </c>
      <c r="I114" s="35" t="str">
        <f>IF(OR(ISBLANK(J114),J114=0),"",Settings!$B$14)</f>
        <v/>
      </c>
      <c r="J114" s="30">
        <f>IF(ISBLANK(C114),0,C114*Inventory!F114)</f>
        <v>0</v>
      </c>
      <c r="K114" s="35" t="str">
        <f>IF(OR(ISBLANK(L114),L114=0),"",Settings!$B$14)</f>
        <v/>
      </c>
      <c r="L114" s="30">
        <f>IF(ISBLANK(Inventory!A114),0,SUM(E114:G114)*Inventory!F114)</f>
        <v>0</v>
      </c>
      <c r="M114" s="35" t="str">
        <f>IF(OR(ISBLANK(N114),N114=0),"",Settings!$B$14)</f>
        <v/>
      </c>
      <c r="N114" s="30">
        <f>IF(ISBLANK(Inventory!A114),0,SUM(E114:G114)*Inventory!L114)</f>
        <v>0</v>
      </c>
      <c r="O114" s="35" t="str">
        <f>IF(OR(ISBLANK(P114),P114=0),"",Settings!$B$14)</f>
        <v/>
      </c>
      <c r="P114" s="30">
        <f>IF(ISBLANK(Inventory!A114),0,H114*Inventory!L114)</f>
        <v>0</v>
      </c>
    </row>
    <row r="115" spans="1:16" s="29" customFormat="1" ht="15" customHeight="1">
      <c r="A115" s="31" t="str">
        <f>IF(ISBLANK(Inventory!A115),"",Inventory!A115)</f>
        <v/>
      </c>
      <c r="B115" s="31" t="str">
        <f>IF(ISBLANK(Inventory!A115),"",Inventory!C115)</f>
        <v/>
      </c>
      <c r="C115" s="187"/>
      <c r="D115" s="192"/>
      <c r="E115" s="187"/>
      <c r="F115" s="173"/>
      <c r="G115" s="187"/>
      <c r="H115" s="37">
        <f>IF(ISBLANK(Inventory!A115),0,C115+SUM('Week 3'!E115:G115)-SUM(E115:G115))</f>
        <v>0</v>
      </c>
      <c r="I115" s="35" t="str">
        <f>IF(OR(ISBLANK(J115),J115=0),"",Settings!$B$14)</f>
        <v/>
      </c>
      <c r="J115" s="30">
        <f>IF(ISBLANK(C115),0,C115*Inventory!F115)</f>
        <v>0</v>
      </c>
      <c r="K115" s="35" t="str">
        <f>IF(OR(ISBLANK(L115),L115=0),"",Settings!$B$14)</f>
        <v/>
      </c>
      <c r="L115" s="30">
        <f>IF(ISBLANK(Inventory!A115),0,SUM(E115:G115)*Inventory!F115)</f>
        <v>0</v>
      </c>
      <c r="M115" s="35" t="str">
        <f>IF(OR(ISBLANK(N115),N115=0),"",Settings!$B$14)</f>
        <v/>
      </c>
      <c r="N115" s="30">
        <f>IF(ISBLANK(Inventory!A115),0,SUM(E115:G115)*Inventory!L115)</f>
        <v>0</v>
      </c>
      <c r="O115" s="35" t="str">
        <f>IF(OR(ISBLANK(P115),P115=0),"",Settings!$B$14)</f>
        <v/>
      </c>
      <c r="P115" s="30">
        <f>IF(ISBLANK(Inventory!A115),0,H115*Inventory!L115)</f>
        <v>0</v>
      </c>
    </row>
    <row r="116" spans="1:16" ht="6.95" customHeight="1">
      <c r="A116" s="24"/>
      <c r="B116" s="24"/>
      <c r="C116" s="69"/>
      <c r="D116" s="69"/>
      <c r="E116" s="69"/>
      <c r="F116" s="69"/>
      <c r="G116" s="69"/>
      <c r="H116" s="69"/>
      <c r="I116" s="69"/>
      <c r="J116" s="69"/>
      <c r="K116" s="69"/>
      <c r="L116" s="25"/>
      <c r="M116" s="62"/>
      <c r="N116" s="160"/>
      <c r="O116" s="25"/>
      <c r="P116" s="160"/>
    </row>
    <row r="117" spans="1:16" s="45" customFormat="1" ht="18" customHeight="1" thickBot="1">
      <c r="A117" s="78" t="str">
        <f>Inventory!A117</f>
        <v>BOTTLED BEER</v>
      </c>
      <c r="B117" s="78" t="str">
        <f>Inventory!C117</f>
        <v>VOLUME</v>
      </c>
      <c r="C117" s="22" t="s">
        <v>187</v>
      </c>
      <c r="D117" s="22"/>
      <c r="E117" s="22" t="s">
        <v>101</v>
      </c>
      <c r="F117" s="22" t="s">
        <v>102</v>
      </c>
      <c r="G117" s="23"/>
      <c r="H117" s="79" t="s">
        <v>119</v>
      </c>
      <c r="I117" s="253" t="s">
        <v>190</v>
      </c>
      <c r="J117" s="253"/>
      <c r="K117" s="235" t="s">
        <v>30</v>
      </c>
      <c r="L117" s="235"/>
      <c r="M117" s="235" t="s">
        <v>31</v>
      </c>
      <c r="N117" s="235"/>
      <c r="O117" s="235" t="s">
        <v>189</v>
      </c>
      <c r="P117" s="235"/>
    </row>
    <row r="118" spans="1:16" ht="6.95" customHeight="1" thickTop="1">
      <c r="A118" s="193"/>
      <c r="B118" s="194"/>
      <c r="C118" s="71"/>
      <c r="D118" s="71"/>
      <c r="E118" s="67"/>
      <c r="F118" s="67"/>
      <c r="G118" s="71"/>
      <c r="H118" s="71"/>
      <c r="I118" s="71"/>
      <c r="J118" s="71"/>
      <c r="K118" s="71"/>
      <c r="L118" s="67"/>
      <c r="M118" s="62"/>
      <c r="N118" s="67"/>
      <c r="O118" s="67"/>
      <c r="P118" s="67"/>
    </row>
    <row r="119" spans="1:16" s="29" customFormat="1" ht="15" customHeight="1">
      <c r="A119" s="31" t="str">
        <f>IF(ISBLANK(Inventory!A119),"",Inventory!A119)</f>
        <v>Labatt Ice</v>
      </c>
      <c r="B119" s="31" t="str">
        <f>IF(ISBLANK(Inventory!A119),"",Inventory!C119)</f>
        <v>330ml</v>
      </c>
      <c r="C119" s="187"/>
      <c r="D119" s="192"/>
      <c r="E119" s="187">
        <v>20</v>
      </c>
      <c r="F119" s="187"/>
      <c r="G119" s="173"/>
      <c r="H119" s="37">
        <f>IF(ISBLANK(Inventory!A119),0,C119+SUM('Week 3'!E119:G119)-SUM(E119:G119))</f>
        <v>0</v>
      </c>
      <c r="I119" s="35" t="str">
        <f>IF(OR(ISBLANK(J119),J119=0),"",Settings!$B$14)</f>
        <v/>
      </c>
      <c r="J119" s="30">
        <f>IF(ISBLANK(C119),0,C119*Inventory!H119)</f>
        <v>0</v>
      </c>
      <c r="K119" s="35" t="str">
        <f>IF(OR(ISBLANK(L119),L119=0),"",Settings!$B$14)</f>
        <v>$</v>
      </c>
      <c r="L119" s="30">
        <f>IF(ISBLANK(Inventory!A119),0,SUM(E119:G119)*Inventory!H119)</f>
        <v>11.100000000000001</v>
      </c>
      <c r="M119" s="35" t="str">
        <f>IF(OR(ISBLANK(N119),N119=0),"",Settings!$B$14)</f>
        <v>$</v>
      </c>
      <c r="N119" s="30">
        <f>IF(ISBLANK(Inventory!A119),0,SUM(E119:G119)*Inventory!J119)</f>
        <v>54.400000000000006</v>
      </c>
      <c r="O119" s="35" t="str">
        <f>IF(OR(ISBLANK(P119),P119=0),"",Settings!$B$14)</f>
        <v/>
      </c>
      <c r="P119" s="30">
        <f>IF(ISBLANK(Inventory!A119),0,H119*Inventory!J119)</f>
        <v>0</v>
      </c>
    </row>
    <row r="120" spans="1:16" s="29" customFormat="1" ht="15" customHeight="1">
      <c r="A120" s="31" t="str">
        <f>IF(ISBLANK(Inventory!A120),"",Inventory!A120)</f>
        <v>Stella Artois</v>
      </c>
      <c r="B120" s="31" t="str">
        <f>IF(ISBLANK(Inventory!A120),"",Inventory!C120)</f>
        <v>330ml</v>
      </c>
      <c r="C120" s="187"/>
      <c r="D120" s="192"/>
      <c r="E120" s="187"/>
      <c r="F120" s="187"/>
      <c r="G120" s="173"/>
      <c r="H120" s="37">
        <f>IF(ISBLANK(Inventory!A120),0,C120+SUM('Week 3'!E120:G120)-SUM(E120:G120))</f>
        <v>0</v>
      </c>
      <c r="I120" s="35" t="str">
        <f>IF(OR(ISBLANK(J120),J120=0),"",Settings!$B$14)</f>
        <v/>
      </c>
      <c r="J120" s="30">
        <f>IF(ISBLANK(C120),0,C120*Inventory!H120)</f>
        <v>0</v>
      </c>
      <c r="K120" s="35" t="str">
        <f>IF(OR(ISBLANK(L120),L120=0),"",Settings!$B$14)</f>
        <v/>
      </c>
      <c r="L120" s="30">
        <f>IF(ISBLANK(Inventory!A120),0,SUM(E120:G120)*Inventory!H120)</f>
        <v>0</v>
      </c>
      <c r="M120" s="35" t="str">
        <f>IF(OR(ISBLANK(N120),N120=0),"",Settings!$B$14)</f>
        <v/>
      </c>
      <c r="N120" s="30">
        <f>IF(ISBLANK(Inventory!A120),0,SUM(E120:G120)*Inventory!J120)</f>
        <v>0</v>
      </c>
      <c r="O120" s="35" t="str">
        <f>IF(OR(ISBLANK(P120),P120=0),"",Settings!$B$14)</f>
        <v/>
      </c>
      <c r="P120" s="30">
        <f>IF(ISBLANK(Inventory!A120),0,H120*Inventory!J120)</f>
        <v>0</v>
      </c>
    </row>
    <row r="121" spans="1:16" s="29" customFormat="1" ht="15" customHeight="1">
      <c r="A121" s="31" t="str">
        <f>IF(ISBLANK(Inventory!A121),"",Inventory!A121)</f>
        <v>Budweiser</v>
      </c>
      <c r="B121" s="31" t="str">
        <f>IF(ISBLANK(Inventory!A121),"",Inventory!C121)</f>
        <v>330ml</v>
      </c>
      <c r="C121" s="187"/>
      <c r="D121" s="192"/>
      <c r="E121" s="187"/>
      <c r="F121" s="187"/>
      <c r="G121" s="173"/>
      <c r="H121" s="37">
        <f>IF(ISBLANK(Inventory!A121),0,C121+SUM('Week 3'!E121:G121)-SUM(E121:G121))</f>
        <v>0</v>
      </c>
      <c r="I121" s="35" t="str">
        <f>IF(OR(ISBLANK(J121),J121=0),"",Settings!$B$14)</f>
        <v/>
      </c>
      <c r="J121" s="30">
        <f>IF(ISBLANK(C121),0,C121*Inventory!H121)</f>
        <v>0</v>
      </c>
      <c r="K121" s="35" t="str">
        <f>IF(OR(ISBLANK(L121),L121=0),"",Settings!$B$14)</f>
        <v/>
      </c>
      <c r="L121" s="30">
        <f>IF(ISBLANK(Inventory!A121),0,SUM(E121:G121)*Inventory!H121)</f>
        <v>0</v>
      </c>
      <c r="M121" s="35" t="str">
        <f>IF(OR(ISBLANK(N121),N121=0),"",Settings!$B$14)</f>
        <v/>
      </c>
      <c r="N121" s="30">
        <f>IF(ISBLANK(Inventory!A121),0,SUM(E121:G121)*Inventory!J121)</f>
        <v>0</v>
      </c>
      <c r="O121" s="35" t="str">
        <f>IF(OR(ISBLANK(P121),P121=0),"",Settings!$B$14)</f>
        <v/>
      </c>
      <c r="P121" s="30">
        <f>IF(ISBLANK(Inventory!A121),0,H121*Inventory!J121)</f>
        <v>0</v>
      </c>
    </row>
    <row r="122" spans="1:16" s="29" customFormat="1" ht="15" customHeight="1">
      <c r="A122" s="31" t="str">
        <f>IF(ISBLANK(Inventory!A122),"",Inventory!A122)</f>
        <v>Becks</v>
      </c>
      <c r="B122" s="31" t="str">
        <f>IF(ISBLANK(Inventory!A122),"",Inventory!C122)</f>
        <v>275ml</v>
      </c>
      <c r="C122" s="187"/>
      <c r="D122" s="192"/>
      <c r="E122" s="187"/>
      <c r="F122" s="187"/>
      <c r="G122" s="173"/>
      <c r="H122" s="37">
        <f>IF(ISBLANK(Inventory!A122),0,C122+SUM('Week 3'!E122:G122)-SUM(E122:G122))</f>
        <v>0</v>
      </c>
      <c r="I122" s="35" t="str">
        <f>IF(OR(ISBLANK(J122),J122=0),"",Settings!$B$14)</f>
        <v/>
      </c>
      <c r="J122" s="30">
        <f>IF(ISBLANK(C122),0,C122*Inventory!H122)</f>
        <v>0</v>
      </c>
      <c r="K122" s="35" t="str">
        <f>IF(OR(ISBLANK(L122),L122=0),"",Settings!$B$14)</f>
        <v/>
      </c>
      <c r="L122" s="30">
        <f>IF(ISBLANK(Inventory!A122),0,SUM(E122:G122)*Inventory!H122)</f>
        <v>0</v>
      </c>
      <c r="M122" s="35" t="str">
        <f>IF(OR(ISBLANK(N122),N122=0),"",Settings!$B$14)</f>
        <v/>
      </c>
      <c r="N122" s="30">
        <f>IF(ISBLANK(Inventory!A122),0,SUM(E122:G122)*Inventory!J122)</f>
        <v>0</v>
      </c>
      <c r="O122" s="35" t="str">
        <f>IF(OR(ISBLANK(P122),P122=0),"",Settings!$B$14)</f>
        <v/>
      </c>
      <c r="P122" s="30">
        <f>IF(ISBLANK(Inventory!A122),0,H122*Inventory!J122)</f>
        <v>0</v>
      </c>
    </row>
    <row r="123" spans="1:16" s="29" customFormat="1" ht="15" customHeight="1">
      <c r="A123" s="31" t="str">
        <f>IF(ISBLANK(Inventory!A123),"",Inventory!A123)</f>
        <v>Old Speckled Hen</v>
      </c>
      <c r="B123" s="31" t="str">
        <f>IF(ISBLANK(Inventory!A123),"",Inventory!C123)</f>
        <v>500ml</v>
      </c>
      <c r="C123" s="187"/>
      <c r="D123" s="192"/>
      <c r="E123" s="187"/>
      <c r="F123" s="187"/>
      <c r="G123" s="173"/>
      <c r="H123" s="37">
        <f>IF(ISBLANK(Inventory!A123),0,C123+SUM('Week 3'!E123:G123)-SUM(E123:G123))</f>
        <v>0</v>
      </c>
      <c r="I123" s="35" t="str">
        <f>IF(OR(ISBLANK(J123),J123=0),"",Settings!$B$14)</f>
        <v/>
      </c>
      <c r="J123" s="30">
        <f>IF(ISBLANK(C123),0,C123*Inventory!H123)</f>
        <v>0</v>
      </c>
      <c r="K123" s="35" t="str">
        <f>IF(OR(ISBLANK(L123),L123=0),"",Settings!$B$14)</f>
        <v/>
      </c>
      <c r="L123" s="30">
        <f>IF(ISBLANK(Inventory!A123),0,SUM(E123:G123)*Inventory!H123)</f>
        <v>0</v>
      </c>
      <c r="M123" s="35" t="str">
        <f>IF(OR(ISBLANK(N123),N123=0),"",Settings!$B$14)</f>
        <v/>
      </c>
      <c r="N123" s="30">
        <f>IF(ISBLANK(Inventory!A123),0,SUM(E123:G123)*Inventory!J123)</f>
        <v>0</v>
      </c>
      <c r="O123" s="35" t="str">
        <f>IF(OR(ISBLANK(P123),P123=0),"",Settings!$B$14)</f>
        <v/>
      </c>
      <c r="P123" s="30">
        <f>IF(ISBLANK(Inventory!A123),0,H123*Inventory!J123)</f>
        <v>0</v>
      </c>
    </row>
    <row r="124" spans="1:16" s="29" customFormat="1" ht="15" customHeight="1">
      <c r="A124" s="31" t="str">
        <f>IF(ISBLANK(Inventory!A124),"",Inventory!A124)</f>
        <v>Bacardi Breezer</v>
      </c>
      <c r="B124" s="31" t="str">
        <f>IF(ISBLANK(Inventory!A124),"",Inventory!C124)</f>
        <v>275ml</v>
      </c>
      <c r="C124" s="187"/>
      <c r="D124" s="192"/>
      <c r="E124" s="187"/>
      <c r="F124" s="187"/>
      <c r="G124" s="173"/>
      <c r="H124" s="37">
        <f>IF(ISBLANK(Inventory!A124),0,C124+SUM('Week 3'!E124:G124)-SUM(E124:G124))</f>
        <v>0</v>
      </c>
      <c r="I124" s="35" t="str">
        <f>IF(OR(ISBLANK(J124),J124=0),"",Settings!$B$14)</f>
        <v/>
      </c>
      <c r="J124" s="30">
        <f>IF(ISBLANK(C124),0,C124*Inventory!H124)</f>
        <v>0</v>
      </c>
      <c r="K124" s="35" t="str">
        <f>IF(OR(ISBLANK(L124),L124=0),"",Settings!$B$14)</f>
        <v/>
      </c>
      <c r="L124" s="30">
        <f>IF(ISBLANK(Inventory!A124),0,SUM(E124:G124)*Inventory!H124)</f>
        <v>0</v>
      </c>
      <c r="M124" s="35" t="str">
        <f>IF(OR(ISBLANK(N124),N124=0),"",Settings!$B$14)</f>
        <v/>
      </c>
      <c r="N124" s="30">
        <f>IF(ISBLANK(Inventory!A124),0,SUM(E124:G124)*Inventory!J124)</f>
        <v>0</v>
      </c>
      <c r="O124" s="35" t="str">
        <f>IF(OR(ISBLANK(P124),P124=0),"",Settings!$B$14)</f>
        <v/>
      </c>
      <c r="P124" s="30">
        <f>IF(ISBLANK(Inventory!A124),0,H124*Inventory!J124)</f>
        <v>0</v>
      </c>
    </row>
    <row r="125" spans="1:16" s="29" customFormat="1" ht="15" customHeight="1">
      <c r="A125" s="31" t="str">
        <f>IF(ISBLANK(Inventory!A125),"",Inventory!A125)</f>
        <v>WKD Blue/Iron Brew</v>
      </c>
      <c r="B125" s="31" t="str">
        <f>IF(ISBLANK(Inventory!A125),"",Inventory!C125)</f>
        <v>275ml</v>
      </c>
      <c r="C125" s="187"/>
      <c r="D125" s="192"/>
      <c r="E125" s="187"/>
      <c r="F125" s="187"/>
      <c r="G125" s="173"/>
      <c r="H125" s="37">
        <f>IF(ISBLANK(Inventory!A125),0,C125+SUM('Week 3'!E125:G125)-SUM(E125:G125))</f>
        <v>0</v>
      </c>
      <c r="I125" s="35" t="str">
        <f>IF(OR(ISBLANK(J125),J125=0),"",Settings!$B$14)</f>
        <v/>
      </c>
      <c r="J125" s="30">
        <f>IF(ISBLANK(C125),0,C125*Inventory!H125)</f>
        <v>0</v>
      </c>
      <c r="K125" s="35" t="str">
        <f>IF(OR(ISBLANK(L125),L125=0),"",Settings!$B$14)</f>
        <v/>
      </c>
      <c r="L125" s="30">
        <f>IF(ISBLANK(Inventory!A125),0,SUM(E125:G125)*Inventory!H125)</f>
        <v>0</v>
      </c>
      <c r="M125" s="35" t="str">
        <f>IF(OR(ISBLANK(N125),N125=0),"",Settings!$B$14)</f>
        <v/>
      </c>
      <c r="N125" s="30">
        <f>IF(ISBLANK(Inventory!A125),0,SUM(E125:G125)*Inventory!J125)</f>
        <v>0</v>
      </c>
      <c r="O125" s="35" t="str">
        <f>IF(OR(ISBLANK(P125),P125=0),"",Settings!$B$14)</f>
        <v/>
      </c>
      <c r="P125" s="30">
        <f>IF(ISBLANK(Inventory!A125),0,H125*Inventory!J125)</f>
        <v>0</v>
      </c>
    </row>
    <row r="126" spans="1:16" s="29" customFormat="1" ht="15" customHeight="1">
      <c r="A126" s="31" t="str">
        <f>IF(ISBLANK(Inventory!A126),"",Inventory!A126)</f>
        <v>Smirnoff Ice/Black Ice</v>
      </c>
      <c r="B126" s="31" t="str">
        <f>IF(ISBLANK(Inventory!A126),"",Inventory!C126)</f>
        <v>275ml</v>
      </c>
      <c r="C126" s="187"/>
      <c r="D126" s="192"/>
      <c r="E126" s="187"/>
      <c r="F126" s="187"/>
      <c r="G126" s="173"/>
      <c r="H126" s="37">
        <f>IF(ISBLANK(Inventory!A126),0,C126+SUM('Week 3'!E126:G126)-SUM(E126:G126))</f>
        <v>0</v>
      </c>
      <c r="I126" s="35" t="str">
        <f>IF(OR(ISBLANK(J126),J126=0),"",Settings!$B$14)</f>
        <v/>
      </c>
      <c r="J126" s="30">
        <f>IF(ISBLANK(C126),0,C126*Inventory!H126)</f>
        <v>0</v>
      </c>
      <c r="K126" s="35" t="str">
        <f>IF(OR(ISBLANK(L126),L126=0),"",Settings!$B$14)</f>
        <v/>
      </c>
      <c r="L126" s="30">
        <f>IF(ISBLANK(Inventory!A126),0,SUM(E126:G126)*Inventory!H126)</f>
        <v>0</v>
      </c>
      <c r="M126" s="35" t="str">
        <f>IF(OR(ISBLANK(N126),N126=0),"",Settings!$B$14)</f>
        <v/>
      </c>
      <c r="N126" s="30">
        <f>IF(ISBLANK(Inventory!A126),0,SUM(E126:G126)*Inventory!J126)</f>
        <v>0</v>
      </c>
      <c r="O126" s="35" t="str">
        <f>IF(OR(ISBLANK(P126),P126=0),"",Settings!$B$14)</f>
        <v/>
      </c>
      <c r="P126" s="30">
        <f>IF(ISBLANK(Inventory!A126),0,H126*Inventory!J126)</f>
        <v>0</v>
      </c>
    </row>
    <row r="127" spans="1:16" s="29" customFormat="1" ht="15" customHeight="1">
      <c r="A127" s="31" t="str">
        <f>IF(ISBLANK(Inventory!A127),"",Inventory!A127)</f>
        <v/>
      </c>
      <c r="B127" s="31" t="str">
        <f>IF(ISBLANK(Inventory!A127),"",Inventory!C127)</f>
        <v/>
      </c>
      <c r="C127" s="187"/>
      <c r="D127" s="192"/>
      <c r="E127" s="187"/>
      <c r="F127" s="187"/>
      <c r="G127" s="173"/>
      <c r="H127" s="37">
        <f>IF(ISBLANK(Inventory!A127),0,C127+SUM('Week 3'!E127:G127)-SUM(E127:G127))</f>
        <v>0</v>
      </c>
      <c r="I127" s="35" t="str">
        <f>IF(OR(ISBLANK(J127),J127=0),"",Settings!$B$14)</f>
        <v/>
      </c>
      <c r="J127" s="30">
        <f>IF(ISBLANK(C127),0,C127*Inventory!H127)</f>
        <v>0</v>
      </c>
      <c r="K127" s="35" t="str">
        <f>IF(OR(ISBLANK(L127),L127=0),"",Settings!$B$14)</f>
        <v/>
      </c>
      <c r="L127" s="30">
        <f>IF(ISBLANK(Inventory!A127),0,SUM(E127:G127)*Inventory!H127)</f>
        <v>0</v>
      </c>
      <c r="M127" s="35" t="str">
        <f>IF(OR(ISBLANK(N127),N127=0),"",Settings!$B$14)</f>
        <v/>
      </c>
      <c r="N127" s="30">
        <f>IF(ISBLANK(Inventory!A127),0,SUM(E127:G127)*Inventory!J127)</f>
        <v>0</v>
      </c>
      <c r="O127" s="35" t="str">
        <f>IF(OR(ISBLANK(P127),P127=0),"",Settings!$B$14)</f>
        <v/>
      </c>
      <c r="P127" s="30">
        <f>IF(ISBLANK(Inventory!A127),0,H127*Inventory!J127)</f>
        <v>0</v>
      </c>
    </row>
    <row r="128" spans="1:16" s="29" customFormat="1" ht="15" customHeight="1">
      <c r="A128" s="31" t="str">
        <f>IF(ISBLANK(Inventory!A128),"",Inventory!A128)</f>
        <v/>
      </c>
      <c r="B128" s="31" t="str">
        <f>IF(ISBLANK(Inventory!A128),"",Inventory!C128)</f>
        <v/>
      </c>
      <c r="C128" s="187"/>
      <c r="D128" s="192"/>
      <c r="E128" s="187"/>
      <c r="F128" s="187"/>
      <c r="G128" s="173"/>
      <c r="H128" s="37">
        <f>IF(ISBLANK(Inventory!A128),0,C128+SUM('Week 3'!E128:G128)-SUM(E128:G128))</f>
        <v>0</v>
      </c>
      <c r="I128" s="35" t="str">
        <f>IF(OR(ISBLANK(J128),J128=0),"",Settings!$B$14)</f>
        <v/>
      </c>
      <c r="J128" s="30">
        <f>IF(ISBLANK(C128),0,C128*Inventory!H128)</f>
        <v>0</v>
      </c>
      <c r="K128" s="35" t="str">
        <f>IF(OR(ISBLANK(L128),L128=0),"",Settings!$B$14)</f>
        <v/>
      </c>
      <c r="L128" s="30">
        <f>IF(ISBLANK(Inventory!A128),0,SUM(E128:G128)*Inventory!H128)</f>
        <v>0</v>
      </c>
      <c r="M128" s="35" t="str">
        <f>IF(OR(ISBLANK(N128),N128=0),"",Settings!$B$14)</f>
        <v/>
      </c>
      <c r="N128" s="30">
        <f>IF(ISBLANK(Inventory!A128),0,SUM(E128:G128)*Inventory!J128)</f>
        <v>0</v>
      </c>
      <c r="O128" s="35" t="str">
        <f>IF(OR(ISBLANK(P128),P128=0),"",Settings!$B$14)</f>
        <v/>
      </c>
      <c r="P128" s="30">
        <f>IF(ISBLANK(Inventory!A128),0,H128*Inventory!J128)</f>
        <v>0</v>
      </c>
    </row>
    <row r="129" spans="1:16" s="29" customFormat="1" ht="15" customHeight="1">
      <c r="A129" s="31" t="str">
        <f>IF(ISBLANK(Inventory!A129),"",Inventory!A129)</f>
        <v/>
      </c>
      <c r="B129" s="31" t="str">
        <f>IF(ISBLANK(Inventory!A129),"",Inventory!C129)</f>
        <v/>
      </c>
      <c r="C129" s="187"/>
      <c r="D129" s="192"/>
      <c r="E129" s="187"/>
      <c r="F129" s="187"/>
      <c r="G129" s="173"/>
      <c r="H129" s="37">
        <f>IF(ISBLANK(Inventory!A129),0,C129+SUM('Week 3'!E129:G129)-SUM(E129:G129))</f>
        <v>0</v>
      </c>
      <c r="I129" s="35" t="str">
        <f>IF(OR(ISBLANK(J129),J129=0),"",Settings!$B$14)</f>
        <v/>
      </c>
      <c r="J129" s="30">
        <f>IF(ISBLANK(C129),0,C129*Inventory!H129)</f>
        <v>0</v>
      </c>
      <c r="K129" s="35" t="str">
        <f>IF(OR(ISBLANK(L129),L129=0),"",Settings!$B$14)</f>
        <v/>
      </c>
      <c r="L129" s="30">
        <f>IF(ISBLANK(Inventory!A129),0,SUM(E129:G129)*Inventory!H129)</f>
        <v>0</v>
      </c>
      <c r="M129" s="35" t="str">
        <f>IF(OR(ISBLANK(N129),N129=0),"",Settings!$B$14)</f>
        <v/>
      </c>
      <c r="N129" s="30">
        <f>IF(ISBLANK(Inventory!A129),0,SUM(E129:G129)*Inventory!J129)</f>
        <v>0</v>
      </c>
      <c r="O129" s="35" t="str">
        <f>IF(OR(ISBLANK(P129),P129=0),"",Settings!$B$14)</f>
        <v/>
      </c>
      <c r="P129" s="30">
        <f>IF(ISBLANK(Inventory!A129),0,H129*Inventory!J129)</f>
        <v>0</v>
      </c>
    </row>
    <row r="130" spans="1:16" s="29" customFormat="1" ht="15" customHeight="1">
      <c r="A130" s="31" t="str">
        <f>IF(ISBLANK(Inventory!A130),"",Inventory!A130)</f>
        <v/>
      </c>
      <c r="B130" s="31" t="str">
        <f>IF(ISBLANK(Inventory!A130),"",Inventory!C130)</f>
        <v/>
      </c>
      <c r="C130" s="187"/>
      <c r="D130" s="192"/>
      <c r="E130" s="187"/>
      <c r="F130" s="187"/>
      <c r="G130" s="173"/>
      <c r="H130" s="37">
        <f>IF(ISBLANK(Inventory!A130),0,C130+SUM('Week 3'!E130:G130)-SUM(E130:G130))</f>
        <v>0</v>
      </c>
      <c r="I130" s="35" t="str">
        <f>IF(OR(ISBLANK(J130),J130=0),"",Settings!$B$14)</f>
        <v/>
      </c>
      <c r="J130" s="30">
        <f>IF(ISBLANK(C130),0,C130*Inventory!H130)</f>
        <v>0</v>
      </c>
      <c r="K130" s="35" t="str">
        <f>IF(OR(ISBLANK(L130),L130=0),"",Settings!$B$14)</f>
        <v/>
      </c>
      <c r="L130" s="30">
        <f>IF(ISBLANK(Inventory!A130),0,SUM(E130:G130)*Inventory!H130)</f>
        <v>0</v>
      </c>
      <c r="M130" s="35" t="str">
        <f>IF(OR(ISBLANK(N130),N130=0),"",Settings!$B$14)</f>
        <v/>
      </c>
      <c r="N130" s="30">
        <f>IF(ISBLANK(Inventory!A130),0,SUM(E130:G130)*Inventory!J130)</f>
        <v>0</v>
      </c>
      <c r="O130" s="35" t="str">
        <f>IF(OR(ISBLANK(P130),P130=0),"",Settings!$B$14)</f>
        <v/>
      </c>
      <c r="P130" s="30">
        <f>IF(ISBLANK(Inventory!A130),0,H130*Inventory!J130)</f>
        <v>0</v>
      </c>
    </row>
    <row r="131" spans="1:16" s="29" customFormat="1" ht="15" customHeight="1">
      <c r="A131" s="31" t="str">
        <f>IF(ISBLANK(Inventory!A131),"",Inventory!A131)</f>
        <v/>
      </c>
      <c r="B131" s="31" t="str">
        <f>IF(ISBLANK(Inventory!A131),"",Inventory!C131)</f>
        <v/>
      </c>
      <c r="C131" s="187"/>
      <c r="D131" s="192"/>
      <c r="E131" s="187"/>
      <c r="F131" s="187"/>
      <c r="G131" s="173"/>
      <c r="H131" s="37">
        <f>IF(ISBLANK(Inventory!A131),0,C131+SUM('Week 3'!E131:G131)-SUM(E131:G131))</f>
        <v>0</v>
      </c>
      <c r="I131" s="35" t="str">
        <f>IF(OR(ISBLANK(J131),J131=0),"",Settings!$B$14)</f>
        <v/>
      </c>
      <c r="J131" s="30">
        <f>IF(ISBLANK(C131),0,C131*Inventory!H131)</f>
        <v>0</v>
      </c>
      <c r="K131" s="35" t="str">
        <f>IF(OR(ISBLANK(L131),L131=0),"",Settings!$B$14)</f>
        <v/>
      </c>
      <c r="L131" s="30">
        <f>IF(ISBLANK(Inventory!A131),0,SUM(E131:G131)*Inventory!H131)</f>
        <v>0</v>
      </c>
      <c r="M131" s="35" t="str">
        <f>IF(OR(ISBLANK(N131),N131=0),"",Settings!$B$14)</f>
        <v/>
      </c>
      <c r="N131" s="30">
        <f>IF(ISBLANK(Inventory!A131),0,SUM(E131:G131)*Inventory!J131)</f>
        <v>0</v>
      </c>
      <c r="O131" s="35" t="str">
        <f>IF(OR(ISBLANK(P131),P131=0),"",Settings!$B$14)</f>
        <v/>
      </c>
      <c r="P131" s="30">
        <f>IF(ISBLANK(Inventory!A131),0,H131*Inventory!J131)</f>
        <v>0</v>
      </c>
    </row>
    <row r="132" spans="1:16" s="29" customFormat="1" ht="15" customHeight="1">
      <c r="A132" s="31" t="str">
        <f>IF(ISBLANK(Inventory!A132),"",Inventory!A132)</f>
        <v/>
      </c>
      <c r="B132" s="31" t="str">
        <f>IF(ISBLANK(Inventory!A132),"",Inventory!C132)</f>
        <v/>
      </c>
      <c r="C132" s="187"/>
      <c r="D132" s="192"/>
      <c r="E132" s="187"/>
      <c r="F132" s="187"/>
      <c r="G132" s="173"/>
      <c r="H132" s="37">
        <f>IF(ISBLANK(Inventory!A132),0,C132+SUM('Week 3'!E132:G132)-SUM(E132:G132))</f>
        <v>0</v>
      </c>
      <c r="I132" s="35" t="str">
        <f>IF(OR(ISBLANK(J132),J132=0),"",Settings!$B$14)</f>
        <v/>
      </c>
      <c r="J132" s="30">
        <f>IF(ISBLANK(C132),0,C132*Inventory!H132)</f>
        <v>0</v>
      </c>
      <c r="K132" s="35" t="str">
        <f>IF(OR(ISBLANK(L132),L132=0),"",Settings!$B$14)</f>
        <v/>
      </c>
      <c r="L132" s="30">
        <f>IF(ISBLANK(Inventory!A132),0,SUM(E132:G132)*Inventory!H132)</f>
        <v>0</v>
      </c>
      <c r="M132" s="35" t="str">
        <f>IF(OR(ISBLANK(N132),N132=0),"",Settings!$B$14)</f>
        <v/>
      </c>
      <c r="N132" s="30">
        <f>IF(ISBLANK(Inventory!A132),0,SUM(E132:G132)*Inventory!J132)</f>
        <v>0</v>
      </c>
      <c r="O132" s="35" t="str">
        <f>IF(OR(ISBLANK(P132),P132=0),"",Settings!$B$14)</f>
        <v/>
      </c>
      <c r="P132" s="30">
        <f>IF(ISBLANK(Inventory!A132),0,H132*Inventory!J132)</f>
        <v>0</v>
      </c>
    </row>
    <row r="133" spans="1:16" s="29" customFormat="1" ht="15" customHeight="1">
      <c r="A133" s="31" t="str">
        <f>IF(ISBLANK(Inventory!A133),"",Inventory!A133)</f>
        <v/>
      </c>
      <c r="B133" s="31" t="str">
        <f>IF(ISBLANK(Inventory!A133),"",Inventory!C133)</f>
        <v/>
      </c>
      <c r="C133" s="187"/>
      <c r="D133" s="192"/>
      <c r="E133" s="187"/>
      <c r="F133" s="187"/>
      <c r="G133" s="173"/>
      <c r="H133" s="37">
        <f>IF(ISBLANK(Inventory!A133),0,C133+SUM('Week 3'!E133:G133)-SUM(E133:G133))</f>
        <v>0</v>
      </c>
      <c r="I133" s="35" t="str">
        <f>IF(OR(ISBLANK(J133),J133=0),"",Settings!$B$14)</f>
        <v/>
      </c>
      <c r="J133" s="30">
        <f>IF(ISBLANK(C133),0,C133*Inventory!H133)</f>
        <v>0</v>
      </c>
      <c r="K133" s="35" t="str">
        <f>IF(OR(ISBLANK(L133),L133=0),"",Settings!$B$14)</f>
        <v/>
      </c>
      <c r="L133" s="30">
        <f>IF(ISBLANK(Inventory!A133),0,SUM(E133:G133)*Inventory!H133)</f>
        <v>0</v>
      </c>
      <c r="M133" s="35" t="str">
        <f>IF(OR(ISBLANK(N133),N133=0),"",Settings!$B$14)</f>
        <v/>
      </c>
      <c r="N133" s="30">
        <f>IF(ISBLANK(Inventory!A133),0,SUM(E133:G133)*Inventory!J133)</f>
        <v>0</v>
      </c>
      <c r="O133" s="35" t="str">
        <f>IF(OR(ISBLANK(P133),P133=0),"",Settings!$B$14)</f>
        <v/>
      </c>
      <c r="P133" s="30">
        <f>IF(ISBLANK(Inventory!A133),0,H133*Inventory!J133)</f>
        <v>0</v>
      </c>
    </row>
    <row r="134" spans="1:16" s="29" customFormat="1" ht="15" customHeight="1">
      <c r="A134" s="31" t="str">
        <f>IF(ISBLANK(Inventory!A134),"",Inventory!A134)</f>
        <v/>
      </c>
      <c r="B134" s="31" t="str">
        <f>IF(ISBLANK(Inventory!A134),"",Inventory!C134)</f>
        <v/>
      </c>
      <c r="C134" s="187"/>
      <c r="D134" s="192"/>
      <c r="E134" s="187"/>
      <c r="F134" s="187"/>
      <c r="G134" s="173"/>
      <c r="H134" s="37">
        <f>IF(ISBLANK(Inventory!A134),0,C134+SUM('Week 3'!E134:G134)-SUM(E134:G134))</f>
        <v>0</v>
      </c>
      <c r="I134" s="35" t="str">
        <f>IF(OR(ISBLANK(J134),J134=0),"",Settings!$B$14)</f>
        <v/>
      </c>
      <c r="J134" s="30">
        <f>IF(ISBLANK(C134),0,C134*Inventory!H134)</f>
        <v>0</v>
      </c>
      <c r="K134" s="35" t="str">
        <f>IF(OR(ISBLANK(L134),L134=0),"",Settings!$B$14)</f>
        <v/>
      </c>
      <c r="L134" s="30">
        <f>IF(ISBLANK(Inventory!A134),0,SUM(E134:G134)*Inventory!H134)</f>
        <v>0</v>
      </c>
      <c r="M134" s="35" t="str">
        <f>IF(OR(ISBLANK(N134),N134=0),"",Settings!$B$14)</f>
        <v/>
      </c>
      <c r="N134" s="30">
        <f>IF(ISBLANK(Inventory!A134),0,SUM(E134:G134)*Inventory!J134)</f>
        <v>0</v>
      </c>
      <c r="O134" s="35" t="str">
        <f>IF(OR(ISBLANK(P134),P134=0),"",Settings!$B$14)</f>
        <v/>
      </c>
      <c r="P134" s="30">
        <f>IF(ISBLANK(Inventory!A134),0,H134*Inventory!J134)</f>
        <v>0</v>
      </c>
    </row>
    <row r="135" spans="1:16" ht="6.95" customHeight="1">
      <c r="A135" s="24"/>
      <c r="B135" s="24"/>
      <c r="C135" s="69"/>
      <c r="D135" s="69"/>
      <c r="E135" s="69"/>
      <c r="F135" s="69"/>
      <c r="G135" s="69"/>
      <c r="H135" s="69"/>
      <c r="I135" s="69"/>
      <c r="J135" s="69"/>
      <c r="K135" s="69"/>
      <c r="L135" s="25"/>
      <c r="M135" s="62"/>
      <c r="N135" s="160"/>
      <c r="O135" s="25"/>
      <c r="P135" s="160"/>
    </row>
    <row r="136" spans="1:16" s="45" customFormat="1" ht="18" customHeight="1" thickBot="1">
      <c r="A136" s="78" t="str">
        <f>Inventory!A136</f>
        <v>CIDER</v>
      </c>
      <c r="B136" s="78" t="str">
        <f>Inventory!C136</f>
        <v>VOLUME</v>
      </c>
      <c r="C136" s="22" t="s">
        <v>187</v>
      </c>
      <c r="D136" s="22"/>
      <c r="E136" s="22" t="s">
        <v>101</v>
      </c>
      <c r="F136" s="22" t="s">
        <v>102</v>
      </c>
      <c r="G136" s="23"/>
      <c r="H136" s="79" t="s">
        <v>119</v>
      </c>
      <c r="I136" s="253" t="s">
        <v>190</v>
      </c>
      <c r="J136" s="253"/>
      <c r="K136" s="235" t="s">
        <v>30</v>
      </c>
      <c r="L136" s="235"/>
      <c r="M136" s="235" t="s">
        <v>31</v>
      </c>
      <c r="N136" s="235"/>
      <c r="O136" s="235" t="s">
        <v>189</v>
      </c>
      <c r="P136" s="235"/>
    </row>
    <row r="137" spans="1:16" ht="6.95" customHeight="1" thickTop="1">
      <c r="A137" s="193"/>
      <c r="B137" s="194"/>
      <c r="C137" s="71"/>
      <c r="D137" s="71"/>
      <c r="E137" s="67"/>
      <c r="F137" s="67"/>
      <c r="G137" s="71"/>
      <c r="H137" s="71"/>
      <c r="I137" s="71"/>
      <c r="J137" s="71"/>
      <c r="K137" s="71"/>
      <c r="L137" s="67"/>
      <c r="M137" s="62"/>
      <c r="N137" s="67"/>
      <c r="O137" s="67"/>
      <c r="P137" s="67"/>
    </row>
    <row r="138" spans="1:16" s="195" customFormat="1" ht="15" customHeight="1">
      <c r="A138" s="31" t="str">
        <f>IF(ISBLANK(Inventory!A138),"",Inventory!A138)</f>
        <v>Strongbow</v>
      </c>
      <c r="B138" s="31" t="str">
        <f>IF(ISBLANK(Inventory!A138),"",Inventory!C138)</f>
        <v>275ml</v>
      </c>
      <c r="C138" s="187"/>
      <c r="D138" s="192"/>
      <c r="E138" s="187"/>
      <c r="F138" s="187"/>
      <c r="G138" s="173"/>
      <c r="H138" s="37">
        <f>IF(ISBLANK(Inventory!A138),0,C138+SUM('Week 3'!E138:G138)-SUM(E138:G138))</f>
        <v>0</v>
      </c>
      <c r="I138" s="35" t="str">
        <f>IF(OR(ISBLANK(J138),J138=0),"",Settings!$B$14)</f>
        <v/>
      </c>
      <c r="J138" s="30">
        <f>IF(ISBLANK(C138),0,C138*Inventory!H138)</f>
        <v>0</v>
      </c>
      <c r="K138" s="35" t="str">
        <f>IF(OR(ISBLANK(L138),L138=0),"",Settings!$B$14)</f>
        <v/>
      </c>
      <c r="L138" s="30">
        <f>IF(ISBLANK(Inventory!A138),0,SUM(E138:G138)*Inventory!H138)</f>
        <v>0</v>
      </c>
      <c r="M138" s="35" t="str">
        <f>IF(OR(ISBLANK(N138),N138=0),"",Settings!$B$14)</f>
        <v/>
      </c>
      <c r="N138" s="30">
        <f>IF(ISBLANK(Inventory!A138),0,SUM(E138:G138)*Inventory!J138)</f>
        <v>0</v>
      </c>
      <c r="O138" s="35" t="str">
        <f>IF(OR(ISBLANK(P138),P138=0),"",Settings!$B$14)</f>
        <v/>
      </c>
      <c r="P138" s="30">
        <f>IF(ISBLANK(Inventory!A138),0,H138*Inventory!J138)</f>
        <v>0</v>
      </c>
    </row>
    <row r="139" spans="1:16" s="195" customFormat="1" ht="15" customHeight="1">
      <c r="A139" s="31" t="str">
        <f>IF(ISBLANK(Inventory!A139),"",Inventory!A139)</f>
        <v>Woodpecker</v>
      </c>
      <c r="B139" s="31" t="str">
        <f>IF(ISBLANK(Inventory!A139),"",Inventory!C139)</f>
        <v>275ml</v>
      </c>
      <c r="C139" s="187"/>
      <c r="D139" s="192"/>
      <c r="E139" s="187"/>
      <c r="F139" s="187"/>
      <c r="G139" s="173"/>
      <c r="H139" s="37">
        <f>IF(ISBLANK(Inventory!A139),0,C139+SUM('Week 3'!E139:G139)-SUM(E139:G139))</f>
        <v>0</v>
      </c>
      <c r="I139" s="35" t="str">
        <f>IF(OR(ISBLANK(J139),J139=0),"",Settings!$B$14)</f>
        <v/>
      </c>
      <c r="J139" s="30">
        <f>IF(ISBLANK(C139),0,C139*Inventory!H139)</f>
        <v>0</v>
      </c>
      <c r="K139" s="35" t="str">
        <f>IF(OR(ISBLANK(L139),L139=0),"",Settings!$B$14)</f>
        <v/>
      </c>
      <c r="L139" s="30">
        <f>IF(ISBLANK(Inventory!A139),0,SUM(E139:G139)*Inventory!H139)</f>
        <v>0</v>
      </c>
      <c r="M139" s="35" t="str">
        <f>IF(OR(ISBLANK(N139),N139=0),"",Settings!$B$14)</f>
        <v/>
      </c>
      <c r="N139" s="30">
        <f>IF(ISBLANK(Inventory!A139),0,SUM(E139:G139)*Inventory!J139)</f>
        <v>0</v>
      </c>
      <c r="O139" s="35" t="str">
        <f>IF(OR(ISBLANK(P139),P139=0),"",Settings!$B$14)</f>
        <v/>
      </c>
      <c r="P139" s="30">
        <f>IF(ISBLANK(Inventory!A139),0,H139*Inventory!J139)</f>
        <v>0</v>
      </c>
    </row>
    <row r="140" spans="1:16" s="195" customFormat="1" ht="15" customHeight="1">
      <c r="A140" s="31" t="str">
        <f>IF(ISBLANK(Inventory!A140),"",Inventory!A140)</f>
        <v/>
      </c>
      <c r="B140" s="31" t="str">
        <f>IF(ISBLANK(Inventory!A140),"",Inventory!C140)</f>
        <v/>
      </c>
      <c r="C140" s="187"/>
      <c r="D140" s="192"/>
      <c r="E140" s="187"/>
      <c r="F140" s="187"/>
      <c r="G140" s="173"/>
      <c r="H140" s="37">
        <f>IF(ISBLANK(Inventory!A140),0,C140+SUM('Week 3'!E140:G140)-SUM(E140:G140))</f>
        <v>0</v>
      </c>
      <c r="I140" s="35" t="str">
        <f>IF(OR(ISBLANK(J140),J140=0),"",Settings!$B$14)</f>
        <v/>
      </c>
      <c r="J140" s="30">
        <f>IF(ISBLANK(C140),0,C140*Inventory!H140)</f>
        <v>0</v>
      </c>
      <c r="K140" s="35" t="str">
        <f>IF(OR(ISBLANK(L140),L140=0),"",Settings!$B$14)</f>
        <v/>
      </c>
      <c r="L140" s="30">
        <f>IF(ISBLANK(Inventory!A140),0,SUM(E140:G140)*Inventory!H140)</f>
        <v>0</v>
      </c>
      <c r="M140" s="35" t="str">
        <f>IF(OR(ISBLANK(N140),N140=0),"",Settings!$B$14)</f>
        <v/>
      </c>
      <c r="N140" s="30">
        <f>IF(ISBLANK(Inventory!A140),0,SUM(E140:G140)*Inventory!J140)</f>
        <v>0</v>
      </c>
      <c r="O140" s="35" t="str">
        <f>IF(OR(ISBLANK(P140),P140=0),"",Settings!$B$14)</f>
        <v/>
      </c>
      <c r="P140" s="30">
        <f>IF(ISBLANK(Inventory!A140),0,H140*Inventory!J140)</f>
        <v>0</v>
      </c>
    </row>
    <row r="141" spans="1:16" s="195" customFormat="1" ht="15" customHeight="1">
      <c r="A141" s="31" t="str">
        <f>IF(ISBLANK(Inventory!A141),"",Inventory!A141)</f>
        <v/>
      </c>
      <c r="B141" s="31" t="str">
        <f>IF(ISBLANK(Inventory!A141),"",Inventory!C141)</f>
        <v/>
      </c>
      <c r="C141" s="187"/>
      <c r="D141" s="192"/>
      <c r="E141" s="187"/>
      <c r="F141" s="187"/>
      <c r="G141" s="173"/>
      <c r="H141" s="37">
        <f>IF(ISBLANK(Inventory!A141),0,C141+SUM('Week 3'!E141:G141)-SUM(E141:G141))</f>
        <v>0</v>
      </c>
      <c r="I141" s="35" t="str">
        <f>IF(OR(ISBLANK(J141),J141=0),"",Settings!$B$14)</f>
        <v/>
      </c>
      <c r="J141" s="30">
        <f>IF(ISBLANK(C141),0,C141*Inventory!H141)</f>
        <v>0</v>
      </c>
      <c r="K141" s="35" t="str">
        <f>IF(OR(ISBLANK(L141),L141=0),"",Settings!$B$14)</f>
        <v/>
      </c>
      <c r="L141" s="30">
        <f>IF(ISBLANK(Inventory!A141),0,SUM(E141:G141)*Inventory!H141)</f>
        <v>0</v>
      </c>
      <c r="M141" s="35" t="str">
        <f>IF(OR(ISBLANK(N141),N141=0),"",Settings!$B$14)</f>
        <v/>
      </c>
      <c r="N141" s="30">
        <f>IF(ISBLANK(Inventory!A141),0,SUM(E141:G141)*Inventory!J141)</f>
        <v>0</v>
      </c>
      <c r="O141" s="35" t="str">
        <f>IF(OR(ISBLANK(P141),P141=0),"",Settings!$B$14)</f>
        <v/>
      </c>
      <c r="P141" s="30">
        <f>IF(ISBLANK(Inventory!A141),0,H141*Inventory!J141)</f>
        <v>0</v>
      </c>
    </row>
    <row r="142" spans="1:16" s="195" customFormat="1" ht="15" customHeight="1">
      <c r="A142" s="31" t="str">
        <f>IF(ISBLANK(Inventory!A142),"",Inventory!A142)</f>
        <v/>
      </c>
      <c r="B142" s="31" t="str">
        <f>IF(ISBLANK(Inventory!A142),"",Inventory!C142)</f>
        <v/>
      </c>
      <c r="C142" s="187"/>
      <c r="D142" s="192"/>
      <c r="E142" s="187"/>
      <c r="F142" s="187"/>
      <c r="G142" s="173"/>
      <c r="H142" s="37">
        <f>IF(ISBLANK(Inventory!A142),0,C142+SUM('Week 3'!E142:G142)-SUM(E142:G142))</f>
        <v>0</v>
      </c>
      <c r="I142" s="35" t="str">
        <f>IF(OR(ISBLANK(J142),J142=0),"",Settings!$B$14)</f>
        <v/>
      </c>
      <c r="J142" s="30">
        <f>IF(ISBLANK(C142),0,C142*Inventory!H142)</f>
        <v>0</v>
      </c>
      <c r="K142" s="35" t="str">
        <f>IF(OR(ISBLANK(L142),L142=0),"",Settings!$B$14)</f>
        <v/>
      </c>
      <c r="L142" s="30">
        <f>IF(ISBLANK(Inventory!A142),0,SUM(E142:G142)*Inventory!H142)</f>
        <v>0</v>
      </c>
      <c r="M142" s="35" t="str">
        <f>IF(OR(ISBLANK(N142),N142=0),"",Settings!$B$14)</f>
        <v/>
      </c>
      <c r="N142" s="30">
        <f>IF(ISBLANK(Inventory!A142),0,SUM(E142:G142)*Inventory!J142)</f>
        <v>0</v>
      </c>
      <c r="O142" s="35" t="str">
        <f>IF(OR(ISBLANK(P142),P142=0),"",Settings!$B$14)</f>
        <v/>
      </c>
      <c r="P142" s="30">
        <f>IF(ISBLANK(Inventory!A142),0,H142*Inventory!J142)</f>
        <v>0</v>
      </c>
    </row>
    <row r="143" spans="1:16" s="195" customFormat="1" ht="15" customHeight="1">
      <c r="A143" s="31" t="str">
        <f>IF(ISBLANK(Inventory!A143),"",Inventory!A143)</f>
        <v/>
      </c>
      <c r="B143" s="31" t="str">
        <f>IF(ISBLANK(Inventory!A143),"",Inventory!C143)</f>
        <v/>
      </c>
      <c r="C143" s="187"/>
      <c r="D143" s="192"/>
      <c r="E143" s="187"/>
      <c r="F143" s="187"/>
      <c r="G143" s="173"/>
      <c r="H143" s="37">
        <f>IF(ISBLANK(Inventory!A143),0,C143+SUM('Week 3'!E143:G143)-SUM(E143:G143))</f>
        <v>0</v>
      </c>
      <c r="I143" s="35" t="str">
        <f>IF(OR(ISBLANK(J143),J143=0),"",Settings!$B$14)</f>
        <v/>
      </c>
      <c r="J143" s="30">
        <f>IF(ISBLANK(C143),0,C143*Inventory!H143)</f>
        <v>0</v>
      </c>
      <c r="K143" s="35" t="str">
        <f>IF(OR(ISBLANK(L143),L143=0),"",Settings!$B$14)</f>
        <v/>
      </c>
      <c r="L143" s="30">
        <f>IF(ISBLANK(Inventory!A143),0,SUM(E143:G143)*Inventory!H143)</f>
        <v>0</v>
      </c>
      <c r="M143" s="35" t="str">
        <f>IF(OR(ISBLANK(N143),N143=0),"",Settings!$B$14)</f>
        <v/>
      </c>
      <c r="N143" s="30">
        <f>IF(ISBLANK(Inventory!A143),0,SUM(E143:G143)*Inventory!J143)</f>
        <v>0</v>
      </c>
      <c r="O143" s="35" t="str">
        <f>IF(OR(ISBLANK(P143),P143=0),"",Settings!$B$14)</f>
        <v/>
      </c>
      <c r="P143" s="30">
        <f>IF(ISBLANK(Inventory!A143),0,H143*Inventory!J143)</f>
        <v>0</v>
      </c>
    </row>
    <row r="144" spans="1:16" s="195" customFormat="1" ht="15" customHeight="1">
      <c r="A144" s="31" t="str">
        <f>IF(ISBLANK(Inventory!A144),"",Inventory!A144)</f>
        <v/>
      </c>
      <c r="B144" s="31" t="str">
        <f>IF(ISBLANK(Inventory!A144),"",Inventory!C144)</f>
        <v/>
      </c>
      <c r="C144" s="187"/>
      <c r="D144" s="192"/>
      <c r="E144" s="187"/>
      <c r="F144" s="187"/>
      <c r="G144" s="173"/>
      <c r="H144" s="37">
        <f>IF(ISBLANK(Inventory!A144),0,C144+SUM('Week 3'!E144:G144)-SUM(E144:G144))</f>
        <v>0</v>
      </c>
      <c r="I144" s="35" t="str">
        <f>IF(OR(ISBLANK(J144),J144=0),"",Settings!$B$14)</f>
        <v/>
      </c>
      <c r="J144" s="30">
        <f>IF(ISBLANK(C144),0,C144*Inventory!H144)</f>
        <v>0</v>
      </c>
      <c r="K144" s="35" t="str">
        <f>IF(OR(ISBLANK(L144),L144=0),"",Settings!$B$14)</f>
        <v/>
      </c>
      <c r="L144" s="30">
        <f>IF(ISBLANK(Inventory!A144),0,SUM(E144:G144)*Inventory!H144)</f>
        <v>0</v>
      </c>
      <c r="M144" s="35" t="str">
        <f>IF(OR(ISBLANK(N144),N144=0),"",Settings!$B$14)</f>
        <v/>
      </c>
      <c r="N144" s="30">
        <f>IF(ISBLANK(Inventory!A144),0,SUM(E144:G144)*Inventory!J144)</f>
        <v>0</v>
      </c>
      <c r="O144" s="35" t="str">
        <f>IF(OR(ISBLANK(P144),P144=0),"",Settings!$B$14)</f>
        <v/>
      </c>
      <c r="P144" s="30">
        <f>IF(ISBLANK(Inventory!A144),0,H144*Inventory!J144)</f>
        <v>0</v>
      </c>
    </row>
    <row r="145" spans="1:16" s="195" customFormat="1" ht="15" customHeight="1">
      <c r="A145" s="31" t="str">
        <f>IF(ISBLANK(Inventory!A145),"",Inventory!A145)</f>
        <v/>
      </c>
      <c r="B145" s="31" t="str">
        <f>IF(ISBLANK(Inventory!A145),"",Inventory!C145)</f>
        <v/>
      </c>
      <c r="C145" s="187"/>
      <c r="D145" s="192"/>
      <c r="E145" s="187"/>
      <c r="F145" s="187"/>
      <c r="G145" s="173"/>
      <c r="H145" s="37">
        <f>IF(ISBLANK(Inventory!A145),0,C145+SUM('Week 3'!E145:G145)-SUM(E145:G145))</f>
        <v>0</v>
      </c>
      <c r="I145" s="35" t="str">
        <f>IF(OR(ISBLANK(J145),J145=0),"",Settings!$B$14)</f>
        <v/>
      </c>
      <c r="J145" s="30">
        <f>IF(ISBLANK(C145),0,C145*Inventory!H145)</f>
        <v>0</v>
      </c>
      <c r="K145" s="35" t="str">
        <f>IF(OR(ISBLANK(L145),L145=0),"",Settings!$B$14)</f>
        <v/>
      </c>
      <c r="L145" s="30">
        <f>IF(ISBLANK(Inventory!A145),0,SUM(E145:G145)*Inventory!H145)</f>
        <v>0</v>
      </c>
      <c r="M145" s="35" t="str">
        <f>IF(OR(ISBLANK(N145),N145=0),"",Settings!$B$14)</f>
        <v/>
      </c>
      <c r="N145" s="30">
        <f>IF(ISBLANK(Inventory!A145),0,SUM(E145:G145)*Inventory!J145)</f>
        <v>0</v>
      </c>
      <c r="O145" s="35" t="str">
        <f>IF(OR(ISBLANK(P145),P145=0),"",Settings!$B$14)</f>
        <v/>
      </c>
      <c r="P145" s="30">
        <f>IF(ISBLANK(Inventory!A145),0,H145*Inventory!J145)</f>
        <v>0</v>
      </c>
    </row>
    <row r="146" spans="1:16" s="195" customFormat="1" ht="15" customHeight="1">
      <c r="A146" s="31" t="str">
        <f>IF(ISBLANK(Inventory!A146),"",Inventory!A146)</f>
        <v/>
      </c>
      <c r="B146" s="31" t="str">
        <f>IF(ISBLANK(Inventory!A146),"",Inventory!C146)</f>
        <v/>
      </c>
      <c r="C146" s="187"/>
      <c r="D146" s="192"/>
      <c r="E146" s="187"/>
      <c r="F146" s="187"/>
      <c r="G146" s="173"/>
      <c r="H146" s="37">
        <f>IF(ISBLANK(Inventory!A146),0,C146+SUM('Week 3'!E146:G146)-SUM(E146:G146))</f>
        <v>0</v>
      </c>
      <c r="I146" s="35" t="str">
        <f>IF(OR(ISBLANK(J146),J146=0),"",Settings!$B$14)</f>
        <v/>
      </c>
      <c r="J146" s="30">
        <f>IF(ISBLANK(C146),0,C146*Inventory!H146)</f>
        <v>0</v>
      </c>
      <c r="K146" s="35" t="str">
        <f>IF(OR(ISBLANK(L146),L146=0),"",Settings!$B$14)</f>
        <v/>
      </c>
      <c r="L146" s="30">
        <f>IF(ISBLANK(Inventory!A146),0,SUM(E146:G146)*Inventory!H146)</f>
        <v>0</v>
      </c>
      <c r="M146" s="35" t="str">
        <f>IF(OR(ISBLANK(N146),N146=0),"",Settings!$B$14)</f>
        <v/>
      </c>
      <c r="N146" s="30">
        <f>IF(ISBLANK(Inventory!A146),0,SUM(E146:G146)*Inventory!J146)</f>
        <v>0</v>
      </c>
      <c r="O146" s="35" t="str">
        <f>IF(OR(ISBLANK(P146),P146=0),"",Settings!$B$14)</f>
        <v/>
      </c>
      <c r="P146" s="30">
        <f>IF(ISBLANK(Inventory!A146),0,H146*Inventory!J146)</f>
        <v>0</v>
      </c>
    </row>
    <row r="147" spans="1:16" ht="6.95" customHeight="1">
      <c r="A147" s="24"/>
      <c r="B147" s="24"/>
      <c r="C147" s="69"/>
      <c r="D147" s="69"/>
      <c r="E147" s="69"/>
      <c r="F147" s="69"/>
      <c r="G147" s="69"/>
      <c r="H147" s="69"/>
      <c r="I147" s="69"/>
      <c r="J147" s="69"/>
      <c r="K147" s="69"/>
      <c r="L147" s="25"/>
      <c r="M147" s="62"/>
      <c r="N147" s="160"/>
      <c r="O147" s="25"/>
      <c r="P147" s="160"/>
    </row>
    <row r="148" spans="1:16" s="45" customFormat="1" ht="18" customHeight="1" thickBot="1">
      <c r="A148" s="78" t="str">
        <f>Inventory!A148</f>
        <v>MINERALS/JUICES</v>
      </c>
      <c r="B148" s="78" t="str">
        <f>Inventory!C148</f>
        <v>VOLUME</v>
      </c>
      <c r="C148" s="22" t="s">
        <v>187</v>
      </c>
      <c r="D148" s="22"/>
      <c r="E148" s="22" t="s">
        <v>101</v>
      </c>
      <c r="F148" s="22" t="s">
        <v>102</v>
      </c>
      <c r="G148" s="23" t="s">
        <v>108</v>
      </c>
      <c r="H148" s="79" t="s">
        <v>119</v>
      </c>
      <c r="I148" s="253" t="s">
        <v>190</v>
      </c>
      <c r="J148" s="253"/>
      <c r="K148" s="235" t="s">
        <v>30</v>
      </c>
      <c r="L148" s="235"/>
      <c r="M148" s="235" t="s">
        <v>31</v>
      </c>
      <c r="N148" s="235"/>
      <c r="O148" s="235" t="s">
        <v>189</v>
      </c>
      <c r="P148" s="235"/>
    </row>
    <row r="149" spans="1:16" ht="6.95" customHeight="1" thickTop="1">
      <c r="A149" s="193"/>
      <c r="B149" s="194"/>
      <c r="C149" s="71"/>
      <c r="D149" s="71"/>
      <c r="E149" s="67"/>
      <c r="F149" s="67"/>
      <c r="G149" s="71"/>
      <c r="H149" s="71"/>
      <c r="I149" s="71"/>
      <c r="J149" s="71"/>
      <c r="K149" s="71"/>
      <c r="L149" s="67"/>
      <c r="M149" s="62"/>
      <c r="N149" s="67"/>
      <c r="O149" s="67"/>
      <c r="P149" s="67"/>
    </row>
    <row r="150" spans="1:16" s="29" customFormat="1" ht="15" customHeight="1">
      <c r="A150" s="31" t="str">
        <f>IF(ISBLANK(Inventory!A150),"",Inventory!A150)</f>
        <v>Britvic J20</v>
      </c>
      <c r="B150" s="31" t="str">
        <f>IF(ISBLANK(Inventory!A150),"",Inventory!C150)</f>
        <v>275ml</v>
      </c>
      <c r="C150" s="187"/>
      <c r="D150" s="192"/>
      <c r="E150" s="187"/>
      <c r="F150" s="187"/>
      <c r="G150" s="187"/>
      <c r="H150" s="37">
        <f>IF(ISBLANK(Inventory!A150),0,C150+SUM('Week 3'!E150:G150)-SUM(E150:G150))</f>
        <v>0</v>
      </c>
      <c r="I150" s="35" t="str">
        <f>IF(OR(ISBLANK(J150),J150=0),"",Settings!$B$14)</f>
        <v/>
      </c>
      <c r="J150" s="30">
        <f>IF(ISBLANK(C150),0,C150*Inventory!H150)</f>
        <v>0</v>
      </c>
      <c r="K150" s="35" t="str">
        <f>IF(OR(ISBLANK(L150),L150=0),"",Settings!$B$14)</f>
        <v/>
      </c>
      <c r="L150" s="30">
        <f>IF(ISBLANK(Inventory!A150),0,SUM(E150:G150)*Inventory!H150)</f>
        <v>0</v>
      </c>
      <c r="M150" s="35" t="str">
        <f>IF(OR(ISBLANK(N150),N150=0),"",Settings!$B$14)</f>
        <v/>
      </c>
      <c r="N150" s="30">
        <f>IF(ISBLANK(Inventory!A150),0,SUM(E150:G150)*Inventory!J150)</f>
        <v>0</v>
      </c>
      <c r="O150" s="35" t="str">
        <f>IF(OR(ISBLANK(P150),P150=0),"",Settings!$B$14)</f>
        <v/>
      </c>
      <c r="P150" s="30">
        <f>IF(ISBLANK(Inventory!A150),0,H150*Inventory!J150)</f>
        <v>0</v>
      </c>
    </row>
    <row r="151" spans="1:16" s="29" customFormat="1" ht="15" customHeight="1">
      <c r="A151" s="31" t="str">
        <f>IF(ISBLANK(Inventory!A151),"",Inventory!A151)</f>
        <v>Coke/Diet Coke</v>
      </c>
      <c r="B151" s="31" t="str">
        <f>IF(ISBLANK(Inventory!A151),"",Inventory!C151)</f>
        <v>330ml</v>
      </c>
      <c r="C151" s="187"/>
      <c r="D151" s="192"/>
      <c r="E151" s="187"/>
      <c r="F151" s="187"/>
      <c r="G151" s="187"/>
      <c r="H151" s="37">
        <f>IF(ISBLANK(Inventory!A151),0,C151+SUM('Week 3'!E151:G151)-SUM(E151:G151))</f>
        <v>0</v>
      </c>
      <c r="I151" s="35" t="str">
        <f>IF(OR(ISBLANK(J151),J151=0),"",Settings!$B$14)</f>
        <v/>
      </c>
      <c r="J151" s="30">
        <f>IF(ISBLANK(C151),0,C151*Inventory!H151)</f>
        <v>0</v>
      </c>
      <c r="K151" s="35" t="str">
        <f>IF(OR(ISBLANK(L151),L151=0),"",Settings!$B$14)</f>
        <v/>
      </c>
      <c r="L151" s="30">
        <f>IF(ISBLANK(Inventory!A151),0,SUM(E151:G151)*Inventory!H151)</f>
        <v>0</v>
      </c>
      <c r="M151" s="35" t="str">
        <f>IF(OR(ISBLANK(N151),N151=0),"",Settings!$B$14)</f>
        <v/>
      </c>
      <c r="N151" s="30">
        <f>IF(ISBLANK(Inventory!A151),0,SUM(E151:G151)*Inventory!J151)</f>
        <v>0</v>
      </c>
      <c r="O151" s="35" t="str">
        <f>IF(OR(ISBLANK(P151),P151=0),"",Settings!$B$14)</f>
        <v/>
      </c>
      <c r="P151" s="30">
        <f>IF(ISBLANK(Inventory!A151),0,H151*Inventory!J151)</f>
        <v>0</v>
      </c>
    </row>
    <row r="152" spans="1:16" s="29" customFormat="1" ht="15" customHeight="1">
      <c r="A152" s="31" t="str">
        <f>IF(ISBLANK(Inventory!A152),"",Inventory!A152)</f>
        <v>Fruit Juices</v>
      </c>
      <c r="B152" s="31" t="str">
        <f>IF(ISBLANK(Inventory!A152),"",Inventory!C152)</f>
        <v>180ml</v>
      </c>
      <c r="C152" s="187"/>
      <c r="D152" s="192"/>
      <c r="E152" s="187"/>
      <c r="F152" s="187"/>
      <c r="G152" s="187"/>
      <c r="H152" s="37">
        <f>IF(ISBLANK(Inventory!A152),0,C152+SUM('Week 3'!E152:G152)-SUM(E152:G152))</f>
        <v>0</v>
      </c>
      <c r="I152" s="35" t="str">
        <f>IF(OR(ISBLANK(J152),J152=0),"",Settings!$B$14)</f>
        <v/>
      </c>
      <c r="J152" s="30">
        <f>IF(ISBLANK(C152),0,C152*Inventory!H152)</f>
        <v>0</v>
      </c>
      <c r="K152" s="35" t="str">
        <f>IF(OR(ISBLANK(L152),L152=0),"",Settings!$B$14)</f>
        <v/>
      </c>
      <c r="L152" s="30">
        <f>IF(ISBLANK(Inventory!A152),0,SUM(E152:G152)*Inventory!H152)</f>
        <v>0</v>
      </c>
      <c r="M152" s="35" t="str">
        <f>IF(OR(ISBLANK(N152),N152=0),"",Settings!$B$14)</f>
        <v/>
      </c>
      <c r="N152" s="30">
        <f>IF(ISBLANK(Inventory!A152),0,SUM(E152:G152)*Inventory!J152)</f>
        <v>0</v>
      </c>
      <c r="O152" s="35" t="str">
        <f>IF(OR(ISBLANK(P152),P152=0),"",Settings!$B$14)</f>
        <v/>
      </c>
      <c r="P152" s="30">
        <f>IF(ISBLANK(Inventory!A152),0,H152*Inventory!J152)</f>
        <v>0</v>
      </c>
    </row>
    <row r="153" spans="1:16" s="29" customFormat="1" ht="15" customHeight="1">
      <c r="A153" s="31" t="str">
        <f>IF(ISBLANK(Inventory!A153),"",Inventory!A153)</f>
        <v>Fruit Juices</v>
      </c>
      <c r="B153" s="31" t="str">
        <f>IF(ISBLANK(Inventory!A153),"",Inventory!C153)</f>
        <v>113ml</v>
      </c>
      <c r="C153" s="187"/>
      <c r="D153" s="192"/>
      <c r="E153" s="187"/>
      <c r="F153" s="187"/>
      <c r="G153" s="187"/>
      <c r="H153" s="37">
        <f>IF(ISBLANK(Inventory!A153),0,C153+SUM('Week 3'!E153:G153)-SUM(E153:G153))</f>
        <v>0</v>
      </c>
      <c r="I153" s="35" t="str">
        <f>IF(OR(ISBLANK(J153),J153=0),"",Settings!$B$14)</f>
        <v/>
      </c>
      <c r="J153" s="30">
        <f>IF(ISBLANK(C153),0,C153*Inventory!H153)</f>
        <v>0</v>
      </c>
      <c r="K153" s="35" t="str">
        <f>IF(OR(ISBLANK(L153),L153=0),"",Settings!$B$14)</f>
        <v/>
      </c>
      <c r="L153" s="30">
        <f>IF(ISBLANK(Inventory!A153),0,SUM(E153:G153)*Inventory!H153)</f>
        <v>0</v>
      </c>
      <c r="M153" s="35" t="str">
        <f>IF(OR(ISBLANK(N153),N153=0),"",Settings!$B$14)</f>
        <v/>
      </c>
      <c r="N153" s="30">
        <f>IF(ISBLANK(Inventory!A153),0,SUM(E153:G153)*Inventory!J153)</f>
        <v>0</v>
      </c>
      <c r="O153" s="35" t="str">
        <f>IF(OR(ISBLANK(P153),P153=0),"",Settings!$B$14)</f>
        <v/>
      </c>
      <c r="P153" s="30">
        <f>IF(ISBLANK(Inventory!A153),0,H153*Inventory!J153)</f>
        <v>0</v>
      </c>
    </row>
    <row r="154" spans="1:16" s="29" customFormat="1" ht="15" customHeight="1">
      <c r="A154" s="31" t="str">
        <f>IF(ISBLANK(Inventory!A154),"",Inventory!A154)</f>
        <v>Minerals</v>
      </c>
      <c r="B154" s="31" t="str">
        <f>IF(ISBLANK(Inventory!A154),"",Inventory!C154)</f>
        <v>180ml</v>
      </c>
      <c r="C154" s="187"/>
      <c r="D154" s="192"/>
      <c r="E154" s="187"/>
      <c r="F154" s="187"/>
      <c r="G154" s="187"/>
      <c r="H154" s="37">
        <f>IF(ISBLANK(Inventory!A154),0,C154+SUM('Week 3'!E154:G154)-SUM(E154:G154))</f>
        <v>0</v>
      </c>
      <c r="I154" s="35" t="str">
        <f>IF(OR(ISBLANK(J154),J154=0),"",Settings!$B$14)</f>
        <v/>
      </c>
      <c r="J154" s="30">
        <f>IF(ISBLANK(C154),0,C154*Inventory!H154)</f>
        <v>0</v>
      </c>
      <c r="K154" s="35" t="str">
        <f>IF(OR(ISBLANK(L154),L154=0),"",Settings!$B$14)</f>
        <v/>
      </c>
      <c r="L154" s="30">
        <f>IF(ISBLANK(Inventory!A154),0,SUM(E154:G154)*Inventory!H154)</f>
        <v>0</v>
      </c>
      <c r="M154" s="35" t="str">
        <f>IF(OR(ISBLANK(N154),N154=0),"",Settings!$B$14)</f>
        <v/>
      </c>
      <c r="N154" s="30">
        <f>IF(ISBLANK(Inventory!A154),0,SUM(E154:G154)*Inventory!J154)</f>
        <v>0</v>
      </c>
      <c r="O154" s="35" t="str">
        <f>IF(OR(ISBLANK(P154),P154=0),"",Settings!$B$14)</f>
        <v/>
      </c>
      <c r="P154" s="30">
        <f>IF(ISBLANK(Inventory!A154),0,H154*Inventory!J154)</f>
        <v>0</v>
      </c>
    </row>
    <row r="155" spans="1:16" s="29" customFormat="1" ht="15" customHeight="1">
      <c r="A155" s="31" t="str">
        <f>IF(ISBLANK(Inventory!A155),"",Inventory!A155)</f>
        <v>Minerals</v>
      </c>
      <c r="B155" s="31" t="str">
        <f>IF(ISBLANK(Inventory!A155),"",Inventory!C155)</f>
        <v>113ml</v>
      </c>
      <c r="C155" s="187"/>
      <c r="D155" s="192"/>
      <c r="E155" s="187"/>
      <c r="F155" s="187"/>
      <c r="G155" s="187"/>
      <c r="H155" s="37">
        <f>IF(ISBLANK(Inventory!A155),0,C155+SUM('Week 3'!E155:G155)-SUM(E155:G155))</f>
        <v>0</v>
      </c>
      <c r="I155" s="35" t="str">
        <f>IF(OR(ISBLANK(J155),J155=0),"",Settings!$B$14)</f>
        <v/>
      </c>
      <c r="J155" s="30">
        <f>IF(ISBLANK(C155),0,C155*Inventory!H155)</f>
        <v>0</v>
      </c>
      <c r="K155" s="35" t="str">
        <f>IF(OR(ISBLANK(L155),L155=0),"",Settings!$B$14)</f>
        <v/>
      </c>
      <c r="L155" s="30">
        <f>IF(ISBLANK(Inventory!A155),0,SUM(E155:G155)*Inventory!H155)</f>
        <v>0</v>
      </c>
      <c r="M155" s="35" t="str">
        <f>IF(OR(ISBLANK(N155),N155=0),"",Settings!$B$14)</f>
        <v/>
      </c>
      <c r="N155" s="30">
        <f>IF(ISBLANK(Inventory!A155),0,SUM(E155:G155)*Inventory!J155)</f>
        <v>0</v>
      </c>
      <c r="O155" s="35" t="str">
        <f>IF(OR(ISBLANK(P155),P155=0),"",Settings!$B$14)</f>
        <v/>
      </c>
      <c r="P155" s="30">
        <f>IF(ISBLANK(Inventory!A155),0,H155*Inventory!J155)</f>
        <v>0</v>
      </c>
    </row>
    <row r="156" spans="1:16" s="29" customFormat="1" ht="15" customHeight="1">
      <c r="A156" s="31" t="str">
        <f>IF(ISBLANK(Inventory!A156),"",Inventory!A156)</f>
        <v>Tango Diet</v>
      </c>
      <c r="B156" s="31" t="str">
        <f>IF(ISBLANK(Inventory!A156),"",Inventory!C156)</f>
        <v>180ml</v>
      </c>
      <c r="C156" s="187"/>
      <c r="D156" s="192"/>
      <c r="E156" s="187"/>
      <c r="F156" s="187"/>
      <c r="G156" s="187"/>
      <c r="H156" s="37">
        <f>IF(ISBLANK(Inventory!A156),0,C156+SUM('Week 3'!E156:G156)-SUM(E156:G156))</f>
        <v>0</v>
      </c>
      <c r="I156" s="35" t="str">
        <f>IF(OR(ISBLANK(J156),J156=0),"",Settings!$B$14)</f>
        <v/>
      </c>
      <c r="J156" s="30">
        <f>IF(ISBLANK(C156),0,C156*Inventory!H156)</f>
        <v>0</v>
      </c>
      <c r="K156" s="35" t="str">
        <f>IF(OR(ISBLANK(L156),L156=0),"",Settings!$B$14)</f>
        <v/>
      </c>
      <c r="L156" s="30">
        <f>IF(ISBLANK(Inventory!A156),0,SUM(E156:G156)*Inventory!H156)</f>
        <v>0</v>
      </c>
      <c r="M156" s="35" t="str">
        <f>IF(OR(ISBLANK(N156),N156=0),"",Settings!$B$14)</f>
        <v/>
      </c>
      <c r="N156" s="30">
        <f>IF(ISBLANK(Inventory!A156),0,SUM(E156:G156)*Inventory!J156)</f>
        <v>0</v>
      </c>
      <c r="O156" s="35" t="str">
        <f>IF(OR(ISBLANK(P156),P156=0),"",Settings!$B$14)</f>
        <v/>
      </c>
      <c r="P156" s="30">
        <f>IF(ISBLANK(Inventory!A156),0,H156*Inventory!J156)</f>
        <v>0</v>
      </c>
    </row>
    <row r="157" spans="1:16" s="29" customFormat="1" ht="15" customHeight="1">
      <c r="A157" s="31" t="str">
        <f>IF(ISBLANK(Inventory!A157),"",Inventory!A157)</f>
        <v>Strathmore</v>
      </c>
      <c r="B157" s="31" t="str">
        <f>IF(ISBLANK(Inventory!A157),"",Inventory!C157)</f>
        <v>1Ltr</v>
      </c>
      <c r="C157" s="187"/>
      <c r="D157" s="192"/>
      <c r="E157" s="187"/>
      <c r="F157" s="187"/>
      <c r="G157" s="187"/>
      <c r="H157" s="37">
        <f>IF(ISBLANK(Inventory!A157),0,C157+SUM('Week 3'!E157:G157)-SUM(E157:G157))</f>
        <v>0</v>
      </c>
      <c r="I157" s="35" t="str">
        <f>IF(OR(ISBLANK(J157),J157=0),"",Settings!$B$14)</f>
        <v/>
      </c>
      <c r="J157" s="30">
        <f>IF(ISBLANK(C157),0,C157*Inventory!H157)</f>
        <v>0</v>
      </c>
      <c r="K157" s="35" t="str">
        <f>IF(OR(ISBLANK(L157),L157=0),"",Settings!$B$14)</f>
        <v/>
      </c>
      <c r="L157" s="30">
        <f>IF(ISBLANK(Inventory!A157),0,SUM(E157:G157)*Inventory!H157)</f>
        <v>0</v>
      </c>
      <c r="M157" s="35" t="str">
        <f>IF(OR(ISBLANK(N157),N157=0),"",Settings!$B$14)</f>
        <v/>
      </c>
      <c r="N157" s="30">
        <f>IF(ISBLANK(Inventory!A157),0,SUM(E157:G157)*Inventory!J157)</f>
        <v>0</v>
      </c>
      <c r="O157" s="35" t="str">
        <f>IF(OR(ISBLANK(P157),P157=0),"",Settings!$B$14)</f>
        <v/>
      </c>
      <c r="P157" s="30">
        <f>IF(ISBLANK(Inventory!A157),0,H157*Inventory!J157)</f>
        <v>0</v>
      </c>
    </row>
    <row r="158" spans="1:16" s="29" customFormat="1" ht="15" customHeight="1">
      <c r="A158" s="31" t="str">
        <f>IF(ISBLANK(Inventory!A158),"",Inventory!A158)</f>
        <v>Strathmore</v>
      </c>
      <c r="B158" s="31" t="str">
        <f>IF(ISBLANK(Inventory!A158),"",Inventory!C158)</f>
        <v>330ml</v>
      </c>
      <c r="C158" s="187"/>
      <c r="D158" s="192"/>
      <c r="E158" s="187"/>
      <c r="F158" s="187"/>
      <c r="G158" s="187"/>
      <c r="H158" s="37">
        <f>IF(ISBLANK(Inventory!A158),0,C158+SUM('Week 3'!E158:G158)-SUM(E158:G158))</f>
        <v>0</v>
      </c>
      <c r="I158" s="35" t="str">
        <f>IF(OR(ISBLANK(J158),J158=0),"",Settings!$B$14)</f>
        <v/>
      </c>
      <c r="J158" s="30">
        <f>IF(ISBLANK(C158),0,C158*Inventory!H158)</f>
        <v>0</v>
      </c>
      <c r="K158" s="35" t="str">
        <f>IF(OR(ISBLANK(L158),L158=0),"",Settings!$B$14)</f>
        <v/>
      </c>
      <c r="L158" s="30">
        <f>IF(ISBLANK(Inventory!A158),0,SUM(E158:G158)*Inventory!H158)</f>
        <v>0</v>
      </c>
      <c r="M158" s="35" t="str">
        <f>IF(OR(ISBLANK(N158),N158=0),"",Settings!$B$14)</f>
        <v/>
      </c>
      <c r="N158" s="30">
        <f>IF(ISBLANK(Inventory!A158),0,SUM(E158:G158)*Inventory!J158)</f>
        <v>0</v>
      </c>
      <c r="O158" s="35" t="str">
        <f>IF(OR(ISBLANK(P158),P158=0),"",Settings!$B$14)</f>
        <v/>
      </c>
      <c r="P158" s="30">
        <f>IF(ISBLANK(Inventory!A158),0,H158*Inventory!J158)</f>
        <v>0</v>
      </c>
    </row>
    <row r="159" spans="1:16" s="29" customFormat="1" ht="15" customHeight="1">
      <c r="A159" s="31" t="str">
        <f>IF(ISBLANK(Inventory!A159),"",Inventory!A159)</f>
        <v>Red Bull</v>
      </c>
      <c r="B159" s="31" t="str">
        <f>IF(ISBLANK(Inventory!A159),"",Inventory!C159)</f>
        <v>250ml</v>
      </c>
      <c r="C159" s="187"/>
      <c r="D159" s="192"/>
      <c r="E159" s="187"/>
      <c r="F159" s="187"/>
      <c r="G159" s="187"/>
      <c r="H159" s="37">
        <f>IF(ISBLANK(Inventory!A159),0,C159+SUM('Week 3'!E159:G159)-SUM(E159:G159))</f>
        <v>0</v>
      </c>
      <c r="I159" s="35" t="str">
        <f>IF(OR(ISBLANK(J159),J159=0),"",Settings!$B$14)</f>
        <v/>
      </c>
      <c r="J159" s="30">
        <f>IF(ISBLANK(C159),0,C159*Inventory!H159)</f>
        <v>0</v>
      </c>
      <c r="K159" s="35" t="str">
        <f>IF(OR(ISBLANK(L159),L159=0),"",Settings!$B$14)</f>
        <v/>
      </c>
      <c r="L159" s="30">
        <f>IF(ISBLANK(Inventory!A159),0,SUM(E159:G159)*Inventory!H159)</f>
        <v>0</v>
      </c>
      <c r="M159" s="35" t="str">
        <f>IF(OR(ISBLANK(N159),N159=0),"",Settings!$B$14)</f>
        <v/>
      </c>
      <c r="N159" s="30">
        <f>IF(ISBLANK(Inventory!A159),0,SUM(E159:G159)*Inventory!J159)</f>
        <v>0</v>
      </c>
      <c r="O159" s="35" t="str">
        <f>IF(OR(ISBLANK(P159),P159=0),"",Settings!$B$14)</f>
        <v/>
      </c>
      <c r="P159" s="30">
        <f>IF(ISBLANK(Inventory!A159),0,H159*Inventory!J159)</f>
        <v>0</v>
      </c>
    </row>
    <row r="160" spans="1:16" s="29" customFormat="1" ht="15" customHeight="1">
      <c r="A160" s="31" t="str">
        <f>IF(ISBLANK(Inventory!A160),"",Inventory!A160)</f>
        <v>Squash/Cordial</v>
      </c>
      <c r="B160" s="31" t="str">
        <f>IF(ISBLANK(Inventory!A160),"",Inventory!C160)</f>
        <v>1Ltr</v>
      </c>
      <c r="C160" s="187"/>
      <c r="D160" s="192"/>
      <c r="E160" s="187"/>
      <c r="F160" s="187"/>
      <c r="G160" s="187"/>
      <c r="H160" s="37">
        <f>IF(ISBLANK(Inventory!A160),0,C160+SUM('Week 3'!E160:G160)-SUM(E160:G160))</f>
        <v>0</v>
      </c>
      <c r="I160" s="35" t="str">
        <f>IF(OR(ISBLANK(J160),J160=0),"",Settings!$B$14)</f>
        <v/>
      </c>
      <c r="J160" s="30">
        <f>IF(ISBLANK(C160),0,C160*Inventory!H160)</f>
        <v>0</v>
      </c>
      <c r="K160" s="35" t="str">
        <f>IF(OR(ISBLANK(L160),L160=0),"",Settings!$B$14)</f>
        <v/>
      </c>
      <c r="L160" s="30">
        <f>IF(ISBLANK(Inventory!A160),0,SUM(E160:G160)*Inventory!H160)</f>
        <v>0</v>
      </c>
      <c r="M160" s="35" t="str">
        <f>IF(OR(ISBLANK(N160),N160=0),"",Settings!$B$14)</f>
        <v/>
      </c>
      <c r="N160" s="30">
        <f>IF(ISBLANK(Inventory!A160),0,SUM(E160:G160)*Inventory!J160)</f>
        <v>0</v>
      </c>
      <c r="O160" s="35" t="str">
        <f>IF(OR(ISBLANK(P160),P160=0),"",Settings!$B$14)</f>
        <v/>
      </c>
      <c r="P160" s="30">
        <f>IF(ISBLANK(Inventory!A160),0,H160*Inventory!J160)</f>
        <v>0</v>
      </c>
    </row>
    <row r="161" spans="1:16" s="29" customFormat="1" ht="15" customHeight="1">
      <c r="A161" s="31" t="str">
        <f>IF(ISBLANK(Inventory!A161),"",Inventory!A161)</f>
        <v>Lime Cordial</v>
      </c>
      <c r="B161" s="31" t="str">
        <f>IF(ISBLANK(Inventory!A161),"",Inventory!C161)</f>
        <v>1Ltr</v>
      </c>
      <c r="C161" s="187"/>
      <c r="D161" s="192"/>
      <c r="E161" s="187"/>
      <c r="F161" s="187"/>
      <c r="G161" s="187">
        <v>0.9</v>
      </c>
      <c r="H161" s="37">
        <f>IF(ISBLANK(Inventory!A161),0,C161+SUM('Week 3'!E161:G161)-SUM(E161:G161))</f>
        <v>0</v>
      </c>
      <c r="I161" s="35" t="str">
        <f>IF(OR(ISBLANK(J161),J161=0),"",Settings!$B$14)</f>
        <v/>
      </c>
      <c r="J161" s="30">
        <f>IF(ISBLANK(C161),0,C161*Inventory!H161)</f>
        <v>0</v>
      </c>
      <c r="K161" s="35" t="str">
        <f>IF(OR(ISBLANK(L161),L161=0),"",Settings!$B$14)</f>
        <v>$</v>
      </c>
      <c r="L161" s="30">
        <f>IF(ISBLANK(Inventory!A161),0,SUM(E161:G161)*Inventory!H161)</f>
        <v>1.0912500000000001</v>
      </c>
      <c r="M161" s="35" t="str">
        <f>IF(OR(ISBLANK(N161),N161=0),"",Settings!$B$14)</f>
        <v>$</v>
      </c>
      <c r="N161" s="30">
        <f>IF(ISBLANK(Inventory!A161),0,SUM(E161:G161)*Inventory!J161)</f>
        <v>5.67</v>
      </c>
      <c r="O161" s="35" t="str">
        <f>IF(OR(ISBLANK(P161),P161=0),"",Settings!$B$14)</f>
        <v/>
      </c>
      <c r="P161" s="30">
        <f>IF(ISBLANK(Inventory!A161),0,H161*Inventory!J161)</f>
        <v>0</v>
      </c>
    </row>
    <row r="162" spans="1:16" s="29" customFormat="1" ht="15" customHeight="1">
      <c r="A162" s="31" t="str">
        <f>IF(ISBLANK(Inventory!A162),"",Inventory!A162)</f>
        <v>Coke/Diet Coke (Cans)</v>
      </c>
      <c r="B162" s="31" t="str">
        <f>IF(ISBLANK(Inventory!A162),"",Inventory!C162)</f>
        <v>330ml</v>
      </c>
      <c r="C162" s="187"/>
      <c r="D162" s="192"/>
      <c r="E162" s="187"/>
      <c r="F162" s="187"/>
      <c r="G162" s="187"/>
      <c r="H162" s="37">
        <f>IF(ISBLANK(Inventory!A162),0,C162+SUM('Week 3'!E162:G162)-SUM(E162:G162))</f>
        <v>0</v>
      </c>
      <c r="I162" s="35" t="str">
        <f>IF(OR(ISBLANK(J162),J162=0),"",Settings!$B$14)</f>
        <v/>
      </c>
      <c r="J162" s="30">
        <f>IF(ISBLANK(C162),0,C162*Inventory!H162)</f>
        <v>0</v>
      </c>
      <c r="K162" s="35" t="str">
        <f>IF(OR(ISBLANK(L162),L162=0),"",Settings!$B$14)</f>
        <v/>
      </c>
      <c r="L162" s="30">
        <f>IF(ISBLANK(Inventory!A162),0,SUM(E162:G162)*Inventory!H162)</f>
        <v>0</v>
      </c>
      <c r="M162" s="35" t="str">
        <f>IF(OR(ISBLANK(N162),N162=0),"",Settings!$B$14)</f>
        <v/>
      </c>
      <c r="N162" s="30">
        <f>IF(ISBLANK(Inventory!A162),0,SUM(E162:G162)*Inventory!J162)</f>
        <v>0</v>
      </c>
      <c r="O162" s="35" t="str">
        <f>IF(OR(ISBLANK(P162),P162=0),"",Settings!$B$14)</f>
        <v/>
      </c>
      <c r="P162" s="30">
        <f>IF(ISBLANK(Inventory!A162),0,H162*Inventory!J162)</f>
        <v>0</v>
      </c>
    </row>
    <row r="163" spans="1:16" s="29" customFormat="1" ht="15" customHeight="1">
      <c r="A163" s="31" t="str">
        <f>IF(ISBLANK(Inventory!A163),"",Inventory!A163)</f>
        <v/>
      </c>
      <c r="B163" s="31" t="str">
        <f>IF(ISBLANK(Inventory!A163),"",Inventory!C163)</f>
        <v/>
      </c>
      <c r="C163" s="187"/>
      <c r="D163" s="192"/>
      <c r="E163" s="187"/>
      <c r="F163" s="187"/>
      <c r="G163" s="187"/>
      <c r="H163" s="37">
        <f>IF(ISBLANK(Inventory!A163),0,C163+SUM('Week 3'!E163:G163)-SUM(E163:G163))</f>
        <v>0</v>
      </c>
      <c r="I163" s="35" t="str">
        <f>IF(OR(ISBLANK(J163),J163=0),"",Settings!$B$14)</f>
        <v/>
      </c>
      <c r="J163" s="30">
        <f>IF(ISBLANK(C163),0,C163*Inventory!H163)</f>
        <v>0</v>
      </c>
      <c r="K163" s="35" t="str">
        <f>IF(OR(ISBLANK(L163),L163=0),"",Settings!$B$14)</f>
        <v/>
      </c>
      <c r="L163" s="30">
        <f>IF(ISBLANK(Inventory!A163),0,SUM(E163:G163)*Inventory!H163)</f>
        <v>0</v>
      </c>
      <c r="M163" s="35" t="str">
        <f>IF(OR(ISBLANK(N163),N163=0),"",Settings!$B$14)</f>
        <v/>
      </c>
      <c r="N163" s="30">
        <f>IF(ISBLANK(Inventory!A163),0,SUM(E163:G163)*Inventory!J163)</f>
        <v>0</v>
      </c>
      <c r="O163" s="35" t="str">
        <f>IF(OR(ISBLANK(P163),P163=0),"",Settings!$B$14)</f>
        <v/>
      </c>
      <c r="P163" s="30">
        <f>IF(ISBLANK(Inventory!A163),0,H163*Inventory!J163)</f>
        <v>0</v>
      </c>
    </row>
    <row r="164" spans="1:16" s="29" customFormat="1" ht="15" customHeight="1">
      <c r="A164" s="31" t="str">
        <f>IF(ISBLANK(Inventory!A164),"",Inventory!A164)</f>
        <v/>
      </c>
      <c r="B164" s="31" t="str">
        <f>IF(ISBLANK(Inventory!A164),"",Inventory!C164)</f>
        <v/>
      </c>
      <c r="C164" s="187"/>
      <c r="D164" s="192"/>
      <c r="E164" s="187"/>
      <c r="F164" s="187"/>
      <c r="G164" s="187"/>
      <c r="H164" s="37">
        <f>IF(ISBLANK(Inventory!A164),0,C164+SUM('Week 3'!E164:G164)-SUM(E164:G164))</f>
        <v>0</v>
      </c>
      <c r="I164" s="35" t="str">
        <f>IF(OR(ISBLANK(J164),J164=0),"",Settings!$B$14)</f>
        <v/>
      </c>
      <c r="J164" s="30">
        <f>IF(ISBLANK(C164),0,C164*Inventory!H164)</f>
        <v>0</v>
      </c>
      <c r="K164" s="35" t="str">
        <f>IF(OR(ISBLANK(L164),L164=0),"",Settings!$B$14)</f>
        <v/>
      </c>
      <c r="L164" s="30">
        <f>IF(ISBLANK(Inventory!A164),0,SUM(E164:G164)*Inventory!H164)</f>
        <v>0</v>
      </c>
      <c r="M164" s="35" t="str">
        <f>IF(OR(ISBLANK(N164),N164=0),"",Settings!$B$14)</f>
        <v/>
      </c>
      <c r="N164" s="30">
        <f>IF(ISBLANK(Inventory!A164),0,SUM(E164:G164)*Inventory!J164)</f>
        <v>0</v>
      </c>
      <c r="O164" s="35" t="str">
        <f>IF(OR(ISBLANK(P164),P164=0),"",Settings!$B$14)</f>
        <v/>
      </c>
      <c r="P164" s="30">
        <f>IF(ISBLANK(Inventory!A164),0,H164*Inventory!J164)</f>
        <v>0</v>
      </c>
    </row>
    <row r="165" spans="1:16" s="29" customFormat="1" ht="15" customHeight="1">
      <c r="A165" s="31" t="str">
        <f>IF(ISBLANK(Inventory!A165),"",Inventory!A165)</f>
        <v/>
      </c>
      <c r="B165" s="31" t="str">
        <f>IF(ISBLANK(Inventory!A165),"",Inventory!C165)</f>
        <v/>
      </c>
      <c r="C165" s="187"/>
      <c r="D165" s="192"/>
      <c r="E165" s="187"/>
      <c r="F165" s="187"/>
      <c r="G165" s="187"/>
      <c r="H165" s="37">
        <f>IF(ISBLANK(Inventory!A165),0,C165+SUM('Week 3'!E165:G165)-SUM(E165:G165))</f>
        <v>0</v>
      </c>
      <c r="I165" s="35" t="str">
        <f>IF(OR(ISBLANK(J165),J165=0),"",Settings!$B$14)</f>
        <v/>
      </c>
      <c r="J165" s="30">
        <f>IF(ISBLANK(C165),0,C165*Inventory!H165)</f>
        <v>0</v>
      </c>
      <c r="K165" s="35" t="str">
        <f>IF(OR(ISBLANK(L165),L165=0),"",Settings!$B$14)</f>
        <v/>
      </c>
      <c r="L165" s="30">
        <f>IF(ISBLANK(Inventory!A165),0,SUM(E165:G165)*Inventory!H165)</f>
        <v>0</v>
      </c>
      <c r="M165" s="35" t="str">
        <f>IF(OR(ISBLANK(N165),N165=0),"",Settings!$B$14)</f>
        <v/>
      </c>
      <c r="N165" s="30">
        <f>IF(ISBLANK(Inventory!A165),0,SUM(E165:G165)*Inventory!J165)</f>
        <v>0</v>
      </c>
      <c r="O165" s="35" t="str">
        <f>IF(OR(ISBLANK(P165),P165=0),"",Settings!$B$14)</f>
        <v/>
      </c>
      <c r="P165" s="30">
        <f>IF(ISBLANK(Inventory!A165),0,H165*Inventory!J165)</f>
        <v>0</v>
      </c>
    </row>
    <row r="166" spans="1:16" s="29" customFormat="1" ht="15" customHeight="1">
      <c r="A166" s="31" t="str">
        <f>IF(ISBLANK(Inventory!A166),"",Inventory!A166)</f>
        <v/>
      </c>
      <c r="B166" s="31" t="str">
        <f>IF(ISBLANK(Inventory!A166),"",Inventory!C166)</f>
        <v/>
      </c>
      <c r="C166" s="187"/>
      <c r="D166" s="192"/>
      <c r="E166" s="187"/>
      <c r="F166" s="187"/>
      <c r="G166" s="187"/>
      <c r="H166" s="37">
        <f>IF(ISBLANK(Inventory!A166),0,C166+SUM('Week 3'!E166:G166)-SUM(E166:G166))</f>
        <v>0</v>
      </c>
      <c r="I166" s="35" t="str">
        <f>IF(OR(ISBLANK(J166),J166=0),"",Settings!$B$14)</f>
        <v/>
      </c>
      <c r="J166" s="30">
        <f>IF(ISBLANK(C166),0,C166*Inventory!H166)</f>
        <v>0</v>
      </c>
      <c r="K166" s="35" t="str">
        <f>IF(OR(ISBLANK(L166),L166=0),"",Settings!$B$14)</f>
        <v/>
      </c>
      <c r="L166" s="30">
        <f>IF(ISBLANK(Inventory!A166),0,SUM(E166:G166)*Inventory!H166)</f>
        <v>0</v>
      </c>
      <c r="M166" s="35" t="str">
        <f>IF(OR(ISBLANK(N166),N166=0),"",Settings!$B$14)</f>
        <v/>
      </c>
      <c r="N166" s="30">
        <f>IF(ISBLANK(Inventory!A166),0,SUM(E166:G166)*Inventory!J166)</f>
        <v>0</v>
      </c>
      <c r="O166" s="35" t="str">
        <f>IF(OR(ISBLANK(P166),P166=0),"",Settings!$B$14)</f>
        <v/>
      </c>
      <c r="P166" s="30">
        <f>IF(ISBLANK(Inventory!A166),0,H166*Inventory!J166)</f>
        <v>0</v>
      </c>
    </row>
    <row r="167" spans="1:16" s="29" customFormat="1" ht="15" customHeight="1">
      <c r="A167" s="31" t="str">
        <f>IF(ISBLANK(Inventory!A167),"",Inventory!A167)</f>
        <v/>
      </c>
      <c r="B167" s="31" t="str">
        <f>IF(ISBLANK(Inventory!A167),"",Inventory!C167)</f>
        <v/>
      </c>
      <c r="C167" s="187"/>
      <c r="D167" s="192"/>
      <c r="E167" s="187"/>
      <c r="F167" s="187"/>
      <c r="G167" s="187"/>
      <c r="H167" s="37">
        <f>IF(ISBLANK(Inventory!A167),0,C167+SUM('Week 3'!E167:G167)-SUM(E167:G167))</f>
        <v>0</v>
      </c>
      <c r="I167" s="35" t="str">
        <f>IF(OR(ISBLANK(J167),J167=0),"",Settings!$B$14)</f>
        <v/>
      </c>
      <c r="J167" s="30">
        <f>IF(ISBLANK(C167),0,C167*Inventory!H167)</f>
        <v>0</v>
      </c>
      <c r="K167" s="35" t="str">
        <f>IF(OR(ISBLANK(L167),L167=0),"",Settings!$B$14)</f>
        <v/>
      </c>
      <c r="L167" s="30">
        <f>IF(ISBLANK(Inventory!A167),0,SUM(E167:G167)*Inventory!H167)</f>
        <v>0</v>
      </c>
      <c r="M167" s="35" t="str">
        <f>IF(OR(ISBLANK(N167),N167=0),"",Settings!$B$14)</f>
        <v/>
      </c>
      <c r="N167" s="30">
        <f>IF(ISBLANK(Inventory!A167),0,SUM(E167:G167)*Inventory!J167)</f>
        <v>0</v>
      </c>
      <c r="O167" s="35" t="str">
        <f>IF(OR(ISBLANK(P167),P167=0),"",Settings!$B$14)</f>
        <v/>
      </c>
      <c r="P167" s="30">
        <f>IF(ISBLANK(Inventory!A167),0,H167*Inventory!J167)</f>
        <v>0</v>
      </c>
    </row>
    <row r="168" spans="1:16" s="29" customFormat="1" ht="15" customHeight="1">
      <c r="A168" s="31" t="str">
        <f>IF(ISBLANK(Inventory!A168),"",Inventory!A168)</f>
        <v/>
      </c>
      <c r="B168" s="31" t="str">
        <f>IF(ISBLANK(Inventory!A168),"",Inventory!C168)</f>
        <v/>
      </c>
      <c r="C168" s="187"/>
      <c r="D168" s="192"/>
      <c r="E168" s="187"/>
      <c r="F168" s="187"/>
      <c r="G168" s="187"/>
      <c r="H168" s="37">
        <f>IF(ISBLANK(Inventory!A168),0,C168+SUM('Week 3'!E168:G168)-SUM(E168:G168))</f>
        <v>0</v>
      </c>
      <c r="I168" s="35" t="str">
        <f>IF(OR(ISBLANK(J168),J168=0),"",Settings!$B$14)</f>
        <v/>
      </c>
      <c r="J168" s="30">
        <f>IF(ISBLANK(C168),0,C168*Inventory!H168)</f>
        <v>0</v>
      </c>
      <c r="K168" s="35" t="str">
        <f>IF(OR(ISBLANK(L168),L168=0),"",Settings!$B$14)</f>
        <v/>
      </c>
      <c r="L168" s="30">
        <f>IF(ISBLANK(Inventory!A168),0,SUM(E168:G168)*Inventory!H168)</f>
        <v>0</v>
      </c>
      <c r="M168" s="35" t="str">
        <f>IF(OR(ISBLANK(N168),N168=0),"",Settings!$B$14)</f>
        <v/>
      </c>
      <c r="N168" s="30">
        <f>IF(ISBLANK(Inventory!A168),0,SUM(E168:G168)*Inventory!J168)</f>
        <v>0</v>
      </c>
      <c r="O168" s="35" t="str">
        <f>IF(OR(ISBLANK(P168),P168=0),"",Settings!$B$14)</f>
        <v/>
      </c>
      <c r="P168" s="30">
        <f>IF(ISBLANK(Inventory!A168),0,H168*Inventory!J168)</f>
        <v>0</v>
      </c>
    </row>
    <row r="169" spans="1:16" s="29" customFormat="1" ht="15" customHeight="1">
      <c r="A169" s="31" t="str">
        <f>IF(ISBLANK(Inventory!A169),"",Inventory!A169)</f>
        <v/>
      </c>
      <c r="B169" s="31" t="str">
        <f>IF(ISBLANK(Inventory!A169),"",Inventory!C169)</f>
        <v/>
      </c>
      <c r="C169" s="187"/>
      <c r="D169" s="192"/>
      <c r="E169" s="187"/>
      <c r="F169" s="187"/>
      <c r="G169" s="187"/>
      <c r="H169" s="37">
        <f>IF(ISBLANK(Inventory!A169),0,C169+SUM('Week 3'!E169:G169)-SUM(E169:G169))</f>
        <v>0</v>
      </c>
      <c r="I169" s="35" t="str">
        <f>IF(OR(ISBLANK(J169),J169=0),"",Settings!$B$14)</f>
        <v/>
      </c>
      <c r="J169" s="30">
        <f>IF(ISBLANK(C169),0,C169*Inventory!H169)</f>
        <v>0</v>
      </c>
      <c r="K169" s="35" t="str">
        <f>IF(OR(ISBLANK(L169),L169=0),"",Settings!$B$14)</f>
        <v/>
      </c>
      <c r="L169" s="30">
        <f>IF(ISBLANK(Inventory!A169),0,SUM(E169:G169)*Inventory!H169)</f>
        <v>0</v>
      </c>
      <c r="M169" s="35" t="str">
        <f>IF(OR(ISBLANK(N169),N169=0),"",Settings!$B$14)</f>
        <v/>
      </c>
      <c r="N169" s="30">
        <f>IF(ISBLANK(Inventory!A169),0,SUM(E169:G169)*Inventory!J169)</f>
        <v>0</v>
      </c>
      <c r="O169" s="35" t="str">
        <f>IF(OR(ISBLANK(P169),P169=0),"",Settings!$B$14)</f>
        <v/>
      </c>
      <c r="P169" s="30">
        <f>IF(ISBLANK(Inventory!A169),0,H169*Inventory!J169)</f>
        <v>0</v>
      </c>
    </row>
    <row r="170" spans="1:16" ht="6.95" customHeight="1">
      <c r="A170" s="24"/>
      <c r="B170" s="24"/>
      <c r="C170" s="69"/>
      <c r="D170" s="69"/>
      <c r="E170" s="69"/>
      <c r="F170" s="69"/>
      <c r="G170" s="69"/>
      <c r="H170" s="69"/>
      <c r="I170" s="69"/>
      <c r="J170" s="69"/>
      <c r="K170" s="69"/>
      <c r="L170" s="25"/>
      <c r="M170" s="62"/>
      <c r="N170" s="160"/>
      <c r="O170" s="25"/>
      <c r="P170" s="160"/>
    </row>
    <row r="171" spans="1:16" s="45" customFormat="1" ht="18" customHeight="1" thickBot="1">
      <c r="A171" s="78" t="str">
        <f>Inventory!A171</f>
        <v>POST-MIX DRINKS</v>
      </c>
      <c r="B171" s="78" t="str">
        <f>Inventory!C171</f>
        <v>VOLUME</v>
      </c>
      <c r="C171" s="22" t="s">
        <v>187</v>
      </c>
      <c r="D171" s="22"/>
      <c r="E171" s="22" t="s">
        <v>101</v>
      </c>
      <c r="F171" s="22"/>
      <c r="G171" s="23" t="s">
        <v>108</v>
      </c>
      <c r="H171" s="79" t="s">
        <v>119</v>
      </c>
      <c r="I171" s="253" t="s">
        <v>190</v>
      </c>
      <c r="J171" s="253"/>
      <c r="K171" s="235" t="s">
        <v>30</v>
      </c>
      <c r="L171" s="235"/>
      <c r="M171" s="235" t="s">
        <v>31</v>
      </c>
      <c r="N171" s="235"/>
      <c r="O171" s="235" t="s">
        <v>189</v>
      </c>
      <c r="P171" s="235"/>
    </row>
    <row r="172" spans="1:16" ht="6.95" customHeight="1" thickTop="1">
      <c r="A172" s="193"/>
      <c r="B172" s="194"/>
      <c r="C172" s="71"/>
      <c r="D172" s="71"/>
      <c r="E172" s="67"/>
      <c r="F172" s="67"/>
      <c r="G172" s="71"/>
      <c r="H172" s="71"/>
      <c r="I172" s="71"/>
      <c r="J172" s="71"/>
      <c r="K172" s="71"/>
      <c r="L172" s="67"/>
      <c r="M172" s="62"/>
      <c r="N172" s="67"/>
      <c r="O172" s="72"/>
      <c r="P172" s="67"/>
    </row>
    <row r="173" spans="1:16" ht="15" customHeight="1">
      <c r="A173" s="31" t="str">
        <f>IF(ISBLANK(Inventory!A173),"",Inventory!A173)</f>
        <v>Post-Mix Pepsi/Diet</v>
      </c>
      <c r="B173" s="31" t="str">
        <f>IF(ISBLANK(Inventory!A173),"",Inventory!C173)</f>
        <v>20ml</v>
      </c>
      <c r="C173" s="187">
        <v>1</v>
      </c>
      <c r="D173" s="192"/>
      <c r="E173" s="187"/>
      <c r="F173" s="173"/>
      <c r="G173" s="187"/>
      <c r="H173" s="37">
        <f>IF(ISBLANK(Inventory!A173),0,C173+SUM('Week 3'!E173:G173)-SUM(E173:G173))</f>
        <v>1</v>
      </c>
      <c r="I173" s="35" t="str">
        <f>IF(OR(ISBLANK(J173),J173=0),"",Settings!$B$14)</f>
        <v>$</v>
      </c>
      <c r="J173" s="30">
        <f>IF(ISBLANK(C173),0,C173*Inventory!F173)</f>
        <v>15.25</v>
      </c>
      <c r="K173" s="35" t="str">
        <f>IF(OR(ISBLANK(L173),L173=0),"",Settings!$B$14)</f>
        <v/>
      </c>
      <c r="L173" s="30">
        <f>IF(ISBLANK(Inventory!A173),0,SUM(E173:G173)*Inventory!F173)</f>
        <v>0</v>
      </c>
      <c r="M173" s="35" t="str">
        <f>IF(OR(ISBLANK(N173),N173=0),"",Settings!$B$14)</f>
        <v/>
      </c>
      <c r="N173" s="30">
        <f>IF(ISBLANK(Inventory!A173),0,SUM(E173:G173)*Inventory!L173)</f>
        <v>0</v>
      </c>
      <c r="O173" s="35" t="str">
        <f>IF(OR(ISBLANK(P173),P173=0),"",Settings!$B$14)</f>
        <v>$</v>
      </c>
      <c r="P173" s="30">
        <f>IF(ISBLANK(Inventory!A173),0,H173*Inventory!L173)</f>
        <v>412.5</v>
      </c>
    </row>
    <row r="174" spans="1:16" ht="15" customHeight="1">
      <c r="A174" s="31" t="str">
        <f>IF(ISBLANK(Inventory!A174),"",Inventory!A174)</f>
        <v>Post-Mix Lemonade</v>
      </c>
      <c r="B174" s="31" t="str">
        <f>IF(ISBLANK(Inventory!A174),"",Inventory!C174)</f>
        <v>20ml</v>
      </c>
      <c r="C174" s="187">
        <v>1</v>
      </c>
      <c r="D174" s="192"/>
      <c r="E174" s="187"/>
      <c r="F174" s="173"/>
      <c r="G174" s="187"/>
      <c r="H174" s="37">
        <f>IF(ISBLANK(Inventory!A174),0,C174+SUM('Week 3'!E174:G174)-SUM(E174:G174))</f>
        <v>1</v>
      </c>
      <c r="I174" s="35" t="str">
        <f>IF(OR(ISBLANK(J174),J174=0),"",Settings!$B$14)</f>
        <v>$</v>
      </c>
      <c r="J174" s="30">
        <f>IF(ISBLANK(C174),0,C174*Inventory!F174)</f>
        <v>14.43</v>
      </c>
      <c r="K174" s="35" t="str">
        <f>IF(OR(ISBLANK(L174),L174=0),"",Settings!$B$14)</f>
        <v/>
      </c>
      <c r="L174" s="30">
        <f>IF(ISBLANK(Inventory!A174),0,SUM(E174:G174)*Inventory!F174)</f>
        <v>0</v>
      </c>
      <c r="M174" s="35" t="str">
        <f>IF(OR(ISBLANK(N174),N174=0),"",Settings!$B$14)</f>
        <v/>
      </c>
      <c r="N174" s="30">
        <f>IF(ISBLANK(Inventory!A174),0,SUM(E174:G174)*Inventory!L174)</f>
        <v>0</v>
      </c>
      <c r="O174" s="35" t="str">
        <f>IF(OR(ISBLANK(P174),P174=0),"",Settings!$B$14)</f>
        <v>$</v>
      </c>
      <c r="P174" s="30">
        <f>IF(ISBLANK(Inventory!A174),0,H174*Inventory!L174)</f>
        <v>412.5</v>
      </c>
    </row>
    <row r="175" spans="1:16" ht="15" customHeight="1">
      <c r="A175" s="31" t="str">
        <f>IF(ISBLANK(Inventory!A175),"",Inventory!A175)</f>
        <v>Post-Mix Tango</v>
      </c>
      <c r="B175" s="31" t="str">
        <f>IF(ISBLANK(Inventory!A175),"",Inventory!C175)</f>
        <v>20ml</v>
      </c>
      <c r="C175" s="187">
        <v>1</v>
      </c>
      <c r="D175" s="192"/>
      <c r="E175" s="187"/>
      <c r="F175" s="173"/>
      <c r="G175" s="187"/>
      <c r="H175" s="37">
        <f>IF(ISBLANK(Inventory!A175),0,C175+SUM('Week 3'!E175:G175)-SUM(E175:G175))</f>
        <v>1</v>
      </c>
      <c r="I175" s="35" t="str">
        <f>IF(OR(ISBLANK(J175),J175=0),"",Settings!$B$14)</f>
        <v>$</v>
      </c>
      <c r="J175" s="30">
        <f>IF(ISBLANK(C175),0,C175*Inventory!F175)</f>
        <v>12.3</v>
      </c>
      <c r="K175" s="35" t="str">
        <f>IF(OR(ISBLANK(L175),L175=0),"",Settings!$B$14)</f>
        <v/>
      </c>
      <c r="L175" s="30">
        <f>IF(ISBLANK(Inventory!A175),0,SUM(E175:G175)*Inventory!F175)</f>
        <v>0</v>
      </c>
      <c r="M175" s="35" t="str">
        <f>IF(OR(ISBLANK(N175),N175=0),"",Settings!$B$14)</f>
        <v/>
      </c>
      <c r="N175" s="30">
        <f>IF(ISBLANK(Inventory!A175),0,SUM(E175:G175)*Inventory!L175)</f>
        <v>0</v>
      </c>
      <c r="O175" s="35" t="str">
        <f>IF(OR(ISBLANK(P175),P175=0),"",Settings!$B$14)</f>
        <v>$</v>
      </c>
      <c r="P175" s="30">
        <f>IF(ISBLANK(Inventory!A175),0,H175*Inventory!L175)</f>
        <v>825</v>
      </c>
    </row>
    <row r="176" spans="1:16" ht="15" customHeight="1">
      <c r="A176" s="31" t="str">
        <f>IF(ISBLANK(Inventory!A176),"",Inventory!A176)</f>
        <v>Sprite</v>
      </c>
      <c r="B176" s="31" t="str">
        <f>IF(ISBLANK(Inventory!A176),"",Inventory!C176)</f>
        <v>25ml</v>
      </c>
      <c r="C176" s="187">
        <v>1</v>
      </c>
      <c r="D176" s="192"/>
      <c r="E176" s="187"/>
      <c r="F176" s="173"/>
      <c r="G176" s="187"/>
      <c r="H176" s="37">
        <f>IF(ISBLANK(Inventory!A176),0,C176+SUM('Week 3'!E176:G176)-SUM(E176:G176))</f>
        <v>1</v>
      </c>
      <c r="I176" s="35" t="str">
        <f>IF(OR(ISBLANK(J176),J176=0),"",Settings!$B$14)</f>
        <v>$</v>
      </c>
      <c r="J176" s="30">
        <f>IF(ISBLANK(C176),0,C176*Inventory!F176)</f>
        <v>15.53</v>
      </c>
      <c r="K176" s="35" t="str">
        <f>IF(OR(ISBLANK(L176),L176=0),"",Settings!$B$14)</f>
        <v/>
      </c>
      <c r="L176" s="30">
        <f>IF(ISBLANK(Inventory!A176),0,SUM(E176:G176)*Inventory!F176)</f>
        <v>0</v>
      </c>
      <c r="M176" s="35" t="str">
        <f>IF(OR(ISBLANK(N176),N176=0),"",Settings!$B$14)</f>
        <v/>
      </c>
      <c r="N176" s="30">
        <f>IF(ISBLANK(Inventory!A176),0,SUM(E176:G176)*Inventory!L176)</f>
        <v>0</v>
      </c>
      <c r="O176" s="35" t="str">
        <f>IF(OR(ISBLANK(P176),P176=0),"",Settings!$B$14)</f>
        <v>$</v>
      </c>
      <c r="P176" s="30">
        <f>IF(ISBLANK(Inventory!A176),0,H176*Inventory!L176)</f>
        <v>330</v>
      </c>
    </row>
    <row r="177" spans="1:16" ht="15" customHeight="1">
      <c r="A177" s="31" t="str">
        <f>IF(ISBLANK(Inventory!A177),"",Inventory!A177)</f>
        <v/>
      </c>
      <c r="B177" s="31" t="str">
        <f>IF(ISBLANK(Inventory!A177),"",Inventory!C177)</f>
        <v/>
      </c>
      <c r="C177" s="187"/>
      <c r="D177" s="192"/>
      <c r="E177" s="187"/>
      <c r="F177" s="173"/>
      <c r="G177" s="187"/>
      <c r="H177" s="37">
        <f>IF(ISBLANK(Inventory!A177),0,C177+SUM('Week 3'!E177:G177)-SUM(E177:G177))</f>
        <v>0</v>
      </c>
      <c r="I177" s="35" t="str">
        <f>IF(OR(ISBLANK(J177),J177=0),"",Settings!$B$14)</f>
        <v/>
      </c>
      <c r="J177" s="30">
        <f>IF(ISBLANK(C177),0,C177*Inventory!F177)</f>
        <v>0</v>
      </c>
      <c r="K177" s="35" t="str">
        <f>IF(OR(ISBLANK(L177),L177=0),"",Settings!$B$14)</f>
        <v/>
      </c>
      <c r="L177" s="30">
        <f>IF(ISBLANK(Inventory!A177),0,SUM(E177:G177)*Inventory!F177)</f>
        <v>0</v>
      </c>
      <c r="M177" s="35" t="str">
        <f>IF(OR(ISBLANK(N177),N177=0),"",Settings!$B$14)</f>
        <v/>
      </c>
      <c r="N177" s="30">
        <f>IF(ISBLANK(Inventory!A177),0,SUM(E177:G177)*Inventory!L177)</f>
        <v>0</v>
      </c>
      <c r="O177" s="35" t="str">
        <f>IF(OR(ISBLANK(P177),P177=0),"",Settings!$B$14)</f>
        <v/>
      </c>
      <c r="P177" s="30">
        <f>IF(ISBLANK(Inventory!A177),0,H177*Inventory!L177)</f>
        <v>0</v>
      </c>
    </row>
    <row r="178" spans="1:16" ht="15" customHeight="1">
      <c r="A178" s="31" t="str">
        <f>IF(ISBLANK(Inventory!A178),"",Inventory!A178)</f>
        <v/>
      </c>
      <c r="B178" s="31" t="str">
        <f>IF(ISBLANK(Inventory!A178),"",Inventory!C178)</f>
        <v/>
      </c>
      <c r="C178" s="187"/>
      <c r="D178" s="192"/>
      <c r="E178" s="187"/>
      <c r="F178" s="173"/>
      <c r="G178" s="187"/>
      <c r="H178" s="37">
        <f>IF(ISBLANK(Inventory!A178),0,C178+SUM('Week 3'!E178:G178)-SUM(E178:G178))</f>
        <v>0</v>
      </c>
      <c r="I178" s="35" t="str">
        <f>IF(OR(ISBLANK(J178),J178=0),"",Settings!$B$14)</f>
        <v/>
      </c>
      <c r="J178" s="30">
        <f>IF(ISBLANK(C178),0,C178*Inventory!F178)</f>
        <v>0</v>
      </c>
      <c r="K178" s="35" t="str">
        <f>IF(OR(ISBLANK(L178),L178=0),"",Settings!$B$14)</f>
        <v/>
      </c>
      <c r="L178" s="30">
        <f>IF(ISBLANK(Inventory!A178),0,SUM(E178:G178)*Inventory!F178)</f>
        <v>0</v>
      </c>
      <c r="M178" s="35" t="str">
        <f>IF(OR(ISBLANK(N178),N178=0),"",Settings!$B$14)</f>
        <v/>
      </c>
      <c r="N178" s="30">
        <f>IF(ISBLANK(Inventory!A178),0,SUM(E178:G178)*Inventory!L178)</f>
        <v>0</v>
      </c>
      <c r="O178" s="35" t="str">
        <f>IF(OR(ISBLANK(P178),P178=0),"",Settings!$B$14)</f>
        <v/>
      </c>
      <c r="P178" s="30">
        <f>IF(ISBLANK(Inventory!A178),0,H178*Inventory!L178)</f>
        <v>0</v>
      </c>
    </row>
    <row r="179" spans="1:16" ht="6.95" customHeight="1">
      <c r="A179" s="24"/>
      <c r="B179" s="24"/>
      <c r="C179" s="1"/>
      <c r="D179" s="1"/>
      <c r="E179" s="1"/>
      <c r="F179" s="1"/>
      <c r="G179" s="1"/>
      <c r="H179" s="1"/>
      <c r="I179" s="1"/>
      <c r="J179" s="1"/>
      <c r="K179" s="1"/>
      <c r="L179" s="25"/>
      <c r="M179" s="62"/>
      <c r="N179" s="160"/>
      <c r="O179" s="25"/>
      <c r="P179" s="160"/>
    </row>
    <row r="180" spans="1:16" s="45" customFormat="1" ht="18" customHeight="1" thickBot="1">
      <c r="A180" s="78" t="str">
        <f>Inventory!A180</f>
        <v>COMPRESSED GAS</v>
      </c>
      <c r="B180" s="78"/>
      <c r="C180" s="22" t="s">
        <v>187</v>
      </c>
      <c r="D180" s="22"/>
      <c r="E180" s="22" t="s">
        <v>101</v>
      </c>
      <c r="F180" s="22"/>
      <c r="G180" s="23" t="s">
        <v>108</v>
      </c>
      <c r="H180" s="79" t="s">
        <v>119</v>
      </c>
      <c r="I180" s="253" t="s">
        <v>190</v>
      </c>
      <c r="J180" s="253"/>
      <c r="K180" s="235" t="s">
        <v>30</v>
      </c>
      <c r="L180" s="235"/>
      <c r="M180" s="235"/>
      <c r="N180" s="235"/>
      <c r="O180" s="235"/>
      <c r="P180" s="235"/>
    </row>
    <row r="181" spans="1:16" ht="6.95" customHeight="1" thickTop="1">
      <c r="A181" s="193"/>
      <c r="B181" s="194"/>
      <c r="C181" s="1"/>
      <c r="D181" s="1"/>
      <c r="E181" s="67"/>
      <c r="F181" s="67"/>
      <c r="G181" s="71"/>
      <c r="H181" s="71"/>
      <c r="I181" s="71"/>
      <c r="J181" s="71"/>
      <c r="K181" s="1"/>
      <c r="L181" s="67"/>
      <c r="M181" s="62"/>
      <c r="N181" s="67"/>
      <c r="O181" s="72"/>
      <c r="P181" s="67"/>
    </row>
    <row r="182" spans="1:16" ht="15" customHeight="1">
      <c r="A182" s="31" t="str">
        <f>IF(ISBLANK(Inventory!A182),"",Inventory!A182)</f>
        <v>Suregas B</v>
      </c>
      <c r="B182" s="31"/>
      <c r="C182" s="187">
        <v>1</v>
      </c>
      <c r="D182" s="192"/>
      <c r="E182" s="187">
        <v>1</v>
      </c>
      <c r="F182" s="173"/>
      <c r="G182" s="187">
        <v>0.2</v>
      </c>
      <c r="H182" s="37">
        <f>IF(ISBLANK(Inventory!A182),0,C182+SUM('Week 3'!E182:G182)-SUM(E182:G182))</f>
        <v>1.0000000000000002</v>
      </c>
      <c r="I182" s="35" t="str">
        <f>IF(OR(ISBLANK(J182),J182=0),"",Settings!$B$14)</f>
        <v>$</v>
      </c>
      <c r="J182" s="30">
        <f>IF(ISBLANK(C182),0,C182*Inventory!F182)</f>
        <v>15.75</v>
      </c>
      <c r="K182" s="35" t="str">
        <f>IF(OR(ISBLANK(L182),L182=0),"",Settings!$B$14)</f>
        <v>$</v>
      </c>
      <c r="L182" s="30">
        <f>IF(ISBLANK(Inventory!A182),0,SUM(E182:G182)*Inventory!F182)</f>
        <v>18.899999999999999</v>
      </c>
      <c r="M182" s="35"/>
      <c r="N182" s="30"/>
      <c r="O182" s="35"/>
      <c r="P182" s="30"/>
    </row>
    <row r="183" spans="1:16" ht="15" customHeight="1">
      <c r="A183" s="31" t="str">
        <f>IF(ISBLANK(Inventory!A183),"",Inventory!A183)</f>
        <v>Suremix 30/50</v>
      </c>
      <c r="B183" s="31"/>
      <c r="C183" s="187">
        <v>1</v>
      </c>
      <c r="D183" s="192"/>
      <c r="E183" s="187">
        <v>1</v>
      </c>
      <c r="F183" s="173"/>
      <c r="G183" s="187">
        <v>0.1</v>
      </c>
      <c r="H183" s="37">
        <f>IF(ISBLANK(Inventory!A183),0,C183+SUM('Week 3'!E183:G183)-SUM(E183:G183))</f>
        <v>1</v>
      </c>
      <c r="I183" s="35" t="str">
        <f>IF(OR(ISBLANK(J183),J183=0),"",Settings!$B$14)</f>
        <v>$</v>
      </c>
      <c r="J183" s="30">
        <f>IF(ISBLANK(C183),0,C183*Inventory!F183)</f>
        <v>28.3</v>
      </c>
      <c r="K183" s="35" t="str">
        <f>IF(OR(ISBLANK(L183),L183=0),"",Settings!$B$14)</f>
        <v>$</v>
      </c>
      <c r="L183" s="30">
        <f>IF(ISBLANK(Inventory!A183),0,SUM(E183:G183)*Inventory!F183)</f>
        <v>31.130000000000003</v>
      </c>
      <c r="M183" s="35"/>
      <c r="N183" s="30"/>
      <c r="O183" s="35"/>
      <c r="P183" s="30"/>
    </row>
    <row r="184" spans="1:16" ht="15" customHeight="1">
      <c r="A184" s="31" t="str">
        <f>IF(ISBLANK(Inventory!A184),"",Inventory!A184)</f>
        <v/>
      </c>
      <c r="B184" s="31"/>
      <c r="C184" s="187"/>
      <c r="D184" s="192"/>
      <c r="E184" s="187"/>
      <c r="F184" s="173"/>
      <c r="G184" s="187"/>
      <c r="H184" s="37">
        <f>IF(ISBLANK(Inventory!A184),0,C184+SUM('Week 3'!E184:G184)-SUM(E184:G184))</f>
        <v>0</v>
      </c>
      <c r="I184" s="35" t="str">
        <f>IF(OR(ISBLANK(J184),J184=0),"",Settings!$B$14)</f>
        <v/>
      </c>
      <c r="J184" s="30">
        <f>IF(ISBLANK(C184),0,C184*Inventory!F184)</f>
        <v>0</v>
      </c>
      <c r="K184" s="35" t="str">
        <f>IF(OR(ISBLANK(L184),L184=0),"",Settings!$B$14)</f>
        <v/>
      </c>
      <c r="L184" s="30">
        <f>IF(ISBLANK(Inventory!A184),0,SUM(E184:G184)*Inventory!F184)</f>
        <v>0</v>
      </c>
      <c r="M184" s="35"/>
      <c r="N184" s="30"/>
      <c r="O184" s="35"/>
      <c r="P184" s="30"/>
    </row>
    <row r="185" spans="1:16" ht="15" customHeight="1">
      <c r="A185" s="31" t="str">
        <f>IF(ISBLANK(Inventory!A185),"",Inventory!A185)</f>
        <v/>
      </c>
      <c r="B185" s="31"/>
      <c r="C185" s="187"/>
      <c r="D185" s="192"/>
      <c r="E185" s="187"/>
      <c r="F185" s="173"/>
      <c r="G185" s="187"/>
      <c r="H185" s="37">
        <f>IF(ISBLANK(Inventory!A185),0,C185+SUM('Week 3'!E185:G185)-SUM(E185:G185))</f>
        <v>0</v>
      </c>
      <c r="I185" s="35" t="str">
        <f>IF(OR(ISBLANK(J185),J185=0),"",Settings!$B$14)</f>
        <v/>
      </c>
      <c r="J185" s="30">
        <f>IF(ISBLANK(C185),0,C185*Inventory!F185)</f>
        <v>0</v>
      </c>
      <c r="K185" s="35" t="str">
        <f>IF(OR(ISBLANK(L185),L185=0),"",Settings!$B$14)</f>
        <v/>
      </c>
      <c r="L185" s="30">
        <f>IF(ISBLANK(Inventory!A185),0,SUM(E185:G185)*Inventory!F185)</f>
        <v>0</v>
      </c>
      <c r="M185" s="35"/>
      <c r="N185" s="30"/>
      <c r="O185" s="35"/>
      <c r="P185" s="30"/>
    </row>
    <row r="186" spans="1:16" ht="6.95" customHeight="1">
      <c r="A186" s="24"/>
      <c r="B186" s="24"/>
      <c r="C186" s="1"/>
      <c r="D186" s="1"/>
      <c r="E186" s="1"/>
      <c r="F186" s="1"/>
      <c r="G186" s="1"/>
      <c r="H186" s="1"/>
      <c r="I186" s="1"/>
      <c r="J186" s="1"/>
      <c r="K186" s="1"/>
      <c r="L186" s="25"/>
      <c r="M186" s="62"/>
      <c r="N186" s="25"/>
      <c r="O186" s="25"/>
      <c r="P186" s="25"/>
    </row>
    <row r="187" spans="1:16" s="45" customFormat="1" ht="18" customHeight="1" thickBot="1">
      <c r="A187" s="78" t="str">
        <f>Inventory!A187</f>
        <v xml:space="preserve">REUSABLE containers and bottles </v>
      </c>
      <c r="B187" s="78"/>
      <c r="C187" s="22" t="s">
        <v>191</v>
      </c>
      <c r="D187" s="22"/>
      <c r="E187" s="22" t="s">
        <v>101</v>
      </c>
      <c r="F187" s="22" t="s">
        <v>102</v>
      </c>
      <c r="G187" s="23"/>
      <c r="H187" s="79" t="s">
        <v>119</v>
      </c>
      <c r="I187" s="253" t="s">
        <v>198</v>
      </c>
      <c r="J187" s="253"/>
      <c r="K187" s="235" t="s">
        <v>199</v>
      </c>
      <c r="L187" s="235"/>
      <c r="M187" s="235"/>
      <c r="N187" s="235"/>
      <c r="O187" s="235"/>
      <c r="P187" s="235"/>
    </row>
    <row r="188" spans="1:16" ht="6.95" customHeight="1" thickTop="1">
      <c r="A188" s="193"/>
      <c r="B188" s="194"/>
      <c r="C188" s="1"/>
      <c r="D188" s="1"/>
      <c r="E188" s="67"/>
      <c r="F188" s="67"/>
      <c r="G188" s="71"/>
      <c r="H188" s="71"/>
      <c r="I188" s="71"/>
      <c r="J188" s="71"/>
      <c r="K188" s="1"/>
      <c r="L188" s="67"/>
      <c r="M188" s="62"/>
      <c r="N188" s="67"/>
      <c r="O188" s="72"/>
      <c r="P188" s="67"/>
    </row>
    <row r="189" spans="1:16" ht="15" customHeight="1">
      <c r="A189" s="31" t="str">
        <f>IF(ISBLANK(Inventory!A189),"",Inventory!A189)</f>
        <v>Cases</v>
      </c>
      <c r="B189" s="31"/>
      <c r="C189" s="187">
        <v>3</v>
      </c>
      <c r="D189" s="192"/>
      <c r="E189" s="187">
        <v>3</v>
      </c>
      <c r="F189" s="187"/>
      <c r="G189" s="173"/>
      <c r="H189" s="37">
        <f>IF(ISBLANK(Inventory!A189),0,C189+SUM('Week 3'!E189:G189)-SUM(E189:G189))</f>
        <v>3</v>
      </c>
      <c r="I189" s="35" t="str">
        <f>IF(OR(ISBLANK(J189),J189=0),"",Settings!$B$14)</f>
        <v>$</v>
      </c>
      <c r="J189" s="30">
        <f>IF(ISBLANK(C189),0,C189*Inventory!F189)</f>
        <v>3</v>
      </c>
      <c r="K189" s="35" t="str">
        <f>IF(OR(ISBLANK(L189),L189=0),"",Settings!$B$14)</f>
        <v>$</v>
      </c>
      <c r="L189" s="30">
        <f>IF(ISBLANK(Inventory!A189),0,SUM(E189:G189)*Inventory!F189)</f>
        <v>3</v>
      </c>
      <c r="M189" s="35"/>
      <c r="N189" s="30"/>
      <c r="O189" s="35"/>
      <c r="P189" s="30"/>
    </row>
    <row r="190" spans="1:16" ht="15" customHeight="1">
      <c r="A190" s="31" t="str">
        <f>IF(ISBLANK(Inventory!A190),"",Inventory!A190)</f>
        <v>Bottles - Small</v>
      </c>
      <c r="B190" s="31"/>
      <c r="C190" s="187">
        <v>500</v>
      </c>
      <c r="D190" s="192"/>
      <c r="E190" s="187">
        <v>100</v>
      </c>
      <c r="F190" s="187"/>
      <c r="G190" s="173"/>
      <c r="H190" s="37">
        <f>IF(ISBLANK(Inventory!A190),0,C190+SUM('Week 3'!E190:G190)-SUM(E190:G190))</f>
        <v>500</v>
      </c>
      <c r="I190" s="35" t="str">
        <f>IF(OR(ISBLANK(J190),J190=0),"",Settings!$B$14)</f>
        <v>$</v>
      </c>
      <c r="J190" s="30">
        <f>IF(ISBLANK(C190),0,C190*Inventory!F190)</f>
        <v>21</v>
      </c>
      <c r="K190" s="35" t="str">
        <f>IF(OR(ISBLANK(L190),L190=0),"",Settings!$B$14)</f>
        <v>$</v>
      </c>
      <c r="L190" s="30">
        <f>IF(ISBLANK(Inventory!A190),0,SUM(E190:G190)*Inventory!F190)</f>
        <v>4.2</v>
      </c>
      <c r="M190" s="35"/>
      <c r="N190" s="30"/>
      <c r="O190" s="35"/>
      <c r="P190" s="30"/>
    </row>
    <row r="191" spans="1:16" ht="15" customHeight="1">
      <c r="A191" s="31" t="str">
        <f>IF(ISBLANK(Inventory!A191),"",Inventory!A191)</f>
        <v>Suregas B</v>
      </c>
      <c r="B191" s="31"/>
      <c r="C191" s="187">
        <v>1</v>
      </c>
      <c r="D191" s="192"/>
      <c r="E191" s="187">
        <v>1</v>
      </c>
      <c r="F191" s="187"/>
      <c r="G191" s="173"/>
      <c r="H191" s="37">
        <f>IF(ISBLANK(Inventory!A191),0,C191+SUM('Week 3'!E191:G191)-SUM(E191:G191))</f>
        <v>1</v>
      </c>
      <c r="I191" s="35" t="str">
        <f>IF(OR(ISBLANK(J191),J191=0),"",Settings!$B$14)</f>
        <v>$</v>
      </c>
      <c r="J191" s="30">
        <f>IF(ISBLANK(C191),0,C191*Inventory!F191)</f>
        <v>4.3</v>
      </c>
      <c r="K191" s="35" t="str">
        <f>IF(OR(ISBLANK(L191),L191=0),"",Settings!$B$14)</f>
        <v>$</v>
      </c>
      <c r="L191" s="30">
        <f>IF(ISBLANK(Inventory!A191),0,SUM(E191:G191)*Inventory!F191)</f>
        <v>4.3</v>
      </c>
      <c r="M191" s="35"/>
      <c r="N191" s="30"/>
      <c r="O191" s="35"/>
      <c r="P191" s="30"/>
    </row>
    <row r="192" spans="1:16" ht="15" customHeight="1">
      <c r="A192" s="31" t="str">
        <f>IF(ISBLANK(Inventory!A192),"",Inventory!A192)</f>
        <v>Suremix 30/50</v>
      </c>
      <c r="B192" s="31"/>
      <c r="C192" s="187">
        <v>1</v>
      </c>
      <c r="D192" s="192"/>
      <c r="E192" s="187">
        <v>1</v>
      </c>
      <c r="F192" s="187"/>
      <c r="G192" s="173"/>
      <c r="H192" s="37">
        <f>IF(ISBLANK(Inventory!A192),0,C192+SUM('Week 3'!E192:G192)-SUM(E192:G192))</f>
        <v>1</v>
      </c>
      <c r="I192" s="35" t="str">
        <f>IF(OR(ISBLANK(J192),J192=0),"",Settings!$B$14)</f>
        <v>$</v>
      </c>
      <c r="J192" s="30">
        <f>IF(ISBLANK(C192),0,C192*Inventory!F192)</f>
        <v>5.65</v>
      </c>
      <c r="K192" s="35" t="str">
        <f>IF(OR(ISBLANK(L192),L192=0),"",Settings!$B$14)</f>
        <v>$</v>
      </c>
      <c r="L192" s="30">
        <f>IF(ISBLANK(Inventory!A192),0,SUM(E192:G192)*Inventory!F192)</f>
        <v>5.65</v>
      </c>
      <c r="M192" s="35"/>
      <c r="N192" s="30"/>
      <c r="O192" s="35"/>
      <c r="P192" s="30"/>
    </row>
    <row r="193" spans="1:16" ht="15" customHeight="1">
      <c r="A193" s="31" t="str">
        <f>IF(ISBLANK(Inventory!A193),"",Inventory!A193)</f>
        <v/>
      </c>
      <c r="B193" s="31"/>
      <c r="C193" s="187"/>
      <c r="D193" s="192"/>
      <c r="E193" s="187"/>
      <c r="F193" s="187"/>
      <c r="G193" s="173"/>
      <c r="H193" s="37">
        <f>IF(ISBLANK(Inventory!A193),0,C193+SUM('Week 3'!E193:G193)-SUM(E193:G193))</f>
        <v>0</v>
      </c>
      <c r="I193" s="35" t="str">
        <f>IF(OR(ISBLANK(J193),J193=0),"",Settings!$B$14)</f>
        <v/>
      </c>
      <c r="J193" s="30">
        <f>IF(ISBLANK(C193),0,C193*Inventory!F193)</f>
        <v>0</v>
      </c>
      <c r="K193" s="35" t="str">
        <f>IF(OR(ISBLANK(L193),L193=0),"",Settings!$B$14)</f>
        <v/>
      </c>
      <c r="L193" s="30">
        <f>IF(ISBLANK(Inventory!A193),0,SUM(E193:G193)*Inventory!F193)</f>
        <v>0</v>
      </c>
      <c r="M193" s="35"/>
      <c r="N193" s="30"/>
      <c r="O193" s="35"/>
      <c r="P193" s="30"/>
    </row>
    <row r="194" spans="1:16" ht="15" customHeight="1">
      <c r="A194" s="31" t="str">
        <f>IF(ISBLANK(Inventory!A194),"",Inventory!A194)</f>
        <v/>
      </c>
      <c r="B194" s="31"/>
      <c r="C194" s="187"/>
      <c r="D194" s="192"/>
      <c r="E194" s="187"/>
      <c r="F194" s="187"/>
      <c r="G194" s="173"/>
      <c r="H194" s="37">
        <f>IF(ISBLANK(Inventory!A194),0,C194+SUM('Week 3'!E194:G194)-SUM(E194:G194))</f>
        <v>0</v>
      </c>
      <c r="I194" s="35" t="str">
        <f>IF(OR(ISBLANK(J194),J194=0),"",Settings!$B$14)</f>
        <v/>
      </c>
      <c r="J194" s="30">
        <f>IF(ISBLANK(C194),0,C194*Inventory!F194)</f>
        <v>0</v>
      </c>
      <c r="K194" s="35" t="str">
        <f>IF(OR(ISBLANK(L194),L194=0),"",Settings!$B$14)</f>
        <v/>
      </c>
      <c r="L194" s="30">
        <f>IF(ISBLANK(Inventory!A194),0,SUM(E194:G194)*Inventory!F194)</f>
        <v>0</v>
      </c>
      <c r="M194" s="35"/>
      <c r="N194" s="30"/>
      <c r="O194" s="35"/>
      <c r="P194" s="30"/>
    </row>
    <row r="195" spans="1:16" ht="15" customHeight="1">
      <c r="A195" s="31" t="str">
        <f>IF(ISBLANK(Inventory!A195),"",Inventory!A195)</f>
        <v/>
      </c>
      <c r="B195" s="31"/>
      <c r="C195" s="187"/>
      <c r="D195" s="192"/>
      <c r="E195" s="187"/>
      <c r="F195" s="187"/>
      <c r="G195" s="173"/>
      <c r="H195" s="37">
        <f>IF(ISBLANK(Inventory!A195),0,C195+SUM('Week 3'!E195:G195)-SUM(E195:G195))</f>
        <v>0</v>
      </c>
      <c r="I195" s="35" t="str">
        <f>IF(OR(ISBLANK(J195),J195=0),"",Settings!$B$14)</f>
        <v/>
      </c>
      <c r="J195" s="30">
        <f>IF(ISBLANK(C195),0,C195*Inventory!F195)</f>
        <v>0</v>
      </c>
      <c r="K195" s="35" t="str">
        <f>IF(OR(ISBLANK(L195),L195=0),"",Settings!$B$14)</f>
        <v/>
      </c>
      <c r="L195" s="30">
        <f>IF(ISBLANK(Inventory!A195),0,SUM(E195:G195)*Inventory!F195)</f>
        <v>0</v>
      </c>
      <c r="M195" s="35"/>
      <c r="N195" s="30"/>
      <c r="O195" s="35"/>
      <c r="P195" s="30"/>
    </row>
    <row r="196" spans="1:16" ht="15" customHeight="1">
      <c r="A196" s="31" t="str">
        <f>IF(ISBLANK(Inventory!A196),"",Inventory!A196)</f>
        <v/>
      </c>
      <c r="B196" s="31"/>
      <c r="C196" s="187"/>
      <c r="D196" s="192"/>
      <c r="E196" s="187"/>
      <c r="F196" s="187"/>
      <c r="G196" s="173"/>
      <c r="H196" s="37">
        <f>IF(ISBLANK(Inventory!A196),0,C196+SUM('Week 3'!E196:G196)-SUM(E196:G196))</f>
        <v>0</v>
      </c>
      <c r="I196" s="35" t="str">
        <f>IF(OR(ISBLANK(J196),J196=0),"",Settings!$B$14)</f>
        <v/>
      </c>
      <c r="J196" s="30">
        <f>IF(ISBLANK(C196),0,C196*Inventory!F196)</f>
        <v>0</v>
      </c>
      <c r="K196" s="35" t="str">
        <f>IF(OR(ISBLANK(L196),L196=0),"",Settings!$B$14)</f>
        <v/>
      </c>
      <c r="L196" s="30">
        <f>IF(ISBLANK(Inventory!A196),0,SUM(E196:G196)*Inventory!F196)</f>
        <v>0</v>
      </c>
      <c r="M196" s="35"/>
      <c r="N196" s="30"/>
      <c r="O196" s="35"/>
      <c r="P196" s="30"/>
    </row>
    <row r="197" spans="1:16" ht="6.95" customHeight="1" thickBot="1">
      <c r="A197" s="24"/>
      <c r="B197" s="24"/>
      <c r="C197" s="1"/>
      <c r="D197" s="1"/>
      <c r="E197" s="1"/>
      <c r="F197" s="1"/>
      <c r="G197" s="1"/>
      <c r="H197" s="1"/>
      <c r="I197" s="1"/>
      <c r="J197" s="1"/>
      <c r="K197" s="1"/>
      <c r="L197" s="25"/>
      <c r="M197" s="62"/>
      <c r="N197" s="25"/>
      <c r="O197" s="25"/>
      <c r="P197" s="25"/>
    </row>
    <row r="198" spans="1:16" s="45" customFormat="1" ht="18" customHeight="1" thickTop="1">
      <c r="A198" s="174"/>
      <c r="B198" s="174"/>
      <c r="C198" s="167"/>
      <c r="D198" s="167"/>
      <c r="E198" s="167"/>
      <c r="F198" s="167"/>
      <c r="G198" s="196"/>
      <c r="H198" s="197"/>
      <c r="I198" s="254"/>
      <c r="J198" s="254"/>
      <c r="K198" s="255"/>
      <c r="L198" s="255"/>
      <c r="M198" s="255"/>
      <c r="N198" s="255"/>
      <c r="O198" s="255"/>
      <c r="P198" s="255"/>
    </row>
    <row r="199" spans="1:16" ht="18" customHeight="1">
      <c r="A199" s="24"/>
      <c r="B199" s="24"/>
      <c r="C199" s="1"/>
      <c r="D199" s="1"/>
      <c r="E199" s="1"/>
      <c r="F199" s="1"/>
      <c r="G199" s="1"/>
      <c r="H199" s="1"/>
      <c r="I199" s="1"/>
      <c r="J199" s="1"/>
      <c r="K199" s="1"/>
      <c r="L199" s="25"/>
      <c r="M199" s="62"/>
      <c r="N199" s="25"/>
      <c r="O199" s="25"/>
      <c r="P199" s="25"/>
    </row>
    <row r="200" spans="1:16" ht="18" customHeight="1" thickBot="1">
      <c r="A200" s="78" t="str">
        <f>IF(ISBLANK('Stock Opening'!A200),"",'Stock Opening'!A200)</f>
        <v>TOTAL VALUE of STOCK</v>
      </c>
      <c r="B200" s="38"/>
      <c r="C200" s="39"/>
      <c r="D200" s="39"/>
      <c r="E200" s="39"/>
      <c r="F200" s="39"/>
      <c r="G200" s="39"/>
      <c r="H200" s="39"/>
      <c r="I200" s="235" t="s">
        <v>190</v>
      </c>
      <c r="J200" s="235"/>
      <c r="K200" s="235" t="s">
        <v>30</v>
      </c>
      <c r="L200" s="235"/>
      <c r="M200" s="235" t="s">
        <v>31</v>
      </c>
      <c r="N200" s="235"/>
      <c r="O200" s="235" t="s">
        <v>189</v>
      </c>
      <c r="P200" s="235"/>
    </row>
    <row r="201" spans="1:16" ht="6.95" customHeight="1" thickTop="1">
      <c r="A201" s="24"/>
      <c r="B201" s="24"/>
      <c r="C201" s="1"/>
      <c r="D201" s="1"/>
      <c r="E201" s="1"/>
      <c r="F201" s="1"/>
      <c r="G201" s="1"/>
      <c r="H201" s="1"/>
      <c r="I201" s="1"/>
      <c r="J201" s="1"/>
      <c r="K201" s="1"/>
      <c r="L201" s="25"/>
      <c r="M201" s="62"/>
      <c r="N201" s="25"/>
      <c r="O201" s="25"/>
      <c r="P201" s="25"/>
    </row>
    <row r="202" spans="1:16" s="45" customFormat="1" ht="15" customHeight="1">
      <c r="A202" s="50" t="str">
        <f>IF(ISBLANK('Stock Opening'!A202),"",'Stock Opening'!A202)</f>
        <v>SPIRITS</v>
      </c>
      <c r="C202" s="46"/>
      <c r="D202" s="46"/>
      <c r="E202" s="46"/>
      <c r="F202" s="46"/>
      <c r="G202" s="46"/>
      <c r="H202" s="46"/>
      <c r="I202" s="46" t="str">
        <f>IF(OR(ISBLANK(J202),J202=0),"",Settings!$B$14)</f>
        <v>$</v>
      </c>
      <c r="J202" s="32">
        <f>SUM(J12:J55)</f>
        <v>21.35</v>
      </c>
      <c r="K202" s="46" t="str">
        <f>IF(OR(ISBLANK(L202),L202=0),"",Settings!$B$14)</f>
        <v>$</v>
      </c>
      <c r="L202" s="32">
        <f>SUM(L12:L55)</f>
        <v>21.35</v>
      </c>
      <c r="M202" s="46" t="str">
        <f>IF(OR(ISBLANK(N202),N202=0),"",Settings!$B$14)</f>
        <v>$</v>
      </c>
      <c r="N202" s="32">
        <f>SUM(N12:N55)</f>
        <v>80.92</v>
      </c>
      <c r="O202" s="46" t="str">
        <f>IF(OR(ISBLANK(P202),P202=0),"",Settings!$B$14)</f>
        <v>$</v>
      </c>
      <c r="P202" s="32">
        <f>SUM(P12:P55)</f>
        <v>80.92</v>
      </c>
    </row>
    <row r="203" spans="1:16" s="45" customFormat="1" ht="15" customHeight="1">
      <c r="A203" s="50" t="str">
        <f>IF(ISBLANK('Stock Opening'!A203),"",'Stock Opening'!A203)</f>
        <v>FORTIFIED WINES</v>
      </c>
      <c r="C203" s="46"/>
      <c r="D203" s="46"/>
      <c r="E203" s="46"/>
      <c r="F203" s="46"/>
      <c r="G203" s="46"/>
      <c r="H203" s="46"/>
      <c r="I203" s="46" t="str">
        <f>IF(OR(ISBLANK(J203),J203=0),"",Settings!$B$14)</f>
        <v/>
      </c>
      <c r="J203" s="32">
        <f>SUM(J59:J72)</f>
        <v>0</v>
      </c>
      <c r="K203" s="46" t="str">
        <f>IF(OR(ISBLANK(L203),L203=0),"",Settings!$B$14)</f>
        <v>$</v>
      </c>
      <c r="L203" s="32">
        <f>SUM(L59:L72)</f>
        <v>16.128</v>
      </c>
      <c r="M203" s="46" t="str">
        <f>IF(OR(ISBLANK(N203),N203=0),"",Settings!$B$14)</f>
        <v>$</v>
      </c>
      <c r="N203" s="32">
        <f>SUM(N59:N72)</f>
        <v>34.019999999999996</v>
      </c>
      <c r="O203" s="46" t="str">
        <f>IF(OR(ISBLANK(P203),P203=0),"",Settings!$B$14)</f>
        <v>$</v>
      </c>
      <c r="P203" s="32">
        <f>SUM(P59:P72)</f>
        <v>8.5050000000000008</v>
      </c>
    </row>
    <row r="204" spans="1:16" s="45" customFormat="1" ht="15" customHeight="1">
      <c r="A204" s="50" t="str">
        <f>IF(ISBLANK('Stock Opening'!A204),"",'Stock Opening'!A204)</f>
        <v>TABLE WINES</v>
      </c>
      <c r="C204" s="46"/>
      <c r="D204" s="46"/>
      <c r="E204" s="46"/>
      <c r="F204" s="46"/>
      <c r="G204" s="46"/>
      <c r="H204" s="46"/>
      <c r="I204" s="46" t="str">
        <f>IF(OR(ISBLANK(J204),J204=0),"",Settings!$B$14)</f>
        <v/>
      </c>
      <c r="J204" s="32">
        <f>SUM(J76:J97)</f>
        <v>0</v>
      </c>
      <c r="K204" s="46" t="str">
        <f>IF(OR(ISBLANK(L204),L204=0),"",Settings!$B$14)</f>
        <v/>
      </c>
      <c r="L204" s="32">
        <f>SUM(L76:L97)</f>
        <v>0</v>
      </c>
      <c r="M204" s="46" t="str">
        <f>IF(OR(ISBLANK(N204),N204=0),"",Settings!$B$14)</f>
        <v/>
      </c>
      <c r="N204" s="32">
        <f>SUM(N76:N97)</f>
        <v>0</v>
      </c>
      <c r="O204" s="46" t="str">
        <f>IF(OR(ISBLANK(P204),P204=0),"",Settings!$B$14)</f>
        <v/>
      </c>
      <c r="P204" s="32">
        <f>SUM(P76:P97)</f>
        <v>0</v>
      </c>
    </row>
    <row r="205" spans="1:16" s="45" customFormat="1" ht="15" customHeight="1">
      <c r="A205" s="50" t="str">
        <f>IF(ISBLANK('Stock Opening'!A205),"",'Stock Opening'!A205)</f>
        <v>DRAUGHT BEER</v>
      </c>
      <c r="C205" s="46"/>
      <c r="D205" s="46"/>
      <c r="E205" s="46"/>
      <c r="F205" s="46"/>
      <c r="G205" s="46"/>
      <c r="H205" s="46"/>
      <c r="I205" s="46" t="str">
        <f>IF(OR(ISBLANK(J205),J205=0),"",Settings!$B$14)</f>
        <v>$</v>
      </c>
      <c r="J205" s="32">
        <f>SUM(J101:J106)</f>
        <v>148.63</v>
      </c>
      <c r="K205" s="46" t="str">
        <f>IF(OR(ISBLANK(L205),L205=0),"",Settings!$B$14)</f>
        <v>$</v>
      </c>
      <c r="L205" s="32">
        <f>SUM(L101:L106)</f>
        <v>201.64499999999998</v>
      </c>
      <c r="M205" s="46" t="str">
        <f>IF(OR(ISBLANK(N205),N205=0),"",Settings!$B$14)</f>
        <v>$</v>
      </c>
      <c r="N205" s="32">
        <f>SUM(N101:N106)</f>
        <v>964.48</v>
      </c>
      <c r="O205" s="46" t="str">
        <f>IF(OR(ISBLANK(P205),P205=0),"",Settings!$B$14)</f>
        <v>$</v>
      </c>
      <c r="P205" s="32">
        <f>SUM(P101:P106)</f>
        <v>705.28</v>
      </c>
    </row>
    <row r="206" spans="1:16" s="45" customFormat="1" ht="15" customHeight="1">
      <c r="A206" s="50" t="str">
        <f>IF(ISBLANK('Stock Opening'!A206),"",'Stock Opening'!A206)</f>
        <v>DRAUGHT LAGER</v>
      </c>
      <c r="C206" s="46"/>
      <c r="D206" s="46"/>
      <c r="E206" s="46"/>
      <c r="F206" s="46"/>
      <c r="G206" s="46"/>
      <c r="H206" s="46"/>
      <c r="I206" s="46" t="str">
        <f>IF(OR(ISBLANK(J206),J206=0),"",Settings!$B$14)</f>
        <v/>
      </c>
      <c r="J206" s="32">
        <f>SUM(J110:J115)</f>
        <v>0</v>
      </c>
      <c r="K206" s="46" t="str">
        <f>IF(OR(ISBLANK(L206),L206=0),"",Settings!$B$14)</f>
        <v>$</v>
      </c>
      <c r="L206" s="32">
        <f>SUM(L110:L115)</f>
        <v>63</v>
      </c>
      <c r="M206" s="46" t="str">
        <f>IF(OR(ISBLANK(N206),N206=0),"",Settings!$B$14)</f>
        <v>$</v>
      </c>
      <c r="N206" s="32">
        <f>SUM(N110:N115)</f>
        <v>260.71199999999999</v>
      </c>
      <c r="O206" s="46" t="str">
        <f>IF(OR(ISBLANK(P206),P206=0),"",Settings!$B$14)</f>
        <v/>
      </c>
      <c r="P206" s="32">
        <f>SUM(P110:P115)</f>
        <v>0</v>
      </c>
    </row>
    <row r="207" spans="1:16" s="45" customFormat="1" ht="15" customHeight="1">
      <c r="A207" s="50" t="str">
        <f>IF(ISBLANK('Stock Opening'!A207),"",'Stock Opening'!A207)</f>
        <v>BOTTLED BEER</v>
      </c>
      <c r="C207" s="46"/>
      <c r="D207" s="46"/>
      <c r="E207" s="46"/>
      <c r="F207" s="46"/>
      <c r="G207" s="46"/>
      <c r="H207" s="46"/>
      <c r="I207" s="46" t="str">
        <f>IF(OR(ISBLANK(J207),J207=0),"",Settings!$B$14)</f>
        <v/>
      </c>
      <c r="J207" s="32">
        <f>SUM(J119:J134)</f>
        <v>0</v>
      </c>
      <c r="K207" s="46" t="str">
        <f>IF(OR(ISBLANK(L207),L207=0),"",Settings!$B$14)</f>
        <v>$</v>
      </c>
      <c r="L207" s="32">
        <f>SUM(L119:L134)</f>
        <v>11.100000000000001</v>
      </c>
      <c r="M207" s="46" t="str">
        <f>IF(OR(ISBLANK(N207),N207=0),"",Settings!$B$14)</f>
        <v>$</v>
      </c>
      <c r="N207" s="32">
        <f>SUM(N119:N134)</f>
        <v>54.400000000000006</v>
      </c>
      <c r="O207" s="46" t="str">
        <f>IF(OR(ISBLANK(P207),P207=0),"",Settings!$B$14)</f>
        <v/>
      </c>
      <c r="P207" s="32">
        <f>SUM(P119:P134)</f>
        <v>0</v>
      </c>
    </row>
    <row r="208" spans="1:16" s="45" customFormat="1" ht="15" customHeight="1">
      <c r="A208" s="50" t="str">
        <f>IF(ISBLANK('Stock Opening'!A208),"",'Stock Opening'!A208)</f>
        <v>CIDER</v>
      </c>
      <c r="C208" s="46"/>
      <c r="D208" s="46"/>
      <c r="E208" s="46"/>
      <c r="F208" s="46"/>
      <c r="G208" s="46"/>
      <c r="H208" s="46"/>
      <c r="I208" s="46" t="str">
        <f>IF(OR(ISBLANK(J208),J208=0),"",Settings!$B$14)</f>
        <v/>
      </c>
      <c r="J208" s="32">
        <f>SUM(J138:J146)</f>
        <v>0</v>
      </c>
      <c r="K208" s="46" t="str">
        <f>IF(OR(ISBLANK(L208),L208=0),"",Settings!$B$14)</f>
        <v/>
      </c>
      <c r="L208" s="32">
        <f>SUM(L138:L146)</f>
        <v>0</v>
      </c>
      <c r="M208" s="46" t="str">
        <f>IF(OR(ISBLANK(N208),N208=0),"",Settings!$B$14)</f>
        <v/>
      </c>
      <c r="N208" s="32">
        <f>SUM(N138:N146)</f>
        <v>0</v>
      </c>
      <c r="O208" s="46" t="str">
        <f>IF(OR(ISBLANK(P208),P208=0),"",Settings!$B$14)</f>
        <v/>
      </c>
      <c r="P208" s="32">
        <f>SUM(P138:P146)</f>
        <v>0</v>
      </c>
    </row>
    <row r="209" spans="1:16" s="45" customFormat="1" ht="15" customHeight="1">
      <c r="A209" s="50" t="str">
        <f>IF(ISBLANK('Stock Opening'!A209),"",'Stock Opening'!A209)</f>
        <v>MINERALS/JUICES</v>
      </c>
      <c r="C209" s="46"/>
      <c r="D209" s="46"/>
      <c r="E209" s="46"/>
      <c r="F209" s="46"/>
      <c r="G209" s="46"/>
      <c r="H209" s="46"/>
      <c r="I209" s="46" t="str">
        <f>IF(OR(ISBLANK(J209),J209=0),"",Settings!$B$14)</f>
        <v/>
      </c>
      <c r="J209" s="32">
        <f>SUM(J150:J169)</f>
        <v>0</v>
      </c>
      <c r="K209" s="46" t="str">
        <f>IF(OR(ISBLANK(L209),L209=0),"",Settings!$B$14)</f>
        <v>$</v>
      </c>
      <c r="L209" s="32">
        <f>SUM(L150:L169)</f>
        <v>1.0912500000000001</v>
      </c>
      <c r="M209" s="46" t="str">
        <f>IF(OR(ISBLANK(N209),N209=0),"",Settings!$B$14)</f>
        <v>$</v>
      </c>
      <c r="N209" s="32">
        <f>SUM(N150:N169)</f>
        <v>5.67</v>
      </c>
      <c r="O209" s="46" t="str">
        <f>IF(OR(ISBLANK(P209),P209=0),"",Settings!$B$14)</f>
        <v/>
      </c>
      <c r="P209" s="32">
        <f>SUM(P150:P169)</f>
        <v>0</v>
      </c>
    </row>
    <row r="210" spans="1:16" s="45" customFormat="1" ht="15" customHeight="1">
      <c r="A210" s="50" t="str">
        <f>IF(ISBLANK('Stock Opening'!A210),"",'Stock Opening'!A210)</f>
        <v>POST-MIX DRINKS</v>
      </c>
      <c r="C210" s="46"/>
      <c r="D210" s="46"/>
      <c r="E210" s="46"/>
      <c r="F210" s="46"/>
      <c r="G210" s="46"/>
      <c r="H210" s="46"/>
      <c r="I210" s="46" t="str">
        <f>IF(OR(ISBLANK(J210),J210=0),"",Settings!$B$14)</f>
        <v>$</v>
      </c>
      <c r="J210" s="32">
        <f>SUM(J173:J178)</f>
        <v>57.510000000000005</v>
      </c>
      <c r="K210" s="46" t="str">
        <f>IF(OR(ISBLANK(L210),L210=0),"",Settings!$B$14)</f>
        <v/>
      </c>
      <c r="L210" s="32">
        <f>SUM(L173:L178)</f>
        <v>0</v>
      </c>
      <c r="M210" s="46" t="str">
        <f>IF(OR(ISBLANK(N210),N210=0),"",Settings!$B$14)</f>
        <v/>
      </c>
      <c r="N210" s="32">
        <f>SUM(N173:N178)</f>
        <v>0</v>
      </c>
      <c r="O210" s="46" t="str">
        <f>IF(OR(ISBLANK(P210),P210=0),"",Settings!$B$14)</f>
        <v>$</v>
      </c>
      <c r="P210" s="32">
        <f>SUM(P173:P178)</f>
        <v>1980</v>
      </c>
    </row>
    <row r="211" spans="1:16" s="45" customFormat="1" ht="15" customHeight="1">
      <c r="A211" s="50" t="str">
        <f>IF(ISBLANK('Stock Opening'!A211),"",'Stock Opening'!A211)</f>
        <v>COMPRESSED GAS</v>
      </c>
      <c r="C211" s="46"/>
      <c r="D211" s="46"/>
      <c r="E211" s="46"/>
      <c r="F211" s="46"/>
      <c r="G211" s="46"/>
      <c r="H211" s="46"/>
      <c r="I211" s="46" t="str">
        <f>IF(OR(ISBLANK(J211),J211=0),"",Settings!$B$14)</f>
        <v>$</v>
      </c>
      <c r="J211" s="32">
        <f>SUM(J182:J185)</f>
        <v>44.05</v>
      </c>
      <c r="K211" s="46" t="str">
        <f>IF(OR(ISBLANK(L211),L211=0),"",Settings!$B$14)</f>
        <v>$</v>
      </c>
      <c r="L211" s="32">
        <f>SUM(L182:L185)</f>
        <v>50.03</v>
      </c>
      <c r="M211" s="198"/>
      <c r="N211" s="51"/>
      <c r="O211" s="198"/>
      <c r="P211" s="51"/>
    </row>
    <row r="212" spans="1:16" s="45" customFormat="1" ht="15" customHeight="1">
      <c r="A212" s="50" t="str">
        <f>IF(ISBLANK('Stock Opening'!A212),"",'Stock Opening'!A212)</f>
        <v xml:space="preserve">REUSABLE containers and bottles </v>
      </c>
      <c r="C212" s="46"/>
      <c r="D212" s="46"/>
      <c r="E212" s="46"/>
      <c r="F212" s="46"/>
      <c r="G212" s="46"/>
      <c r="H212" s="46"/>
      <c r="I212" s="46" t="str">
        <f>IF(OR(ISBLANK(J212),J212=0),"",Settings!$B$14)</f>
        <v>$</v>
      </c>
      <c r="J212" s="32">
        <f>-SUM(J189:J196)</f>
        <v>-33.950000000000003</v>
      </c>
      <c r="K212" s="46" t="str">
        <f>IF(OR(ISBLANK(L212),L212=0),"",Settings!$B$14)</f>
        <v>$</v>
      </c>
      <c r="L212" s="32">
        <f>SUM(L189:L196)</f>
        <v>17.149999999999999</v>
      </c>
      <c r="M212" s="198"/>
      <c r="N212" s="51"/>
      <c r="O212" s="198"/>
      <c r="P212" s="51"/>
    </row>
    <row r="213" spans="1:16" ht="6.95" customHeight="1">
      <c r="C213" s="53"/>
      <c r="D213" s="53"/>
      <c r="E213" s="53"/>
      <c r="F213" s="53"/>
      <c r="G213" s="53"/>
      <c r="H213" s="53"/>
      <c r="I213" s="53"/>
      <c r="J213" s="53"/>
      <c r="K213" s="53"/>
      <c r="L213" s="26"/>
      <c r="M213" s="62"/>
      <c r="N213" s="26"/>
      <c r="O213" s="26"/>
      <c r="P213" s="26"/>
    </row>
    <row r="214" spans="1:16" ht="15" customHeight="1">
      <c r="A214" s="54" t="str">
        <f>IF(ISBLANK('Stock Opening'!A214),"",'Stock Opening'!A214)</f>
        <v>TOTAL VALUE of STOCK</v>
      </c>
      <c r="B214" s="55"/>
      <c r="C214" s="21"/>
      <c r="D214" s="21"/>
      <c r="E214" s="21"/>
      <c r="F214" s="21"/>
      <c r="G214" s="21"/>
      <c r="H214" s="21"/>
      <c r="I214" s="21" t="str">
        <f>IF(OR(ISBLANK(J214),J214=0),"",Settings!$B$14)</f>
        <v>$</v>
      </c>
      <c r="J214" s="56">
        <f>SUM(J202:J212)</f>
        <v>237.59000000000003</v>
      </c>
      <c r="K214" s="21" t="str">
        <f>IF(OR(ISBLANK(L214),L214=0),"",Settings!$B$14)</f>
        <v>$</v>
      </c>
      <c r="L214" s="56">
        <f>SUM(L202:L211)</f>
        <v>364.34424999999999</v>
      </c>
      <c r="M214" s="21" t="str">
        <f>IF(OR(ISBLANK(N214),N214=0),"",Settings!$B$14)</f>
        <v>$</v>
      </c>
      <c r="N214" s="56">
        <f>SUM(N202:N212)</f>
        <v>1400.2020000000002</v>
      </c>
      <c r="O214" s="21" t="str">
        <f>IF(OR(ISBLANK(P214),P214=0),"",Settings!$B$14)</f>
        <v>$</v>
      </c>
      <c r="P214" s="56">
        <f>SUM(P202:P212)</f>
        <v>2774.7049999999999</v>
      </c>
    </row>
    <row r="215" spans="1:16" ht="6.95" customHeight="1" thickBot="1">
      <c r="A215" s="24"/>
      <c r="B215" s="24"/>
      <c r="C215" s="1"/>
      <c r="D215" s="1"/>
      <c r="E215" s="1"/>
      <c r="F215" s="1"/>
      <c r="G215" s="1"/>
      <c r="H215" s="1"/>
      <c r="I215" s="1"/>
      <c r="J215" s="1"/>
      <c r="K215" s="1"/>
      <c r="L215" s="25"/>
      <c r="M215" s="62"/>
      <c r="N215" s="25"/>
      <c r="O215" s="25"/>
      <c r="P215" s="25"/>
    </row>
    <row r="216" spans="1:16" ht="18" customHeight="1" thickTop="1">
      <c r="A216" s="40"/>
      <c r="B216" s="40"/>
      <c r="C216" s="41"/>
      <c r="D216" s="41"/>
      <c r="E216" s="41"/>
      <c r="F216" s="41"/>
      <c r="G216" s="41"/>
      <c r="H216" s="41"/>
      <c r="I216" s="41"/>
      <c r="J216" s="41"/>
      <c r="K216" s="41"/>
      <c r="L216" s="42"/>
      <c r="M216" s="186"/>
      <c r="N216" s="42"/>
      <c r="O216" s="42"/>
      <c r="P216" s="42"/>
    </row>
    <row r="217" spans="1:16" ht="18" customHeight="1">
      <c r="A217" s="24"/>
      <c r="B217" s="24"/>
      <c r="C217" s="1"/>
      <c r="D217" s="1"/>
      <c r="E217" s="1"/>
      <c r="F217" s="1"/>
      <c r="G217" s="1"/>
      <c r="H217" s="1"/>
      <c r="I217" s="1"/>
      <c r="J217" s="1"/>
      <c r="K217" s="1"/>
      <c r="L217" s="25"/>
      <c r="M217" s="62"/>
      <c r="N217" s="25"/>
      <c r="O217" s="25"/>
      <c r="P217" s="25"/>
    </row>
    <row r="218" spans="1:16" ht="18" customHeight="1" thickBot="1">
      <c r="A218" s="38"/>
      <c r="B218" s="38"/>
      <c r="C218" s="43"/>
      <c r="D218" s="43"/>
      <c r="E218" s="43"/>
      <c r="F218" s="43"/>
      <c r="G218" s="43"/>
      <c r="H218" s="43"/>
      <c r="I218" s="43"/>
      <c r="J218" s="43"/>
      <c r="K218" s="235" t="s">
        <v>30</v>
      </c>
      <c r="L218" s="235"/>
      <c r="M218" s="235" t="s">
        <v>31</v>
      </c>
      <c r="N218" s="235"/>
      <c r="O218" s="44"/>
      <c r="P218" s="44"/>
    </row>
    <row r="219" spans="1:16" ht="6.95" customHeight="1" thickTop="1">
      <c r="A219" s="24"/>
      <c r="B219" s="24"/>
      <c r="C219" s="1"/>
      <c r="D219" s="1"/>
      <c r="E219" s="1"/>
      <c r="F219" s="1"/>
      <c r="G219" s="1"/>
      <c r="H219" s="1"/>
      <c r="I219" s="1"/>
      <c r="J219" s="1"/>
      <c r="K219" s="1"/>
      <c r="L219" s="25"/>
      <c r="M219" s="62"/>
      <c r="N219" s="25"/>
      <c r="O219" s="25"/>
      <c r="P219" s="25"/>
    </row>
    <row r="220" spans="1:16" ht="15" customHeight="1">
      <c r="A220" s="50" t="s">
        <v>192</v>
      </c>
      <c r="B220" s="50"/>
      <c r="C220" s="46"/>
      <c r="D220" s="46"/>
      <c r="E220" s="46"/>
      <c r="F220" s="46"/>
      <c r="G220" s="46"/>
      <c r="H220" s="46"/>
      <c r="I220" s="46"/>
      <c r="J220" s="46"/>
      <c r="K220" s="46" t="str">
        <f>IF(OR(ISBLANK(L220),L220=0),"",Settings!$B$14)</f>
        <v>$</v>
      </c>
      <c r="L220" s="32">
        <f>IF(OR(ISBLANK('Week 3'!L222),'Week 3'!L222=0),0,'Week 3'!L222)</f>
        <v>368.37625000000003</v>
      </c>
      <c r="M220" s="46" t="str">
        <f>IF(OR(ISBLANK(N220),N220=0),"",Settings!$B$14)</f>
        <v>$</v>
      </c>
      <c r="N220" s="32">
        <f>IF(OR(ISBLANK('Week 3'!N222),'Week 3'!N222=0),0,'Week 3'!N222)</f>
        <v>1408.7070000000001</v>
      </c>
      <c r="O220" s="28"/>
      <c r="P220" s="28"/>
    </row>
    <row r="221" spans="1:16" ht="15" customHeight="1">
      <c r="A221" s="50" t="s">
        <v>197</v>
      </c>
      <c r="B221" s="50"/>
      <c r="C221" s="46"/>
      <c r="D221" s="46"/>
      <c r="E221" s="46"/>
      <c r="F221" s="46"/>
      <c r="G221" s="46"/>
      <c r="H221" s="46"/>
      <c r="I221" s="46"/>
      <c r="J221" s="46"/>
      <c r="K221" s="46" t="str">
        <f>IF(OR(ISBLANK(L221),L221=0),"",Settings!$B$14)</f>
        <v>$</v>
      </c>
      <c r="L221" s="32">
        <f>IF(ISBLANK(J214),0,J214)</f>
        <v>237.59000000000003</v>
      </c>
      <c r="M221" s="46"/>
      <c r="N221" s="32"/>
      <c r="O221" s="28"/>
      <c r="P221" s="28"/>
    </row>
    <row r="222" spans="1:16" ht="15" customHeight="1">
      <c r="A222" s="50" t="s">
        <v>193</v>
      </c>
      <c r="B222" s="50"/>
      <c r="C222" s="46"/>
      <c r="D222" s="46"/>
      <c r="E222" s="46"/>
      <c r="F222" s="46"/>
      <c r="G222" s="46"/>
      <c r="H222" s="46"/>
      <c r="I222" s="46"/>
      <c r="J222" s="46"/>
      <c r="K222" s="46" t="str">
        <f>IF(OR(ISBLANK(L222),L222=0),"",Settings!$B$14)</f>
        <v>$</v>
      </c>
      <c r="L222" s="32">
        <f>IF(ISBLANK(L214),0,L214)</f>
        <v>364.34424999999999</v>
      </c>
      <c r="M222" s="46" t="str">
        <f>IF(OR(ISBLANK(N222),N222=0),"",Settings!$B$14)</f>
        <v>$</v>
      </c>
      <c r="N222" s="32">
        <f>IF(ISBLANK(N214),0,N214)</f>
        <v>1400.2020000000002</v>
      </c>
      <c r="O222" s="28"/>
      <c r="P222" s="28"/>
    </row>
    <row r="223" spans="1:16" ht="15" customHeight="1">
      <c r="A223" s="50" t="s">
        <v>194</v>
      </c>
      <c r="B223" s="50"/>
      <c r="C223" s="46"/>
      <c r="D223" s="46"/>
      <c r="E223" s="46"/>
      <c r="F223" s="46"/>
      <c r="G223" s="46"/>
      <c r="H223" s="46"/>
      <c r="I223" s="46"/>
      <c r="J223" s="46"/>
      <c r="K223" s="46" t="str">
        <f>IF(OR(ISBLANK(L223),L223=0),"",Settings!$B$14)</f>
        <v/>
      </c>
      <c r="L223" s="32"/>
      <c r="M223" s="46" t="str">
        <f>IF(OR(ISBLANK(N223),N223=0),"",Settings!$B$14)</f>
        <v>$</v>
      </c>
      <c r="N223" s="32">
        <f>IF(ISBLANK(P214),0,P214)</f>
        <v>2774.7049999999999</v>
      </c>
      <c r="O223" s="28"/>
      <c r="P223" s="28"/>
    </row>
    <row r="224" spans="1:16" ht="15" customHeight="1">
      <c r="A224" s="50" t="str">
        <f>"WEEKLY SALES from POS inc "&amp;UPPER(Settings!B10)</f>
        <v>WEEKLY SALES from POS inc SALES TAX</v>
      </c>
      <c r="B224" s="50"/>
      <c r="C224" s="46"/>
      <c r="D224" s="46"/>
      <c r="E224" s="46"/>
      <c r="F224" s="46"/>
      <c r="G224" s="46"/>
      <c r="H224" s="46"/>
      <c r="I224" s="46"/>
      <c r="J224" s="46"/>
      <c r="K224" s="46" t="str">
        <f>IF(OR(ISBLANK(L224),L224=0),"",Settings!$B$14)</f>
        <v/>
      </c>
      <c r="L224" s="32"/>
      <c r="M224" s="46" t="str">
        <f>IF(OR(ISBLANK(N224),N224=0),"",Settings!$B$14)</f>
        <v>$</v>
      </c>
      <c r="N224" s="32">
        <f>Budget!$I$22</f>
        <v>4141</v>
      </c>
      <c r="O224" s="28"/>
      <c r="P224" s="28"/>
    </row>
    <row r="225" spans="1:16" ht="15" customHeight="1">
      <c r="A225" s="50" t="s">
        <v>195</v>
      </c>
      <c r="B225" s="50"/>
      <c r="C225" s="46"/>
      <c r="D225" s="46"/>
      <c r="E225" s="46"/>
      <c r="F225" s="46"/>
      <c r="G225" s="46"/>
      <c r="H225" s="46"/>
      <c r="I225" s="46"/>
      <c r="J225" s="46"/>
      <c r="K225" s="46" t="str">
        <f>IF(OR(ISBLANK(L225),L225=0),"",Settings!$B$14)</f>
        <v/>
      </c>
      <c r="L225" s="32"/>
      <c r="M225" s="46" t="str">
        <f>IF(OR(ISBLANK(N225),N225=0),"",Settings!$B$14)</f>
        <v>$</v>
      </c>
      <c r="N225" s="32">
        <f>N224/(1+Settings!$B$12/1)</f>
        <v>3450.8333333333335</v>
      </c>
      <c r="O225" s="28"/>
      <c r="P225" s="28"/>
    </row>
    <row r="226" spans="1:16" ht="6.95" customHeight="1">
      <c r="A226" s="50"/>
      <c r="B226" s="50"/>
      <c r="C226" s="46"/>
      <c r="D226" s="46"/>
      <c r="E226" s="46"/>
      <c r="F226" s="46"/>
      <c r="G226" s="46"/>
      <c r="H226" s="46"/>
      <c r="I226" s="46"/>
      <c r="J226" s="46"/>
      <c r="K226" s="46"/>
      <c r="L226" s="32"/>
      <c r="M226" s="46"/>
      <c r="N226" s="32"/>
      <c r="O226" s="28"/>
      <c r="P226" s="28"/>
    </row>
    <row r="227" spans="1:16" ht="15" customHeight="1">
      <c r="A227" s="181" t="s">
        <v>196</v>
      </c>
      <c r="B227" s="181"/>
      <c r="C227" s="199"/>
      <c r="D227" s="199"/>
      <c r="E227" s="199"/>
      <c r="F227" s="199"/>
      <c r="G227" s="199"/>
      <c r="H227" s="199"/>
      <c r="I227" s="199"/>
      <c r="J227" s="199"/>
      <c r="K227" s="199"/>
      <c r="L227" s="34"/>
      <c r="M227" s="256">
        <f>IF(N224=0,"",1-((L220+L221-L222)/N225))</f>
        <v>0.92998155035015695</v>
      </c>
      <c r="N227" s="256"/>
      <c r="O227" s="200"/>
      <c r="P227" s="200"/>
    </row>
    <row r="228" spans="1:16" ht="6.95" customHeight="1" thickBot="1">
      <c r="A228" s="24"/>
      <c r="B228" s="24"/>
      <c r="C228" s="1"/>
      <c r="D228" s="1"/>
      <c r="E228" s="1"/>
      <c r="F228" s="1"/>
      <c r="G228" s="1"/>
      <c r="H228" s="1"/>
      <c r="I228" s="1"/>
      <c r="J228" s="1"/>
      <c r="K228" s="1"/>
      <c r="L228" s="25"/>
      <c r="M228" s="62"/>
      <c r="N228" s="25"/>
      <c r="O228" s="25"/>
      <c r="P228" s="25"/>
    </row>
    <row r="229" spans="1:16" ht="18" customHeight="1" thickTop="1">
      <c r="A229" s="174"/>
      <c r="B229" s="174"/>
      <c r="C229" s="167"/>
      <c r="D229" s="167"/>
      <c r="E229" s="167"/>
      <c r="F229" s="167"/>
      <c r="G229" s="167"/>
      <c r="H229" s="167"/>
      <c r="I229" s="167"/>
      <c r="J229" s="167"/>
      <c r="K229" s="167"/>
      <c r="L229" s="175"/>
      <c r="M229" s="167"/>
      <c r="N229" s="167"/>
      <c r="O229" s="167"/>
      <c r="P229" s="167"/>
    </row>
    <row r="230" spans="1:16" ht="5.0999999999999996" customHeight="1">
      <c r="C230" s="72"/>
      <c r="D230" s="72"/>
      <c r="E230" s="53"/>
      <c r="F230" s="53"/>
      <c r="G230" s="53"/>
      <c r="H230" s="53"/>
      <c r="I230" s="53"/>
      <c r="J230" s="53"/>
      <c r="K230" s="53"/>
      <c r="L230" s="62"/>
      <c r="M230" s="62"/>
      <c r="N230" s="62"/>
      <c r="O230" s="62"/>
      <c r="P230" s="62"/>
    </row>
  </sheetData>
  <sheetProtection password="F349" sheet="1" objects="1" scenarios="1" selectLockedCells="1"/>
  <protectedRanges>
    <protectedRange sqref="E12:G55" name="Spirits"/>
    <protectedRange sqref="E59:G72" name="Fortified Wines"/>
    <protectedRange sqref="E76:G97" name="Table Wines"/>
    <protectedRange sqref="E101:G106" name="Draught Beer"/>
    <protectedRange sqref="E110:G115" name="Draught Lager"/>
    <protectedRange sqref="E138:G146 E119:G134" name="Bottled Beer"/>
    <protectedRange sqref="E189:G196 E150:G169 E173:G178 E182:G185" name="Minerals"/>
    <protectedRange sqref="E186:G186 E197:G197 E199:G223" name="Containers"/>
  </protectedRanges>
  <mergeCells count="57">
    <mergeCell ref="C8:H8"/>
    <mergeCell ref="K10:L10"/>
    <mergeCell ref="M10:N10"/>
    <mergeCell ref="O10:P10"/>
    <mergeCell ref="K57:L57"/>
    <mergeCell ref="M57:N57"/>
    <mergeCell ref="O57:P57"/>
    <mergeCell ref="I8:P8"/>
    <mergeCell ref="I10:J10"/>
    <mergeCell ref="I57:J57"/>
    <mergeCell ref="I99:J99"/>
    <mergeCell ref="K99:L99"/>
    <mergeCell ref="M99:N99"/>
    <mergeCell ref="O99:P99"/>
    <mergeCell ref="I74:J74"/>
    <mergeCell ref="K74:L74"/>
    <mergeCell ref="M74:N74"/>
    <mergeCell ref="O74:P74"/>
    <mergeCell ref="I117:J117"/>
    <mergeCell ref="K117:L117"/>
    <mergeCell ref="M117:N117"/>
    <mergeCell ref="O117:P117"/>
    <mergeCell ref="I108:J108"/>
    <mergeCell ref="K108:L108"/>
    <mergeCell ref="M108:N108"/>
    <mergeCell ref="O108:P108"/>
    <mergeCell ref="I148:J148"/>
    <mergeCell ref="K148:L148"/>
    <mergeCell ref="M148:N148"/>
    <mergeCell ref="O148:P148"/>
    <mergeCell ref="I136:J136"/>
    <mergeCell ref="K136:L136"/>
    <mergeCell ref="M136:N136"/>
    <mergeCell ref="O136:P136"/>
    <mergeCell ref="I180:J180"/>
    <mergeCell ref="K180:L180"/>
    <mergeCell ref="M180:N180"/>
    <mergeCell ref="O180:P180"/>
    <mergeCell ref="I171:J171"/>
    <mergeCell ref="K171:L171"/>
    <mergeCell ref="M171:N171"/>
    <mergeCell ref="O171:P171"/>
    <mergeCell ref="M227:N227"/>
    <mergeCell ref="K200:L200"/>
    <mergeCell ref="M200:N200"/>
    <mergeCell ref="O200:P200"/>
    <mergeCell ref="I187:J187"/>
    <mergeCell ref="K187:L187"/>
    <mergeCell ref="M187:N187"/>
    <mergeCell ref="O187:P187"/>
    <mergeCell ref="K218:L218"/>
    <mergeCell ref="M218:N218"/>
    <mergeCell ref="I200:J200"/>
    <mergeCell ref="I198:J198"/>
    <mergeCell ref="K198:L198"/>
    <mergeCell ref="M198:N198"/>
    <mergeCell ref="O198:P198"/>
  </mergeCells>
  <phoneticPr fontId="5" type="noConversion"/>
  <pageMargins left="0.15748031496062992" right="0.15748031496062992" top="0.19685039370078741" bottom="0.19685039370078741" header="0.51181102362204722" footer="0.51181102362204722"/>
  <pageSetup paperSize="9" scale="9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0"/>
  <sheetViews>
    <sheetView showGridLines="0" workbookViewId="0">
      <pane ySplit="8" topLeftCell="A9" activePane="bottomLeft" state="frozen"/>
      <selection pane="bottomLeft" activeCell="C12" sqref="C12"/>
    </sheetView>
  </sheetViews>
  <sheetFormatPr defaultRowHeight="12.75"/>
  <cols>
    <col min="1" max="1" width="28.5703125" style="52" customWidth="1"/>
    <col min="2" max="2" width="21.28515625" style="52" customWidth="1"/>
    <col min="3" max="3" width="10.7109375" style="52" customWidth="1"/>
    <col min="4" max="4" width="1.7109375" style="52" customWidth="1"/>
    <col min="5" max="8" width="10.7109375" style="52" customWidth="1"/>
    <col min="9" max="9" width="3.7109375" style="52" customWidth="1"/>
    <col min="10" max="10" width="13.140625" style="52" customWidth="1"/>
    <col min="11" max="11" width="3.7109375" style="52" customWidth="1"/>
    <col min="12" max="12" width="9.7109375" style="52" customWidth="1"/>
    <col min="13" max="13" width="3.7109375" style="52" customWidth="1"/>
    <col min="14" max="14" width="9.7109375" style="52" customWidth="1"/>
    <col min="15" max="15" width="3.7109375" style="52" customWidth="1"/>
    <col min="16" max="16" width="9.7109375" style="52" customWidth="1"/>
    <col min="17" max="16384" width="9.140625" style="52"/>
  </cols>
  <sheetData>
    <row r="1" spans="1:16" s="45" customFormat="1" ht="54.95" customHeight="1">
      <c r="A1" s="104" t="s">
        <v>230</v>
      </c>
      <c r="B1" s="105"/>
      <c r="C1" s="106"/>
      <c r="D1" s="106"/>
      <c r="E1" s="106"/>
      <c r="F1" s="106"/>
      <c r="G1" s="106"/>
      <c r="H1" s="106"/>
      <c r="I1" s="106"/>
      <c r="J1" s="106"/>
      <c r="K1" s="106"/>
      <c r="L1" s="107"/>
      <c r="M1" s="134"/>
      <c r="N1" s="188"/>
      <c r="O1" s="188"/>
      <c r="P1" s="188"/>
    </row>
    <row r="2" spans="1:16" s="45" customFormat="1" ht="33.75" customHeight="1">
      <c r="A2" s="108" t="str">
        <f>IF(Settings!$E$5="Enable",Settings!$B$5,"")</f>
        <v>My Company name</v>
      </c>
      <c r="B2" s="126"/>
      <c r="C2" s="126"/>
      <c r="D2" s="126"/>
      <c r="E2" s="126"/>
      <c r="F2" s="126"/>
      <c r="G2" s="126"/>
      <c r="H2" s="126"/>
      <c r="I2" s="126"/>
      <c r="J2" s="126"/>
      <c r="K2" s="126"/>
      <c r="L2" s="126"/>
      <c r="M2" s="126"/>
      <c r="N2" s="126"/>
      <c r="O2" s="126"/>
      <c r="P2" s="90"/>
    </row>
    <row r="3" spans="1:16" ht="18" customHeight="1">
      <c r="A3" s="111" t="str">
        <f>IF(Settings!$E$6="Enable",Settings!$B$6,"")</f>
        <v>My company slogan</v>
      </c>
      <c r="B3" s="57"/>
      <c r="C3" s="57"/>
      <c r="D3" s="57"/>
      <c r="E3" s="57"/>
      <c r="F3" s="57"/>
      <c r="G3" s="57"/>
      <c r="H3" s="57"/>
      <c r="I3" s="57"/>
      <c r="J3" s="57"/>
      <c r="K3" s="57"/>
      <c r="L3" s="57"/>
      <c r="M3" s="58"/>
      <c r="P3" s="63"/>
    </row>
    <row r="4" spans="1:16" ht="15" customHeight="1">
      <c r="A4" s="59"/>
      <c r="B4" s="59"/>
      <c r="C4" s="59"/>
      <c r="D4" s="59"/>
      <c r="E4" s="59"/>
      <c r="F4" s="59"/>
      <c r="G4" s="59"/>
      <c r="H4" s="59"/>
      <c r="I4" s="59"/>
      <c r="J4" s="59"/>
      <c r="K4" s="59"/>
      <c r="L4" s="59"/>
      <c r="N4" s="59"/>
      <c r="O4" s="59"/>
      <c r="P4" s="116" t="s">
        <v>229</v>
      </c>
    </row>
    <row r="5" spans="1:16" ht="15" customHeight="1">
      <c r="A5" s="59"/>
      <c r="B5" s="59"/>
      <c r="C5" s="59"/>
      <c r="D5" s="59"/>
      <c r="E5" s="59"/>
      <c r="F5" s="59"/>
      <c r="G5" s="59"/>
      <c r="H5" s="59"/>
      <c r="I5" s="59"/>
      <c r="J5" s="59"/>
      <c r="K5" s="59"/>
      <c r="L5" s="59"/>
      <c r="N5" s="59"/>
      <c r="O5" s="59"/>
      <c r="P5" s="58"/>
    </row>
    <row r="6" spans="1:16" s="50" customFormat="1" ht="30" customHeight="1">
      <c r="A6" s="64" t="s">
        <v>202</v>
      </c>
      <c r="B6" s="64"/>
      <c r="C6" s="64"/>
      <c r="D6" s="64"/>
      <c r="E6" s="64"/>
      <c r="F6" s="189"/>
      <c r="G6" s="189"/>
      <c r="H6" s="189"/>
      <c r="I6" s="189"/>
      <c r="J6" s="189"/>
      <c r="K6" s="189"/>
      <c r="L6" s="189"/>
      <c r="M6" s="189"/>
      <c r="N6" s="189"/>
      <c r="O6" s="189"/>
      <c r="P6" s="189"/>
    </row>
    <row r="7" spans="1:16" ht="12.75" customHeight="1">
      <c r="A7" s="65"/>
      <c r="B7" s="65"/>
      <c r="C7" s="65"/>
      <c r="D7" s="65"/>
      <c r="E7" s="65"/>
      <c r="F7" s="65"/>
      <c r="G7" s="65"/>
      <c r="H7" s="65"/>
      <c r="I7" s="65"/>
      <c r="J7" s="65"/>
      <c r="K7" s="65"/>
      <c r="L7" s="65"/>
      <c r="M7" s="65"/>
      <c r="N7" s="65"/>
      <c r="O7" s="65"/>
      <c r="P7" s="65"/>
    </row>
    <row r="8" spans="1:16" s="190" customFormat="1" ht="18" customHeight="1">
      <c r="A8" s="74" t="s">
        <v>182</v>
      </c>
      <c r="B8" s="74" t="s">
        <v>164</v>
      </c>
      <c r="C8" s="236" t="s">
        <v>118</v>
      </c>
      <c r="D8" s="236"/>
      <c r="E8" s="236"/>
      <c r="F8" s="236"/>
      <c r="G8" s="236"/>
      <c r="H8" s="236"/>
      <c r="I8" s="236" t="s">
        <v>183</v>
      </c>
      <c r="J8" s="236"/>
      <c r="K8" s="236"/>
      <c r="L8" s="236"/>
      <c r="M8" s="236"/>
      <c r="N8" s="236"/>
      <c r="O8" s="236"/>
      <c r="P8" s="236"/>
    </row>
    <row r="9" spans="1:16" ht="6.95" customHeight="1">
      <c r="C9" s="62"/>
      <c r="D9" s="62"/>
      <c r="E9" s="62"/>
      <c r="F9" s="62"/>
      <c r="G9" s="62"/>
      <c r="H9" s="62"/>
      <c r="I9" s="62"/>
      <c r="J9" s="62"/>
      <c r="K9" s="62"/>
      <c r="L9" s="62"/>
      <c r="M9" s="62"/>
      <c r="N9" s="62"/>
      <c r="O9" s="62"/>
      <c r="P9" s="62"/>
    </row>
    <row r="10" spans="1:16" s="50" customFormat="1" ht="18" customHeight="1" thickBot="1">
      <c r="A10" s="78" t="str">
        <f>Inventory!A10</f>
        <v>SPIRITS</v>
      </c>
      <c r="B10" s="78" t="str">
        <f>Inventory!C10</f>
        <v>VOLUME</v>
      </c>
      <c r="C10" s="22" t="s">
        <v>187</v>
      </c>
      <c r="D10" s="22"/>
      <c r="E10" s="22" t="s">
        <v>101</v>
      </c>
      <c r="F10" s="22" t="s">
        <v>102</v>
      </c>
      <c r="G10" s="23" t="s">
        <v>108</v>
      </c>
      <c r="H10" s="79" t="s">
        <v>119</v>
      </c>
      <c r="I10" s="253" t="s">
        <v>190</v>
      </c>
      <c r="J10" s="253"/>
      <c r="K10" s="235" t="s">
        <v>30</v>
      </c>
      <c r="L10" s="235"/>
      <c r="M10" s="235" t="s">
        <v>31</v>
      </c>
      <c r="N10" s="235"/>
      <c r="O10" s="235" t="s">
        <v>189</v>
      </c>
      <c r="P10" s="235"/>
    </row>
    <row r="11" spans="1:16" s="50" customFormat="1" ht="6.95" customHeight="1" thickTop="1">
      <c r="C11" s="20"/>
      <c r="D11" s="20"/>
      <c r="E11" s="20"/>
      <c r="F11" s="20"/>
      <c r="G11" s="46"/>
      <c r="H11" s="191"/>
      <c r="I11" s="191"/>
      <c r="J11" s="191"/>
      <c r="K11" s="20"/>
      <c r="L11" s="20"/>
      <c r="M11" s="20"/>
      <c r="N11" s="20"/>
      <c r="O11" s="20"/>
      <c r="P11" s="20"/>
    </row>
    <row r="12" spans="1:16" s="29" customFormat="1" ht="15" customHeight="1">
      <c r="A12" s="31" t="str">
        <f>IF(ISBLANK(Inventory!A12),"",Inventory!A12)</f>
        <v>Teachers</v>
      </c>
      <c r="B12" s="31" t="str">
        <f>IF(ISBLANK(Inventory!A12),"",Inventory!C12)</f>
        <v>70cl</v>
      </c>
      <c r="C12" s="187">
        <v>1</v>
      </c>
      <c r="D12" s="192"/>
      <c r="E12" s="187">
        <v>1</v>
      </c>
      <c r="F12" s="187"/>
      <c r="G12" s="187"/>
      <c r="H12" s="37">
        <f>IF(ISBLANK(Inventory!A12),0,C12+SUM('Week 4'!E12:G12)-SUM(E12:G12))</f>
        <v>1</v>
      </c>
      <c r="I12" s="35" t="str">
        <f>IF(OR(ISBLANK(J12),J12=0),"",Settings!$B$14)</f>
        <v>$</v>
      </c>
      <c r="J12" s="30">
        <f>IF(ISBLANK(C12),0,C12*Inventory!F12)</f>
        <v>21.35</v>
      </c>
      <c r="K12" s="35" t="str">
        <f>IF(OR(ISBLANK(L12),L12=0),"",Settings!$B$14)</f>
        <v>$</v>
      </c>
      <c r="L12" s="30">
        <f>IF(ISBLANK(Inventory!A12),0,SUM(E12:G12)*Inventory!F12)</f>
        <v>21.35</v>
      </c>
      <c r="M12" s="35" t="str">
        <f>IF(OR(ISBLANK(N12),N12=0),"",Settings!$B$14)</f>
        <v>$</v>
      </c>
      <c r="N12" s="30">
        <f>IF(ISBLANK(Inventory!A12),0,SUM(E12:G12)*Inventory!L12)</f>
        <v>80.92</v>
      </c>
      <c r="O12" s="35" t="str">
        <f>IF(OR(ISBLANK(P12),P12=0),"",Settings!$B$14)</f>
        <v>$</v>
      </c>
      <c r="P12" s="30">
        <f>IF(ISBLANK(Inventory!A12),0,H12*Inventory!L12)</f>
        <v>80.92</v>
      </c>
    </row>
    <row r="13" spans="1:16" s="29" customFormat="1" ht="15" customHeight="1">
      <c r="A13" s="31" t="str">
        <f>IF(ISBLANK(Inventory!A13),"",Inventory!A13)</f>
        <v>Bells</v>
      </c>
      <c r="B13" s="31" t="str">
        <f>IF(ISBLANK(Inventory!A13),"",Inventory!C13)</f>
        <v>70cl</v>
      </c>
      <c r="C13" s="187"/>
      <c r="D13" s="192"/>
      <c r="E13" s="187"/>
      <c r="F13" s="187"/>
      <c r="G13" s="187"/>
      <c r="H13" s="37">
        <f>IF(ISBLANK(Inventory!A13),0,C13+SUM('Week 4'!E13:G13)-SUM(E13:G13))</f>
        <v>0</v>
      </c>
      <c r="I13" s="35" t="str">
        <f>IF(OR(ISBLANK(J13),J13=0),"",Settings!$B$14)</f>
        <v/>
      </c>
      <c r="J13" s="30">
        <f>IF(ISBLANK(C13),0,C13*Inventory!F13)</f>
        <v>0</v>
      </c>
      <c r="K13" s="35" t="str">
        <f>IF(OR(ISBLANK(L13),L13=0),"",Settings!$B$14)</f>
        <v/>
      </c>
      <c r="L13" s="30">
        <f>IF(ISBLANK(Inventory!A13),0,SUM(E13:G13)*Inventory!F13)</f>
        <v>0</v>
      </c>
      <c r="M13" s="35" t="str">
        <f>IF(OR(ISBLANK(N13),N13=0),"",Settings!$B$14)</f>
        <v/>
      </c>
      <c r="N13" s="30">
        <f>IF(ISBLANK(Inventory!A13),0,SUM(E13:G13)*Inventory!L13)</f>
        <v>0</v>
      </c>
      <c r="O13" s="35" t="str">
        <f>IF(OR(ISBLANK(P13),P13=0),"",Settings!$B$14)</f>
        <v/>
      </c>
      <c r="P13" s="30">
        <f>IF(ISBLANK(Inventory!A13),0,H13*Inventory!L13)</f>
        <v>0</v>
      </c>
    </row>
    <row r="14" spans="1:16" s="29" customFormat="1" ht="15" customHeight="1">
      <c r="A14" s="31" t="str">
        <f>IF(ISBLANK(Inventory!A14),"",Inventory!A14)</f>
        <v>Bells</v>
      </c>
      <c r="B14" s="31" t="str">
        <f>IF(ISBLANK(Inventory!A14),"",Inventory!C14)</f>
        <v>1.5ltr</v>
      </c>
      <c r="C14" s="187"/>
      <c r="D14" s="192"/>
      <c r="E14" s="187"/>
      <c r="F14" s="187"/>
      <c r="G14" s="187"/>
      <c r="H14" s="37">
        <f>IF(ISBLANK(Inventory!A14),0,C14+SUM('Week 4'!E14:G14)-SUM(E14:G14))</f>
        <v>0</v>
      </c>
      <c r="I14" s="35" t="str">
        <f>IF(OR(ISBLANK(J14),J14=0),"",Settings!$B$14)</f>
        <v/>
      </c>
      <c r="J14" s="30">
        <f>IF(ISBLANK(C14),0,C14*Inventory!F14)</f>
        <v>0</v>
      </c>
      <c r="K14" s="35" t="str">
        <f>IF(OR(ISBLANK(L14),L14=0),"",Settings!$B$14)</f>
        <v/>
      </c>
      <c r="L14" s="30">
        <f>IF(ISBLANK(Inventory!A14),0,SUM(E14:G14)*Inventory!F14)</f>
        <v>0</v>
      </c>
      <c r="M14" s="35" t="str">
        <f>IF(OR(ISBLANK(N14),N14=0),"",Settings!$B$14)</f>
        <v/>
      </c>
      <c r="N14" s="30">
        <f>IF(ISBLANK(Inventory!A14),0,SUM(E14:G14)*Inventory!L14)</f>
        <v>0</v>
      </c>
      <c r="O14" s="35" t="str">
        <f>IF(OR(ISBLANK(P14),P14=0),"",Settings!$B$14)</f>
        <v/>
      </c>
      <c r="P14" s="30">
        <f>IF(ISBLANK(Inventory!A14),0,H14*Inventory!L14)</f>
        <v>0</v>
      </c>
    </row>
    <row r="15" spans="1:16" s="29" customFormat="1" ht="15" customHeight="1">
      <c r="A15" s="31" t="str">
        <f>IF(ISBLANK(Inventory!A15),"",Inventory!A15)</f>
        <v>Glenfiddich</v>
      </c>
      <c r="B15" s="31" t="str">
        <f>IF(ISBLANK(Inventory!A15),"",Inventory!C15)</f>
        <v>75cl</v>
      </c>
      <c r="C15" s="187"/>
      <c r="D15" s="192"/>
      <c r="E15" s="187"/>
      <c r="F15" s="187"/>
      <c r="G15" s="187"/>
      <c r="H15" s="37">
        <f>IF(ISBLANK(Inventory!A15),0,C15+SUM('Week 4'!E15:G15)-SUM(E15:G15))</f>
        <v>0</v>
      </c>
      <c r="I15" s="35" t="str">
        <f>IF(OR(ISBLANK(J15),J15=0),"",Settings!$B$14)</f>
        <v/>
      </c>
      <c r="J15" s="30">
        <f>IF(ISBLANK(C15),0,C15*Inventory!F15)</f>
        <v>0</v>
      </c>
      <c r="K15" s="35" t="str">
        <f>IF(OR(ISBLANK(L15),L15=0),"",Settings!$B$14)</f>
        <v/>
      </c>
      <c r="L15" s="30">
        <f>IF(ISBLANK(Inventory!A15),0,SUM(E15:G15)*Inventory!F15)</f>
        <v>0</v>
      </c>
      <c r="M15" s="35" t="str">
        <f>IF(OR(ISBLANK(N15),N15=0),"",Settings!$B$14)</f>
        <v/>
      </c>
      <c r="N15" s="30">
        <f>IF(ISBLANK(Inventory!A15),0,SUM(E15:G15)*Inventory!L15)</f>
        <v>0</v>
      </c>
      <c r="O15" s="35" t="str">
        <f>IF(OR(ISBLANK(P15),P15=0),"",Settings!$B$14)</f>
        <v/>
      </c>
      <c r="P15" s="30">
        <f>IF(ISBLANK(Inventory!A15),0,H15*Inventory!L15)</f>
        <v>0</v>
      </c>
    </row>
    <row r="16" spans="1:16" s="29" customFormat="1" ht="15" customHeight="1">
      <c r="A16" s="31" t="str">
        <f>IF(ISBLANK(Inventory!A16),"",Inventory!A16)</f>
        <v>Glenmorangie</v>
      </c>
      <c r="B16" s="31" t="str">
        <f>IF(ISBLANK(Inventory!A16),"",Inventory!C16)</f>
        <v>70cl</v>
      </c>
      <c r="C16" s="187"/>
      <c r="D16" s="192"/>
      <c r="E16" s="187"/>
      <c r="F16" s="187"/>
      <c r="G16" s="187"/>
      <c r="H16" s="37">
        <f>IF(ISBLANK(Inventory!A16),0,C16+SUM('Week 4'!E16:G16)-SUM(E16:G16))</f>
        <v>0</v>
      </c>
      <c r="I16" s="35" t="str">
        <f>IF(OR(ISBLANK(J16),J16=0),"",Settings!$B$14)</f>
        <v/>
      </c>
      <c r="J16" s="30">
        <f>IF(ISBLANK(C16),0,C16*Inventory!F16)</f>
        <v>0</v>
      </c>
      <c r="K16" s="35" t="str">
        <f>IF(OR(ISBLANK(L16),L16=0),"",Settings!$B$14)</f>
        <v/>
      </c>
      <c r="L16" s="30">
        <f>IF(ISBLANK(Inventory!A16),0,SUM(E16:G16)*Inventory!F16)</f>
        <v>0</v>
      </c>
      <c r="M16" s="35" t="str">
        <f>IF(OR(ISBLANK(N16),N16=0),"",Settings!$B$14)</f>
        <v/>
      </c>
      <c r="N16" s="30">
        <f>IF(ISBLANK(Inventory!A16),0,SUM(E16:G16)*Inventory!L16)</f>
        <v>0</v>
      </c>
      <c r="O16" s="35" t="str">
        <f>IF(OR(ISBLANK(P16),P16=0),"",Settings!$B$14)</f>
        <v/>
      </c>
      <c r="P16" s="30">
        <f>IF(ISBLANK(Inventory!A16),0,H16*Inventory!L16)</f>
        <v>0</v>
      </c>
    </row>
    <row r="17" spans="1:16" s="29" customFormat="1" ht="15" customHeight="1">
      <c r="A17" s="31" t="str">
        <f>IF(ISBLANK(Inventory!A17),"",Inventory!A17)</f>
        <v>Jack Daniels</v>
      </c>
      <c r="B17" s="31" t="str">
        <f>IF(ISBLANK(Inventory!A17),"",Inventory!C17)</f>
        <v>70cl</v>
      </c>
      <c r="C17" s="187"/>
      <c r="D17" s="192"/>
      <c r="E17" s="187"/>
      <c r="F17" s="187"/>
      <c r="G17" s="187"/>
      <c r="H17" s="37">
        <f>IF(ISBLANK(Inventory!A17),0,C17+SUM('Week 4'!E17:G17)-SUM(E17:G17))</f>
        <v>0</v>
      </c>
      <c r="I17" s="35" t="str">
        <f>IF(OR(ISBLANK(J17),J17=0),"",Settings!$B$14)</f>
        <v/>
      </c>
      <c r="J17" s="30">
        <f>IF(ISBLANK(C17),0,C17*Inventory!F17)</f>
        <v>0</v>
      </c>
      <c r="K17" s="35" t="str">
        <f>IF(OR(ISBLANK(L17),L17=0),"",Settings!$B$14)</f>
        <v/>
      </c>
      <c r="L17" s="30">
        <f>IF(ISBLANK(Inventory!A17),0,SUM(E17:G17)*Inventory!F17)</f>
        <v>0</v>
      </c>
      <c r="M17" s="35" t="str">
        <f>IF(OR(ISBLANK(N17),N17=0),"",Settings!$B$14)</f>
        <v/>
      </c>
      <c r="N17" s="30">
        <f>IF(ISBLANK(Inventory!A17),0,SUM(E17:G17)*Inventory!L17)</f>
        <v>0</v>
      </c>
      <c r="O17" s="35" t="str">
        <f>IF(OR(ISBLANK(P17),P17=0),"",Settings!$B$14)</f>
        <v/>
      </c>
      <c r="P17" s="30">
        <f>IF(ISBLANK(Inventory!A17),0,H17*Inventory!L17)</f>
        <v>0</v>
      </c>
    </row>
    <row r="18" spans="1:16" s="29" customFormat="1" ht="15" customHeight="1">
      <c r="A18" s="31" t="str">
        <f>IF(ISBLANK(Inventory!A18),"",Inventory!A18)</f>
        <v>Jack Daniels</v>
      </c>
      <c r="B18" s="31" t="str">
        <f>IF(ISBLANK(Inventory!A18),"",Inventory!C18)</f>
        <v>1.5Ltr</v>
      </c>
      <c r="C18" s="187"/>
      <c r="D18" s="192"/>
      <c r="E18" s="187"/>
      <c r="F18" s="187"/>
      <c r="G18" s="187"/>
      <c r="H18" s="37">
        <f>IF(ISBLANK(Inventory!A18),0,C18+SUM('Week 4'!E18:G18)-SUM(E18:G18))</f>
        <v>0</v>
      </c>
      <c r="I18" s="35" t="str">
        <f>IF(OR(ISBLANK(J18),J18=0),"",Settings!$B$14)</f>
        <v/>
      </c>
      <c r="J18" s="30">
        <f>IF(ISBLANK(C18),0,C18*Inventory!F18)</f>
        <v>0</v>
      </c>
      <c r="K18" s="35" t="str">
        <f>IF(OR(ISBLANK(L18),L18=0),"",Settings!$B$14)</f>
        <v/>
      </c>
      <c r="L18" s="30">
        <f>IF(ISBLANK(Inventory!A18),0,SUM(E18:G18)*Inventory!F18)</f>
        <v>0</v>
      </c>
      <c r="M18" s="35" t="str">
        <f>IF(OR(ISBLANK(N18),N18=0),"",Settings!$B$14)</f>
        <v/>
      </c>
      <c r="N18" s="30">
        <f>IF(ISBLANK(Inventory!A18),0,SUM(E18:G18)*Inventory!L18)</f>
        <v>0</v>
      </c>
      <c r="O18" s="35" t="str">
        <f>IF(OR(ISBLANK(P18),P18=0),"",Settings!$B$14)</f>
        <v/>
      </c>
      <c r="P18" s="30">
        <f>IF(ISBLANK(Inventory!A18),0,H18*Inventory!L18)</f>
        <v>0</v>
      </c>
    </row>
    <row r="19" spans="1:16" s="29" customFormat="1" ht="15" customHeight="1">
      <c r="A19" s="31" t="str">
        <f>IF(ISBLANK(Inventory!A19),"",Inventory!A19)</f>
        <v>Jim Beam</v>
      </c>
      <c r="B19" s="31" t="str">
        <f>IF(ISBLANK(Inventory!A19),"",Inventory!C19)</f>
        <v>70cl</v>
      </c>
      <c r="C19" s="187"/>
      <c r="D19" s="192"/>
      <c r="E19" s="187"/>
      <c r="F19" s="187"/>
      <c r="G19" s="187"/>
      <c r="H19" s="37">
        <f>IF(ISBLANK(Inventory!A19),0,C19+SUM('Week 4'!E19:G19)-SUM(E19:G19))</f>
        <v>0</v>
      </c>
      <c r="I19" s="35" t="str">
        <f>IF(OR(ISBLANK(J19),J19=0),"",Settings!$B$14)</f>
        <v/>
      </c>
      <c r="J19" s="30">
        <f>IF(ISBLANK(C19),0,C19*Inventory!F19)</f>
        <v>0</v>
      </c>
      <c r="K19" s="35" t="str">
        <f>IF(OR(ISBLANK(L19),L19=0),"",Settings!$B$14)</f>
        <v/>
      </c>
      <c r="L19" s="30">
        <f>IF(ISBLANK(Inventory!A19),0,SUM(E19:G19)*Inventory!F19)</f>
        <v>0</v>
      </c>
      <c r="M19" s="35" t="str">
        <f>IF(OR(ISBLANK(N19),N19=0),"",Settings!$B$14)</f>
        <v/>
      </c>
      <c r="N19" s="30">
        <f>IF(ISBLANK(Inventory!A19),0,SUM(E19:G19)*Inventory!L19)</f>
        <v>0</v>
      </c>
      <c r="O19" s="35" t="str">
        <f>IF(OR(ISBLANK(P19),P19=0),"",Settings!$B$14)</f>
        <v/>
      </c>
      <c r="P19" s="30">
        <f>IF(ISBLANK(Inventory!A19),0,H19*Inventory!L19)</f>
        <v>0</v>
      </c>
    </row>
    <row r="20" spans="1:16" s="29" customFormat="1" ht="15" customHeight="1">
      <c r="A20" s="31" t="str">
        <f>IF(ISBLANK(Inventory!A20),"",Inventory!A20)</f>
        <v>Jameson's Irish</v>
      </c>
      <c r="B20" s="31" t="str">
        <f>IF(ISBLANK(Inventory!A20),"",Inventory!C20)</f>
        <v>70cl</v>
      </c>
      <c r="C20" s="187"/>
      <c r="D20" s="192"/>
      <c r="E20" s="187"/>
      <c r="F20" s="187"/>
      <c r="G20" s="187"/>
      <c r="H20" s="37">
        <f>IF(ISBLANK(Inventory!A20),0,C20+SUM('Week 4'!E20:G20)-SUM(E20:G20))</f>
        <v>0</v>
      </c>
      <c r="I20" s="35" t="str">
        <f>IF(OR(ISBLANK(J20),J20=0),"",Settings!$B$14)</f>
        <v/>
      </c>
      <c r="J20" s="30">
        <f>IF(ISBLANK(C20),0,C20*Inventory!F20)</f>
        <v>0</v>
      </c>
      <c r="K20" s="35" t="str">
        <f>IF(OR(ISBLANK(L20),L20=0),"",Settings!$B$14)</f>
        <v/>
      </c>
      <c r="L20" s="30">
        <f>IF(ISBLANK(Inventory!A20),0,SUM(E20:G20)*Inventory!F20)</f>
        <v>0</v>
      </c>
      <c r="M20" s="35" t="str">
        <f>IF(OR(ISBLANK(N20),N20=0),"",Settings!$B$14)</f>
        <v/>
      </c>
      <c r="N20" s="30">
        <f>IF(ISBLANK(Inventory!A20),0,SUM(E20:G20)*Inventory!L20)</f>
        <v>0</v>
      </c>
      <c r="O20" s="35" t="str">
        <f>IF(OR(ISBLANK(P20),P20=0),"",Settings!$B$14)</f>
        <v/>
      </c>
      <c r="P20" s="30">
        <f>IF(ISBLANK(Inventory!A20),0,H20*Inventory!L20)</f>
        <v>0</v>
      </c>
    </row>
    <row r="21" spans="1:16" s="29" customFormat="1" ht="15" customHeight="1">
      <c r="A21" s="31" t="str">
        <f>IF(ISBLANK(Inventory!A21),"",Inventory!A21)</f>
        <v>Jameson's Irish</v>
      </c>
      <c r="B21" s="31" t="str">
        <f>IF(ISBLANK(Inventory!A21),"",Inventory!C21)</f>
        <v>1.5Ltr</v>
      </c>
      <c r="C21" s="187"/>
      <c r="D21" s="192"/>
      <c r="E21" s="187"/>
      <c r="F21" s="187"/>
      <c r="G21" s="187"/>
      <c r="H21" s="37">
        <f>IF(ISBLANK(Inventory!A21),0,C21+SUM('Week 4'!E21:G21)-SUM(E21:G21))</f>
        <v>0</v>
      </c>
      <c r="I21" s="35" t="str">
        <f>IF(OR(ISBLANK(J21),J21=0),"",Settings!$B$14)</f>
        <v/>
      </c>
      <c r="J21" s="30">
        <f>IF(ISBLANK(C21),0,C21*Inventory!F21)</f>
        <v>0</v>
      </c>
      <c r="K21" s="35" t="str">
        <f>IF(OR(ISBLANK(L21),L21=0),"",Settings!$B$14)</f>
        <v/>
      </c>
      <c r="L21" s="30">
        <f>IF(ISBLANK(Inventory!A21),0,SUM(E21:G21)*Inventory!F21)</f>
        <v>0</v>
      </c>
      <c r="M21" s="35" t="str">
        <f>IF(OR(ISBLANK(N21),N21=0),"",Settings!$B$14)</f>
        <v/>
      </c>
      <c r="N21" s="30">
        <f>IF(ISBLANK(Inventory!A21),0,SUM(E21:G21)*Inventory!L21)</f>
        <v>0</v>
      </c>
      <c r="O21" s="35" t="str">
        <f>IF(OR(ISBLANK(P21),P21=0),"",Settings!$B$14)</f>
        <v/>
      </c>
      <c r="P21" s="30">
        <f>IF(ISBLANK(Inventory!A21),0,H21*Inventory!L21)</f>
        <v>0</v>
      </c>
    </row>
    <row r="22" spans="1:16" s="29" customFormat="1" ht="15" customHeight="1">
      <c r="A22" s="31" t="str">
        <f>IF(ISBLANK(Inventory!A22),"",Inventory!A22)</f>
        <v>Southern Comfort</v>
      </c>
      <c r="B22" s="31" t="str">
        <f>IF(ISBLANK(Inventory!A22),"",Inventory!C22)</f>
        <v>70cl</v>
      </c>
      <c r="C22" s="187"/>
      <c r="D22" s="192"/>
      <c r="E22" s="187"/>
      <c r="F22" s="187"/>
      <c r="G22" s="187"/>
      <c r="H22" s="37">
        <f>IF(ISBLANK(Inventory!A22),0,C22+SUM('Week 4'!E22:G22)-SUM(E22:G22))</f>
        <v>0</v>
      </c>
      <c r="I22" s="35" t="str">
        <f>IF(OR(ISBLANK(J22),J22=0),"",Settings!$B$14)</f>
        <v/>
      </c>
      <c r="J22" s="30">
        <f>IF(ISBLANK(C22),0,C22*Inventory!F22)</f>
        <v>0</v>
      </c>
      <c r="K22" s="35" t="str">
        <f>IF(OR(ISBLANK(L22),L22=0),"",Settings!$B$14)</f>
        <v/>
      </c>
      <c r="L22" s="30">
        <f>IF(ISBLANK(Inventory!A22),0,SUM(E22:G22)*Inventory!F22)</f>
        <v>0</v>
      </c>
      <c r="M22" s="35" t="str">
        <f>IF(OR(ISBLANK(N22),N22=0),"",Settings!$B$14)</f>
        <v/>
      </c>
      <c r="N22" s="30">
        <f>IF(ISBLANK(Inventory!A22),0,SUM(E22:G22)*Inventory!L22)</f>
        <v>0</v>
      </c>
      <c r="O22" s="35" t="str">
        <f>IF(OR(ISBLANK(P22),P22=0),"",Settings!$B$14)</f>
        <v/>
      </c>
      <c r="P22" s="30">
        <f>IF(ISBLANK(Inventory!A22),0,H22*Inventory!L22)</f>
        <v>0</v>
      </c>
    </row>
    <row r="23" spans="1:16" s="29" customFormat="1" ht="15" customHeight="1">
      <c r="A23" s="31" t="str">
        <f>IF(ISBLANK(Inventory!A23),"",Inventory!A23)</f>
        <v>Southern Comfort</v>
      </c>
      <c r="B23" s="31" t="str">
        <f>IF(ISBLANK(Inventory!A23),"",Inventory!C23)</f>
        <v>1.5ltr</v>
      </c>
      <c r="C23" s="187"/>
      <c r="D23" s="192"/>
      <c r="E23" s="187"/>
      <c r="F23" s="187"/>
      <c r="G23" s="187"/>
      <c r="H23" s="37">
        <f>IF(ISBLANK(Inventory!A23),0,C23+SUM('Week 4'!E23:G23)-SUM(E23:G23))</f>
        <v>0</v>
      </c>
      <c r="I23" s="35" t="str">
        <f>IF(OR(ISBLANK(J23),J23=0),"",Settings!$B$14)</f>
        <v/>
      </c>
      <c r="J23" s="30">
        <f>IF(ISBLANK(C23),0,C23*Inventory!F23)</f>
        <v>0</v>
      </c>
      <c r="K23" s="35" t="str">
        <f>IF(OR(ISBLANK(L23),L23=0),"",Settings!$B$14)</f>
        <v/>
      </c>
      <c r="L23" s="30">
        <f>IF(ISBLANK(Inventory!A23),0,SUM(E23:G23)*Inventory!F23)</f>
        <v>0</v>
      </c>
      <c r="M23" s="35" t="str">
        <f>IF(OR(ISBLANK(N23),N23=0),"",Settings!$B$14)</f>
        <v/>
      </c>
      <c r="N23" s="30">
        <f>IF(ISBLANK(Inventory!A23),0,SUM(E23:G23)*Inventory!L23)</f>
        <v>0</v>
      </c>
      <c r="O23" s="35" t="str">
        <f>IF(OR(ISBLANK(P23),P23=0),"",Settings!$B$14)</f>
        <v/>
      </c>
      <c r="P23" s="30">
        <f>IF(ISBLANK(Inventory!A23),0,H23*Inventory!L23)</f>
        <v>0</v>
      </c>
    </row>
    <row r="24" spans="1:16" s="29" customFormat="1" ht="15" customHeight="1">
      <c r="A24" s="31" t="str">
        <f>IF(ISBLANK(Inventory!A24),"",Inventory!A24)</f>
        <v>Gordons' Gin</v>
      </c>
      <c r="B24" s="31" t="str">
        <f>IF(ISBLANK(Inventory!A24),"",Inventory!C24)</f>
        <v>70cl</v>
      </c>
      <c r="C24" s="187"/>
      <c r="D24" s="192"/>
      <c r="E24" s="187"/>
      <c r="F24" s="187"/>
      <c r="G24" s="187"/>
      <c r="H24" s="37">
        <f>IF(ISBLANK(Inventory!A24),0,C24+SUM('Week 4'!E24:G24)-SUM(E24:G24))</f>
        <v>0</v>
      </c>
      <c r="I24" s="35" t="str">
        <f>IF(OR(ISBLANK(J24),J24=0),"",Settings!$B$14)</f>
        <v/>
      </c>
      <c r="J24" s="30">
        <f>IF(ISBLANK(C24),0,C24*Inventory!F24)</f>
        <v>0</v>
      </c>
      <c r="K24" s="35" t="str">
        <f>IF(OR(ISBLANK(L24),L24=0),"",Settings!$B$14)</f>
        <v/>
      </c>
      <c r="L24" s="30">
        <f>IF(ISBLANK(Inventory!A24),0,SUM(E24:G24)*Inventory!F24)</f>
        <v>0</v>
      </c>
      <c r="M24" s="35" t="str">
        <f>IF(OR(ISBLANK(N24),N24=0),"",Settings!$B$14)</f>
        <v/>
      </c>
      <c r="N24" s="30">
        <f>IF(ISBLANK(Inventory!A24),0,SUM(E24:G24)*Inventory!L24)</f>
        <v>0</v>
      </c>
      <c r="O24" s="35" t="str">
        <f>IF(OR(ISBLANK(P24),P24=0),"",Settings!$B$14)</f>
        <v/>
      </c>
      <c r="P24" s="30">
        <f>IF(ISBLANK(Inventory!A24),0,H24*Inventory!L24)</f>
        <v>0</v>
      </c>
    </row>
    <row r="25" spans="1:16" s="29" customFormat="1" ht="15" customHeight="1">
      <c r="A25" s="31" t="str">
        <f>IF(ISBLANK(Inventory!A25),"",Inventory!A25)</f>
        <v>Gordons' Gin</v>
      </c>
      <c r="B25" s="31" t="str">
        <f>IF(ISBLANK(Inventory!A25),"",Inventory!C25)</f>
        <v>1.5Ltr</v>
      </c>
      <c r="C25" s="187"/>
      <c r="D25" s="192"/>
      <c r="E25" s="187"/>
      <c r="F25" s="187"/>
      <c r="G25" s="187"/>
      <c r="H25" s="37">
        <f>IF(ISBLANK(Inventory!A25),0,C25+SUM('Week 4'!E25:G25)-SUM(E25:G25))</f>
        <v>0</v>
      </c>
      <c r="I25" s="35" t="str">
        <f>IF(OR(ISBLANK(J25),J25=0),"",Settings!$B$14)</f>
        <v/>
      </c>
      <c r="J25" s="30">
        <f>IF(ISBLANK(C25),0,C25*Inventory!F25)</f>
        <v>0</v>
      </c>
      <c r="K25" s="35" t="str">
        <f>IF(OR(ISBLANK(L25),L25=0),"",Settings!$B$14)</f>
        <v/>
      </c>
      <c r="L25" s="30">
        <f>IF(ISBLANK(Inventory!A25),0,SUM(E25:G25)*Inventory!F25)</f>
        <v>0</v>
      </c>
      <c r="M25" s="35" t="str">
        <f>IF(OR(ISBLANK(N25),N25=0),"",Settings!$B$14)</f>
        <v/>
      </c>
      <c r="N25" s="30">
        <f>IF(ISBLANK(Inventory!A25),0,SUM(E25:G25)*Inventory!L25)</f>
        <v>0</v>
      </c>
      <c r="O25" s="35" t="str">
        <f>IF(OR(ISBLANK(P25),P25=0),"",Settings!$B$14)</f>
        <v/>
      </c>
      <c r="P25" s="30">
        <f>IF(ISBLANK(Inventory!A25),0,H25*Inventory!L25)</f>
        <v>0</v>
      </c>
    </row>
    <row r="26" spans="1:16" s="29" customFormat="1" ht="15" customHeight="1">
      <c r="A26" s="31" t="str">
        <f>IF(ISBLANK(Inventory!A26),"",Inventory!A26)</f>
        <v>Bombay Sapphire</v>
      </c>
      <c r="B26" s="31" t="str">
        <f>IF(ISBLANK(Inventory!A26),"",Inventory!C26)</f>
        <v>70cl</v>
      </c>
      <c r="C26" s="187"/>
      <c r="D26" s="192"/>
      <c r="E26" s="187"/>
      <c r="F26" s="187"/>
      <c r="G26" s="187"/>
      <c r="H26" s="37">
        <f>IF(ISBLANK(Inventory!A26),0,C26+SUM('Week 4'!E26:G26)-SUM(E26:G26))</f>
        <v>0</v>
      </c>
      <c r="I26" s="35" t="str">
        <f>IF(OR(ISBLANK(J26),J26=0),"",Settings!$B$14)</f>
        <v/>
      </c>
      <c r="J26" s="30">
        <f>IF(ISBLANK(C26),0,C26*Inventory!F26)</f>
        <v>0</v>
      </c>
      <c r="K26" s="35" t="str">
        <f>IF(OR(ISBLANK(L26),L26=0),"",Settings!$B$14)</f>
        <v/>
      </c>
      <c r="L26" s="30">
        <f>IF(ISBLANK(Inventory!A26),0,SUM(E26:G26)*Inventory!F26)</f>
        <v>0</v>
      </c>
      <c r="M26" s="35" t="str">
        <f>IF(OR(ISBLANK(N26),N26=0),"",Settings!$B$14)</f>
        <v/>
      </c>
      <c r="N26" s="30">
        <f>IF(ISBLANK(Inventory!A26),0,SUM(E26:G26)*Inventory!L26)</f>
        <v>0</v>
      </c>
      <c r="O26" s="35" t="str">
        <f>IF(OR(ISBLANK(P26),P26=0),"",Settings!$B$14)</f>
        <v/>
      </c>
      <c r="P26" s="30">
        <f>IF(ISBLANK(Inventory!A26),0,H26*Inventory!L26)</f>
        <v>0</v>
      </c>
    </row>
    <row r="27" spans="1:16" s="29" customFormat="1" ht="15" customHeight="1">
      <c r="A27" s="31" t="str">
        <f>IF(ISBLANK(Inventory!A27),"",Inventory!A27)</f>
        <v>Smirnoff Red</v>
      </c>
      <c r="B27" s="31" t="str">
        <f>IF(ISBLANK(Inventory!A27),"",Inventory!C27)</f>
        <v>70cl</v>
      </c>
      <c r="C27" s="187"/>
      <c r="D27" s="192"/>
      <c r="E27" s="187"/>
      <c r="F27" s="187"/>
      <c r="G27" s="187"/>
      <c r="H27" s="37">
        <f>IF(ISBLANK(Inventory!A27),0,C27+SUM('Week 4'!E27:G27)-SUM(E27:G27))</f>
        <v>0</v>
      </c>
      <c r="I27" s="35" t="str">
        <f>IF(OR(ISBLANK(J27),J27=0),"",Settings!$B$14)</f>
        <v/>
      </c>
      <c r="J27" s="30">
        <f>IF(ISBLANK(C27),0,C27*Inventory!F27)</f>
        <v>0</v>
      </c>
      <c r="K27" s="35" t="str">
        <f>IF(OR(ISBLANK(L27),L27=0),"",Settings!$B$14)</f>
        <v/>
      </c>
      <c r="L27" s="30">
        <f>IF(ISBLANK(Inventory!A27),0,SUM(E27:G27)*Inventory!F27)</f>
        <v>0</v>
      </c>
      <c r="M27" s="35" t="str">
        <f>IF(OR(ISBLANK(N27),N27=0),"",Settings!$B$14)</f>
        <v/>
      </c>
      <c r="N27" s="30">
        <f>IF(ISBLANK(Inventory!A27),0,SUM(E27:G27)*Inventory!L27)</f>
        <v>0</v>
      </c>
      <c r="O27" s="35" t="str">
        <f>IF(OR(ISBLANK(P27),P27=0),"",Settings!$B$14)</f>
        <v/>
      </c>
      <c r="P27" s="30">
        <f>IF(ISBLANK(Inventory!A27),0,H27*Inventory!L27)</f>
        <v>0</v>
      </c>
    </row>
    <row r="28" spans="1:16" s="29" customFormat="1" ht="15" customHeight="1">
      <c r="A28" s="31" t="str">
        <f>IF(ISBLANK(Inventory!A28),"",Inventory!A28)</f>
        <v>Smirnoff Red</v>
      </c>
      <c r="B28" s="31" t="str">
        <f>IF(ISBLANK(Inventory!A28),"",Inventory!C28)</f>
        <v>1.5Ltr</v>
      </c>
      <c r="C28" s="187"/>
      <c r="D28" s="192"/>
      <c r="E28" s="187"/>
      <c r="F28" s="187"/>
      <c r="G28" s="187"/>
      <c r="H28" s="37">
        <f>IF(ISBLANK(Inventory!A28),0,C28+SUM('Week 4'!E28:G28)-SUM(E28:G28))</f>
        <v>0</v>
      </c>
      <c r="I28" s="35" t="str">
        <f>IF(OR(ISBLANK(J28),J28=0),"",Settings!$B$14)</f>
        <v/>
      </c>
      <c r="J28" s="30">
        <f>IF(ISBLANK(C28),0,C28*Inventory!F28)</f>
        <v>0</v>
      </c>
      <c r="K28" s="35" t="str">
        <f>IF(OR(ISBLANK(L28),L28=0),"",Settings!$B$14)</f>
        <v/>
      </c>
      <c r="L28" s="30">
        <f>IF(ISBLANK(Inventory!A28),0,SUM(E28:G28)*Inventory!F28)</f>
        <v>0</v>
      </c>
      <c r="M28" s="35" t="str">
        <f>IF(OR(ISBLANK(N28),N28=0),"",Settings!$B$14)</f>
        <v/>
      </c>
      <c r="N28" s="30">
        <f>IF(ISBLANK(Inventory!A28),0,SUM(E28:G28)*Inventory!L28)</f>
        <v>0</v>
      </c>
      <c r="O28" s="35" t="str">
        <f>IF(OR(ISBLANK(P28),P28=0),"",Settings!$B$14)</f>
        <v/>
      </c>
      <c r="P28" s="30">
        <f>IF(ISBLANK(Inventory!A28),0,H28*Inventory!L28)</f>
        <v>0</v>
      </c>
    </row>
    <row r="29" spans="1:16" s="29" customFormat="1" ht="15" customHeight="1">
      <c r="A29" s="31" t="str">
        <f>IF(ISBLANK(Inventory!A29),"",Inventory!A29)</f>
        <v>Absolut</v>
      </c>
      <c r="B29" s="31" t="str">
        <f>IF(ISBLANK(Inventory!A29),"",Inventory!C29)</f>
        <v>70cl</v>
      </c>
      <c r="C29" s="187"/>
      <c r="D29" s="192"/>
      <c r="E29" s="187"/>
      <c r="F29" s="187"/>
      <c r="G29" s="187"/>
      <c r="H29" s="37">
        <f>IF(ISBLANK(Inventory!A29),0,C29+SUM('Week 4'!E29:G29)-SUM(E29:G29))</f>
        <v>0</v>
      </c>
      <c r="I29" s="35" t="str">
        <f>IF(OR(ISBLANK(J29),J29=0),"",Settings!$B$14)</f>
        <v/>
      </c>
      <c r="J29" s="30">
        <f>IF(ISBLANK(C29),0,C29*Inventory!F29)</f>
        <v>0</v>
      </c>
      <c r="K29" s="35" t="str">
        <f>IF(OR(ISBLANK(L29),L29=0),"",Settings!$B$14)</f>
        <v/>
      </c>
      <c r="L29" s="30">
        <f>IF(ISBLANK(Inventory!A29),0,SUM(E29:G29)*Inventory!F29)</f>
        <v>0</v>
      </c>
      <c r="M29" s="35" t="str">
        <f>IF(OR(ISBLANK(N29),N29=0),"",Settings!$B$14)</f>
        <v/>
      </c>
      <c r="N29" s="30">
        <f>IF(ISBLANK(Inventory!A29),0,SUM(E29:G29)*Inventory!L29)</f>
        <v>0</v>
      </c>
      <c r="O29" s="35" t="str">
        <f>IF(OR(ISBLANK(P29),P29=0),"",Settings!$B$14)</f>
        <v/>
      </c>
      <c r="P29" s="30">
        <f>IF(ISBLANK(Inventory!A29),0,H29*Inventory!L29)</f>
        <v>0</v>
      </c>
    </row>
    <row r="30" spans="1:16" s="29" customFormat="1" ht="15" customHeight="1">
      <c r="A30" s="31" t="str">
        <f>IF(ISBLANK(Inventory!A30),"",Inventory!A30)</f>
        <v>Captain Morgan</v>
      </c>
      <c r="B30" s="31" t="str">
        <f>IF(ISBLANK(Inventory!A30),"",Inventory!C30)</f>
        <v>70cl</v>
      </c>
      <c r="C30" s="187"/>
      <c r="D30" s="192"/>
      <c r="E30" s="187"/>
      <c r="F30" s="187"/>
      <c r="G30" s="187"/>
      <c r="H30" s="37">
        <f>IF(ISBLANK(Inventory!A30),0,C30+SUM('Week 4'!E30:G30)-SUM(E30:G30))</f>
        <v>0</v>
      </c>
      <c r="I30" s="35" t="str">
        <f>IF(OR(ISBLANK(J30),J30=0),"",Settings!$B$14)</f>
        <v/>
      </c>
      <c r="J30" s="30">
        <f>IF(ISBLANK(C30),0,C30*Inventory!F30)</f>
        <v>0</v>
      </c>
      <c r="K30" s="35" t="str">
        <f>IF(OR(ISBLANK(L30),L30=0),"",Settings!$B$14)</f>
        <v/>
      </c>
      <c r="L30" s="30">
        <f>IF(ISBLANK(Inventory!A30),0,SUM(E30:G30)*Inventory!F30)</f>
        <v>0</v>
      </c>
      <c r="M30" s="35" t="str">
        <f>IF(OR(ISBLANK(N30),N30=0),"",Settings!$B$14)</f>
        <v/>
      </c>
      <c r="N30" s="30">
        <f>IF(ISBLANK(Inventory!A30),0,SUM(E30:G30)*Inventory!L30)</f>
        <v>0</v>
      </c>
      <c r="O30" s="35" t="str">
        <f>IF(OR(ISBLANK(P30),P30=0),"",Settings!$B$14)</f>
        <v/>
      </c>
      <c r="P30" s="30">
        <f>IF(ISBLANK(Inventory!A30),0,H30*Inventory!L30)</f>
        <v>0</v>
      </c>
    </row>
    <row r="31" spans="1:16" s="29" customFormat="1" ht="15" customHeight="1">
      <c r="A31" s="31" t="str">
        <f>IF(ISBLANK(Inventory!A31),"",Inventory!A31)</f>
        <v>Bacardi</v>
      </c>
      <c r="B31" s="31" t="str">
        <f>IF(ISBLANK(Inventory!A31),"",Inventory!C31)</f>
        <v>70cl</v>
      </c>
      <c r="C31" s="187"/>
      <c r="D31" s="192"/>
      <c r="E31" s="187"/>
      <c r="F31" s="187"/>
      <c r="G31" s="187"/>
      <c r="H31" s="37">
        <f>IF(ISBLANK(Inventory!A31),0,C31+SUM('Week 4'!E31:G31)-SUM(E31:G31))</f>
        <v>0</v>
      </c>
      <c r="I31" s="35" t="str">
        <f>IF(OR(ISBLANK(J31),J31=0),"",Settings!$B$14)</f>
        <v/>
      </c>
      <c r="J31" s="30">
        <f>IF(ISBLANK(C31),0,C31*Inventory!F31)</f>
        <v>0</v>
      </c>
      <c r="K31" s="35" t="str">
        <f>IF(OR(ISBLANK(L31),L31=0),"",Settings!$B$14)</f>
        <v/>
      </c>
      <c r="L31" s="30">
        <f>IF(ISBLANK(Inventory!A31),0,SUM(E31:G31)*Inventory!F31)</f>
        <v>0</v>
      </c>
      <c r="M31" s="35" t="str">
        <f>IF(OR(ISBLANK(N31),N31=0),"",Settings!$B$14)</f>
        <v/>
      </c>
      <c r="N31" s="30">
        <f>IF(ISBLANK(Inventory!A31),0,SUM(E31:G31)*Inventory!L31)</f>
        <v>0</v>
      </c>
      <c r="O31" s="35" t="str">
        <f>IF(OR(ISBLANK(P31),P31=0),"",Settings!$B$14)</f>
        <v/>
      </c>
      <c r="P31" s="30">
        <f>IF(ISBLANK(Inventory!A31),0,H31*Inventory!L31)</f>
        <v>0</v>
      </c>
    </row>
    <row r="32" spans="1:16" s="29" customFormat="1" ht="15" customHeight="1">
      <c r="A32" s="31" t="str">
        <f>IF(ISBLANK(Inventory!A32),"",Inventory!A32)</f>
        <v>Bacardi</v>
      </c>
      <c r="B32" s="31" t="str">
        <f>IF(ISBLANK(Inventory!A32),"",Inventory!C32)</f>
        <v>1.5Ltr</v>
      </c>
      <c r="C32" s="187"/>
      <c r="D32" s="192"/>
      <c r="E32" s="187"/>
      <c r="F32" s="187"/>
      <c r="G32" s="187"/>
      <c r="H32" s="37">
        <f>IF(ISBLANK(Inventory!A32),0,C32+SUM('Week 4'!E32:G32)-SUM(E32:G32))</f>
        <v>0</v>
      </c>
      <c r="I32" s="35" t="str">
        <f>IF(OR(ISBLANK(J32),J32=0),"",Settings!$B$14)</f>
        <v/>
      </c>
      <c r="J32" s="30">
        <f>IF(ISBLANK(C32),0,C32*Inventory!F32)</f>
        <v>0</v>
      </c>
      <c r="K32" s="35" t="str">
        <f>IF(OR(ISBLANK(L32),L32=0),"",Settings!$B$14)</f>
        <v/>
      </c>
      <c r="L32" s="30">
        <f>IF(ISBLANK(Inventory!A32),0,SUM(E32:G32)*Inventory!F32)</f>
        <v>0</v>
      </c>
      <c r="M32" s="35" t="str">
        <f>IF(OR(ISBLANK(N32),N32=0),"",Settings!$B$14)</f>
        <v/>
      </c>
      <c r="N32" s="30">
        <f>IF(ISBLANK(Inventory!A32),0,SUM(E32:G32)*Inventory!L32)</f>
        <v>0</v>
      </c>
      <c r="O32" s="35" t="str">
        <f>IF(OR(ISBLANK(P32),P32=0),"",Settings!$B$14)</f>
        <v/>
      </c>
      <c r="P32" s="30">
        <f>IF(ISBLANK(Inventory!A32),0,H32*Inventory!L32)</f>
        <v>0</v>
      </c>
    </row>
    <row r="33" spans="1:16" s="29" customFormat="1" ht="15" customHeight="1">
      <c r="A33" s="31" t="str">
        <f>IF(ISBLANK(Inventory!A33),"",Inventory!A33)</f>
        <v>Martell ***</v>
      </c>
      <c r="B33" s="31" t="str">
        <f>IF(ISBLANK(Inventory!A33),"",Inventory!C33)</f>
        <v>70cl</v>
      </c>
      <c r="C33" s="187"/>
      <c r="D33" s="192"/>
      <c r="E33" s="187"/>
      <c r="F33" s="187"/>
      <c r="G33" s="187"/>
      <c r="H33" s="37">
        <f>IF(ISBLANK(Inventory!A33),0,C33+SUM('Week 4'!E33:G33)-SUM(E33:G33))</f>
        <v>0</v>
      </c>
      <c r="I33" s="35" t="str">
        <f>IF(OR(ISBLANK(J33),J33=0),"",Settings!$B$14)</f>
        <v/>
      </c>
      <c r="J33" s="30">
        <f>IF(ISBLANK(C33),0,C33*Inventory!F33)</f>
        <v>0</v>
      </c>
      <c r="K33" s="35" t="str">
        <f>IF(OR(ISBLANK(L33),L33=0),"",Settings!$B$14)</f>
        <v/>
      </c>
      <c r="L33" s="30">
        <f>IF(ISBLANK(Inventory!A33),0,SUM(E33:G33)*Inventory!F33)</f>
        <v>0</v>
      </c>
      <c r="M33" s="35" t="str">
        <f>IF(OR(ISBLANK(N33),N33=0),"",Settings!$B$14)</f>
        <v/>
      </c>
      <c r="N33" s="30">
        <f>IF(ISBLANK(Inventory!A33),0,SUM(E33:G33)*Inventory!L33)</f>
        <v>0</v>
      </c>
      <c r="O33" s="35" t="str">
        <f>IF(OR(ISBLANK(P33),P33=0),"",Settings!$B$14)</f>
        <v/>
      </c>
      <c r="P33" s="30">
        <f>IF(ISBLANK(Inventory!A33),0,H33*Inventory!L33)</f>
        <v>0</v>
      </c>
    </row>
    <row r="34" spans="1:16" s="29" customFormat="1" ht="15" customHeight="1">
      <c r="A34" s="31" t="str">
        <f>IF(ISBLANK(Inventory!A34),"",Inventory!A34)</f>
        <v>Martell ***</v>
      </c>
      <c r="B34" s="31" t="str">
        <f>IF(ISBLANK(Inventory!A34),"",Inventory!C34)</f>
        <v>1.5Ltr</v>
      </c>
      <c r="C34" s="187"/>
      <c r="D34" s="192"/>
      <c r="E34" s="187"/>
      <c r="F34" s="187"/>
      <c r="G34" s="187"/>
      <c r="H34" s="37">
        <f>IF(ISBLANK(Inventory!A34),0,C34+SUM('Week 4'!E34:G34)-SUM(E34:G34))</f>
        <v>0</v>
      </c>
      <c r="I34" s="35" t="str">
        <f>IF(OR(ISBLANK(J34),J34=0),"",Settings!$B$14)</f>
        <v/>
      </c>
      <c r="J34" s="30">
        <f>IF(ISBLANK(C34),0,C34*Inventory!F34)</f>
        <v>0</v>
      </c>
      <c r="K34" s="35" t="str">
        <f>IF(OR(ISBLANK(L34),L34=0),"",Settings!$B$14)</f>
        <v/>
      </c>
      <c r="L34" s="30">
        <f>IF(ISBLANK(Inventory!A34),0,SUM(E34:G34)*Inventory!F34)</f>
        <v>0</v>
      </c>
      <c r="M34" s="35" t="str">
        <f>IF(OR(ISBLANK(N34),N34=0),"",Settings!$B$14)</f>
        <v/>
      </c>
      <c r="N34" s="30">
        <f>IF(ISBLANK(Inventory!A34),0,SUM(E34:G34)*Inventory!L34)</f>
        <v>0</v>
      </c>
      <c r="O34" s="35" t="str">
        <f>IF(OR(ISBLANK(P34),P34=0),"",Settings!$B$14)</f>
        <v/>
      </c>
      <c r="P34" s="30">
        <f>IF(ISBLANK(Inventory!A34),0,H34*Inventory!L34)</f>
        <v>0</v>
      </c>
    </row>
    <row r="35" spans="1:16" s="29" customFormat="1" ht="15" customHeight="1">
      <c r="A35" s="31" t="str">
        <f>IF(ISBLANK(Inventory!A35),"",Inventory!A35)</f>
        <v>Remy Martin</v>
      </c>
      <c r="B35" s="31" t="str">
        <f>IF(ISBLANK(Inventory!A35),"",Inventory!C35)</f>
        <v>70cl</v>
      </c>
      <c r="C35" s="187"/>
      <c r="D35" s="192"/>
      <c r="E35" s="187"/>
      <c r="F35" s="187"/>
      <c r="G35" s="187"/>
      <c r="H35" s="37">
        <f>IF(ISBLANK(Inventory!A35),0,C35+SUM('Week 4'!E35:G35)-SUM(E35:G35))</f>
        <v>0</v>
      </c>
      <c r="I35" s="35" t="str">
        <f>IF(OR(ISBLANK(J35),J35=0),"",Settings!$B$14)</f>
        <v/>
      </c>
      <c r="J35" s="30">
        <f>IF(ISBLANK(C35),0,C35*Inventory!F35)</f>
        <v>0</v>
      </c>
      <c r="K35" s="35" t="str">
        <f>IF(OR(ISBLANK(L35),L35=0),"",Settings!$B$14)</f>
        <v/>
      </c>
      <c r="L35" s="30">
        <f>IF(ISBLANK(Inventory!A35),0,SUM(E35:G35)*Inventory!F35)</f>
        <v>0</v>
      </c>
      <c r="M35" s="35" t="str">
        <f>IF(OR(ISBLANK(N35),N35=0),"",Settings!$B$14)</f>
        <v/>
      </c>
      <c r="N35" s="30">
        <f>IF(ISBLANK(Inventory!A35),0,SUM(E35:G35)*Inventory!L35)</f>
        <v>0</v>
      </c>
      <c r="O35" s="35" t="str">
        <f>IF(OR(ISBLANK(P35),P35=0),"",Settings!$B$14)</f>
        <v/>
      </c>
      <c r="P35" s="30">
        <f>IF(ISBLANK(Inventory!A35),0,H35*Inventory!L35)</f>
        <v>0</v>
      </c>
    </row>
    <row r="36" spans="1:16" s="29" customFormat="1" ht="15" customHeight="1">
      <c r="A36" s="31" t="str">
        <f>IF(ISBLANK(Inventory!A36),"",Inventory!A36)</f>
        <v>Baileys</v>
      </c>
      <c r="B36" s="31" t="str">
        <f>IF(ISBLANK(Inventory!A36),"",Inventory!C36)</f>
        <v>70cl</v>
      </c>
      <c r="C36" s="187"/>
      <c r="D36" s="192"/>
      <c r="E36" s="187"/>
      <c r="F36" s="187"/>
      <c r="G36" s="187"/>
      <c r="H36" s="37">
        <f>IF(ISBLANK(Inventory!A36),0,C36+SUM('Week 4'!E36:G36)-SUM(E36:G36))</f>
        <v>0</v>
      </c>
      <c r="I36" s="35" t="str">
        <f>IF(OR(ISBLANK(J36),J36=0),"",Settings!$B$14)</f>
        <v/>
      </c>
      <c r="J36" s="30">
        <f>IF(ISBLANK(C36),0,C36*Inventory!F36)</f>
        <v>0</v>
      </c>
      <c r="K36" s="35" t="str">
        <f>IF(OR(ISBLANK(L36),L36=0),"",Settings!$B$14)</f>
        <v/>
      </c>
      <c r="L36" s="30">
        <f>IF(ISBLANK(Inventory!A36),0,SUM(E36:G36)*Inventory!F36)</f>
        <v>0</v>
      </c>
      <c r="M36" s="35" t="str">
        <f>IF(OR(ISBLANK(N36),N36=0),"",Settings!$B$14)</f>
        <v/>
      </c>
      <c r="N36" s="30">
        <f>IF(ISBLANK(Inventory!A36),0,SUM(E36:G36)*Inventory!L36)</f>
        <v>0</v>
      </c>
      <c r="O36" s="35" t="str">
        <f>IF(OR(ISBLANK(P36),P36=0),"",Settings!$B$14)</f>
        <v/>
      </c>
      <c r="P36" s="30">
        <f>IF(ISBLANK(Inventory!A36),0,H36*Inventory!L36)</f>
        <v>0</v>
      </c>
    </row>
    <row r="37" spans="1:16" s="29" customFormat="1" ht="15" customHeight="1">
      <c r="A37" s="31" t="str">
        <f>IF(ISBLANK(Inventory!A37),"",Inventory!A37)</f>
        <v>Baileys</v>
      </c>
      <c r="B37" s="31" t="str">
        <f>IF(ISBLANK(Inventory!A37),"",Inventory!C37)</f>
        <v>1.5Ltr</v>
      </c>
      <c r="C37" s="187"/>
      <c r="D37" s="192"/>
      <c r="E37" s="187"/>
      <c r="F37" s="187"/>
      <c r="G37" s="187"/>
      <c r="H37" s="37">
        <f>IF(ISBLANK(Inventory!A37),0,C37+SUM('Week 4'!E37:G37)-SUM(E37:G37))</f>
        <v>0</v>
      </c>
      <c r="I37" s="35" t="str">
        <f>IF(OR(ISBLANK(J37),J37=0),"",Settings!$B$14)</f>
        <v/>
      </c>
      <c r="J37" s="30">
        <f>IF(ISBLANK(C37),0,C37*Inventory!F37)</f>
        <v>0</v>
      </c>
      <c r="K37" s="35" t="str">
        <f>IF(OR(ISBLANK(L37),L37=0),"",Settings!$B$14)</f>
        <v/>
      </c>
      <c r="L37" s="30">
        <f>IF(ISBLANK(Inventory!A37),0,SUM(E37:G37)*Inventory!F37)</f>
        <v>0</v>
      </c>
      <c r="M37" s="35" t="str">
        <f>IF(OR(ISBLANK(N37),N37=0),"",Settings!$B$14)</f>
        <v/>
      </c>
      <c r="N37" s="30">
        <f>IF(ISBLANK(Inventory!A37),0,SUM(E37:G37)*Inventory!L37)</f>
        <v>0</v>
      </c>
      <c r="O37" s="35" t="str">
        <f>IF(OR(ISBLANK(P37),P37=0),"",Settings!$B$14)</f>
        <v/>
      </c>
      <c r="P37" s="30">
        <f>IF(ISBLANK(Inventory!A37),0,H37*Inventory!L37)</f>
        <v>0</v>
      </c>
    </row>
    <row r="38" spans="1:16" s="29" customFormat="1" ht="15" customHeight="1">
      <c r="A38" s="31" t="str">
        <f>IF(ISBLANK(Inventory!A38),"",Inventory!A38)</f>
        <v>Cointreau</v>
      </c>
      <c r="B38" s="31" t="str">
        <f>IF(ISBLANK(Inventory!A38),"",Inventory!C38)</f>
        <v>70cl</v>
      </c>
      <c r="C38" s="187"/>
      <c r="D38" s="192"/>
      <c r="E38" s="187"/>
      <c r="F38" s="187"/>
      <c r="G38" s="187"/>
      <c r="H38" s="37">
        <f>IF(ISBLANK(Inventory!A38),0,C38+SUM('Week 4'!E38:G38)-SUM(E38:G38))</f>
        <v>0</v>
      </c>
      <c r="I38" s="35" t="str">
        <f>IF(OR(ISBLANK(J38),J38=0),"",Settings!$B$14)</f>
        <v/>
      </c>
      <c r="J38" s="30">
        <f>IF(ISBLANK(C38),0,C38*Inventory!F38)</f>
        <v>0</v>
      </c>
      <c r="K38" s="35" t="str">
        <f>IF(OR(ISBLANK(L38),L38=0),"",Settings!$B$14)</f>
        <v/>
      </c>
      <c r="L38" s="30">
        <f>IF(ISBLANK(Inventory!A38),0,SUM(E38:G38)*Inventory!F38)</f>
        <v>0</v>
      </c>
      <c r="M38" s="35" t="str">
        <f>IF(OR(ISBLANK(N38),N38=0),"",Settings!$B$14)</f>
        <v/>
      </c>
      <c r="N38" s="30">
        <f>IF(ISBLANK(Inventory!A38),0,SUM(E38:G38)*Inventory!L38)</f>
        <v>0</v>
      </c>
      <c r="O38" s="35" t="str">
        <f>IF(OR(ISBLANK(P38),P38=0),"",Settings!$B$14)</f>
        <v/>
      </c>
      <c r="P38" s="30">
        <f>IF(ISBLANK(Inventory!A38),0,H38*Inventory!L38)</f>
        <v>0</v>
      </c>
    </row>
    <row r="39" spans="1:16" s="29" customFormat="1" ht="15" customHeight="1">
      <c r="A39" s="31" t="str">
        <f>IF(ISBLANK(Inventory!A39),"",Inventory!A39)</f>
        <v>Drambuie</v>
      </c>
      <c r="B39" s="31" t="str">
        <f>IF(ISBLANK(Inventory!A39),"",Inventory!C39)</f>
        <v>70cl</v>
      </c>
      <c r="C39" s="187"/>
      <c r="D39" s="192"/>
      <c r="E39" s="187"/>
      <c r="F39" s="187"/>
      <c r="G39" s="187"/>
      <c r="H39" s="37">
        <f>IF(ISBLANK(Inventory!A39),0,C39+SUM('Week 4'!E39:G39)-SUM(E39:G39))</f>
        <v>0</v>
      </c>
      <c r="I39" s="35" t="str">
        <f>IF(OR(ISBLANK(J39),J39=0),"",Settings!$B$14)</f>
        <v/>
      </c>
      <c r="J39" s="30">
        <f>IF(ISBLANK(C39),0,C39*Inventory!F39)</f>
        <v>0</v>
      </c>
      <c r="K39" s="35" t="str">
        <f>IF(OR(ISBLANK(L39),L39=0),"",Settings!$B$14)</f>
        <v/>
      </c>
      <c r="L39" s="30">
        <f>IF(ISBLANK(Inventory!A39),0,SUM(E39:G39)*Inventory!F39)</f>
        <v>0</v>
      </c>
      <c r="M39" s="35" t="str">
        <f>IF(OR(ISBLANK(N39),N39=0),"",Settings!$B$14)</f>
        <v/>
      </c>
      <c r="N39" s="30">
        <f>IF(ISBLANK(Inventory!A39),0,SUM(E39:G39)*Inventory!L39)</f>
        <v>0</v>
      </c>
      <c r="O39" s="35" t="str">
        <f>IF(OR(ISBLANK(P39),P39=0),"",Settings!$B$14)</f>
        <v/>
      </c>
      <c r="P39" s="30">
        <f>IF(ISBLANK(Inventory!A39),0,H39*Inventory!L39)</f>
        <v>0</v>
      </c>
    </row>
    <row r="40" spans="1:16" s="29" customFormat="1" ht="15" customHeight="1">
      <c r="A40" s="31" t="str">
        <f>IF(ISBLANK(Inventory!A40),"",Inventory!A40)</f>
        <v>Malibu</v>
      </c>
      <c r="B40" s="31" t="str">
        <f>IF(ISBLANK(Inventory!A40),"",Inventory!C40)</f>
        <v>70cl</v>
      </c>
      <c r="C40" s="187"/>
      <c r="D40" s="192"/>
      <c r="E40" s="187"/>
      <c r="F40" s="187"/>
      <c r="G40" s="187"/>
      <c r="H40" s="37">
        <f>IF(ISBLANK(Inventory!A40),0,C40+SUM('Week 4'!E40:G40)-SUM(E40:G40))</f>
        <v>0</v>
      </c>
      <c r="I40" s="35" t="str">
        <f>IF(OR(ISBLANK(J40),J40=0),"",Settings!$B$14)</f>
        <v/>
      </c>
      <c r="J40" s="30">
        <f>IF(ISBLANK(C40),0,C40*Inventory!F40)</f>
        <v>0</v>
      </c>
      <c r="K40" s="35" t="str">
        <f>IF(OR(ISBLANK(L40),L40=0),"",Settings!$B$14)</f>
        <v/>
      </c>
      <c r="L40" s="30">
        <f>IF(ISBLANK(Inventory!A40),0,SUM(E40:G40)*Inventory!F40)</f>
        <v>0</v>
      </c>
      <c r="M40" s="35" t="str">
        <f>IF(OR(ISBLANK(N40),N40=0),"",Settings!$B$14)</f>
        <v/>
      </c>
      <c r="N40" s="30">
        <f>IF(ISBLANK(Inventory!A40),0,SUM(E40:G40)*Inventory!L40)</f>
        <v>0</v>
      </c>
      <c r="O40" s="35" t="str">
        <f>IF(OR(ISBLANK(P40),P40=0),"",Settings!$B$14)</f>
        <v/>
      </c>
      <c r="P40" s="30">
        <f>IF(ISBLANK(Inventory!A40),0,H40*Inventory!L40)</f>
        <v>0</v>
      </c>
    </row>
    <row r="41" spans="1:16" s="29" customFormat="1" ht="15" customHeight="1">
      <c r="A41" s="31" t="str">
        <f>IF(ISBLANK(Inventory!A41),"",Inventory!A41)</f>
        <v>Malibu</v>
      </c>
      <c r="B41" s="31" t="str">
        <f>IF(ISBLANK(Inventory!A41),"",Inventory!C41)</f>
        <v>1.5Ltr</v>
      </c>
      <c r="C41" s="187"/>
      <c r="D41" s="192"/>
      <c r="E41" s="187"/>
      <c r="F41" s="187"/>
      <c r="G41" s="187"/>
      <c r="H41" s="37">
        <f>IF(ISBLANK(Inventory!A41),0,C41+SUM('Week 4'!E41:G41)-SUM(E41:G41))</f>
        <v>0</v>
      </c>
      <c r="I41" s="35" t="str">
        <f>IF(OR(ISBLANK(J41),J41=0),"",Settings!$B$14)</f>
        <v/>
      </c>
      <c r="J41" s="30">
        <f>IF(ISBLANK(C41),0,C41*Inventory!F41)</f>
        <v>0</v>
      </c>
      <c r="K41" s="35" t="str">
        <f>IF(OR(ISBLANK(L41),L41=0),"",Settings!$B$14)</f>
        <v/>
      </c>
      <c r="L41" s="30">
        <f>IF(ISBLANK(Inventory!A41),0,SUM(E41:G41)*Inventory!F41)</f>
        <v>0</v>
      </c>
      <c r="M41" s="35" t="str">
        <f>IF(OR(ISBLANK(N41),N41=0),"",Settings!$B$14)</f>
        <v/>
      </c>
      <c r="N41" s="30">
        <f>IF(ISBLANK(Inventory!A41),0,SUM(E41:G41)*Inventory!L41)</f>
        <v>0</v>
      </c>
      <c r="O41" s="35" t="str">
        <f>IF(OR(ISBLANK(P41),P41=0),"",Settings!$B$14)</f>
        <v/>
      </c>
      <c r="P41" s="30">
        <f>IF(ISBLANK(Inventory!A41),0,H41*Inventory!L41)</f>
        <v>0</v>
      </c>
    </row>
    <row r="42" spans="1:16" s="29" customFormat="1" ht="15" customHeight="1">
      <c r="A42" s="31" t="str">
        <f>IF(ISBLANK(Inventory!A42),"",Inventory!A42)</f>
        <v>Archers</v>
      </c>
      <c r="B42" s="31" t="str">
        <f>IF(ISBLANK(Inventory!A42),"",Inventory!C42)</f>
        <v>70cl</v>
      </c>
      <c r="C42" s="187"/>
      <c r="D42" s="192"/>
      <c r="E42" s="187"/>
      <c r="F42" s="187"/>
      <c r="G42" s="187"/>
      <c r="H42" s="37">
        <f>IF(ISBLANK(Inventory!A42),0,C42+SUM('Week 4'!E42:G42)-SUM(E42:G42))</f>
        <v>0</v>
      </c>
      <c r="I42" s="35" t="str">
        <f>IF(OR(ISBLANK(J42),J42=0),"",Settings!$B$14)</f>
        <v/>
      </c>
      <c r="J42" s="30">
        <f>IF(ISBLANK(C42),0,C42*Inventory!F42)</f>
        <v>0</v>
      </c>
      <c r="K42" s="35" t="str">
        <f>IF(OR(ISBLANK(L42),L42=0),"",Settings!$B$14)</f>
        <v/>
      </c>
      <c r="L42" s="30">
        <f>IF(ISBLANK(Inventory!A42),0,SUM(E42:G42)*Inventory!F42)</f>
        <v>0</v>
      </c>
      <c r="M42" s="35" t="str">
        <f>IF(OR(ISBLANK(N42),N42=0),"",Settings!$B$14)</f>
        <v/>
      </c>
      <c r="N42" s="30">
        <f>IF(ISBLANK(Inventory!A42),0,SUM(E42:G42)*Inventory!L42)</f>
        <v>0</v>
      </c>
      <c r="O42" s="35" t="str">
        <f>IF(OR(ISBLANK(P42),P42=0),"",Settings!$B$14)</f>
        <v/>
      </c>
      <c r="P42" s="30">
        <f>IF(ISBLANK(Inventory!A42),0,H42*Inventory!L42)</f>
        <v>0</v>
      </c>
    </row>
    <row r="43" spans="1:16" s="29" customFormat="1" ht="15" customHeight="1">
      <c r="A43" s="31" t="str">
        <f>IF(ISBLANK(Inventory!A43),"",Inventory!A43)</f>
        <v>Archers</v>
      </c>
      <c r="B43" s="31" t="str">
        <f>IF(ISBLANK(Inventory!A43),"",Inventory!C43)</f>
        <v>70cl</v>
      </c>
      <c r="C43" s="187"/>
      <c r="D43" s="192"/>
      <c r="E43" s="187"/>
      <c r="F43" s="187"/>
      <c r="G43" s="187"/>
      <c r="H43" s="37">
        <f>IF(ISBLANK(Inventory!A43),0,C43+SUM('Week 4'!E43:G43)-SUM(E43:G43))</f>
        <v>0</v>
      </c>
      <c r="I43" s="35" t="str">
        <f>IF(OR(ISBLANK(J43),J43=0),"",Settings!$B$14)</f>
        <v/>
      </c>
      <c r="J43" s="30">
        <f>IF(ISBLANK(C43),0,C43*Inventory!F43)</f>
        <v>0</v>
      </c>
      <c r="K43" s="35" t="str">
        <f>IF(OR(ISBLANK(L43),L43=0),"",Settings!$B$14)</f>
        <v/>
      </c>
      <c r="L43" s="30">
        <f>IF(ISBLANK(Inventory!A43),0,SUM(E43:G43)*Inventory!F43)</f>
        <v>0</v>
      </c>
      <c r="M43" s="35" t="str">
        <f>IF(OR(ISBLANK(N43),N43=0),"",Settings!$B$14)</f>
        <v/>
      </c>
      <c r="N43" s="30">
        <f>IF(ISBLANK(Inventory!A43),0,SUM(E43:G43)*Inventory!L43)</f>
        <v>0</v>
      </c>
      <c r="O43" s="35" t="str">
        <f>IF(OR(ISBLANK(P43),P43=0),"",Settings!$B$14)</f>
        <v/>
      </c>
      <c r="P43" s="30">
        <f>IF(ISBLANK(Inventory!A43),0,H43*Inventory!L43)</f>
        <v>0</v>
      </c>
    </row>
    <row r="44" spans="1:16" s="29" customFormat="1" ht="15" customHeight="1">
      <c r="A44" s="31" t="str">
        <f>IF(ISBLANK(Inventory!A44),"",Inventory!A44)</f>
        <v>Tequila</v>
      </c>
      <c r="B44" s="31" t="str">
        <f>IF(ISBLANK(Inventory!A44),"",Inventory!C44)</f>
        <v>70cl</v>
      </c>
      <c r="C44" s="187"/>
      <c r="D44" s="192"/>
      <c r="E44" s="187"/>
      <c r="F44" s="187"/>
      <c r="G44" s="187"/>
      <c r="H44" s="37">
        <f>IF(ISBLANK(Inventory!A44),0,C44+SUM('Week 4'!E44:G44)-SUM(E44:G44))</f>
        <v>0</v>
      </c>
      <c r="I44" s="35" t="str">
        <f>IF(OR(ISBLANK(J44),J44=0),"",Settings!$B$14)</f>
        <v/>
      </c>
      <c r="J44" s="30">
        <f>IF(ISBLANK(C44),0,C44*Inventory!F44)</f>
        <v>0</v>
      </c>
      <c r="K44" s="35" t="str">
        <f>IF(OR(ISBLANK(L44),L44=0),"",Settings!$B$14)</f>
        <v/>
      </c>
      <c r="L44" s="30">
        <f>IF(ISBLANK(Inventory!A44),0,SUM(E44:G44)*Inventory!F44)</f>
        <v>0</v>
      </c>
      <c r="M44" s="35" t="str">
        <f>IF(OR(ISBLANK(N44),N44=0),"",Settings!$B$14)</f>
        <v/>
      </c>
      <c r="N44" s="30">
        <f>IF(ISBLANK(Inventory!A44),0,SUM(E44:G44)*Inventory!L44)</f>
        <v>0</v>
      </c>
      <c r="O44" s="35" t="str">
        <f>IF(OR(ISBLANK(P44),P44=0),"",Settings!$B$14)</f>
        <v/>
      </c>
      <c r="P44" s="30">
        <f>IF(ISBLANK(Inventory!A44),0,H44*Inventory!L44)</f>
        <v>0</v>
      </c>
    </row>
    <row r="45" spans="1:16" s="29" customFormat="1" ht="15" customHeight="1">
      <c r="A45" s="31" t="str">
        <f>IF(ISBLANK(Inventory!A45),"",Inventory!A45)</f>
        <v>Luxardo Sambuca</v>
      </c>
      <c r="B45" s="31" t="str">
        <f>IF(ISBLANK(Inventory!A45),"",Inventory!C45)</f>
        <v>70cl</v>
      </c>
      <c r="C45" s="187"/>
      <c r="D45" s="192"/>
      <c r="E45" s="187"/>
      <c r="F45" s="187"/>
      <c r="G45" s="187"/>
      <c r="H45" s="37">
        <f>IF(ISBLANK(Inventory!A45),0,C45+SUM('Week 4'!E45:G45)-SUM(E45:G45))</f>
        <v>0</v>
      </c>
      <c r="I45" s="35" t="str">
        <f>IF(OR(ISBLANK(J45),J45=0),"",Settings!$B$14)</f>
        <v/>
      </c>
      <c r="J45" s="30">
        <f>IF(ISBLANK(C45),0,C45*Inventory!F45)</f>
        <v>0</v>
      </c>
      <c r="K45" s="35" t="str">
        <f>IF(OR(ISBLANK(L45),L45=0),"",Settings!$B$14)</f>
        <v/>
      </c>
      <c r="L45" s="30">
        <f>IF(ISBLANK(Inventory!A45),0,SUM(E45:G45)*Inventory!F45)</f>
        <v>0</v>
      </c>
      <c r="M45" s="35" t="str">
        <f>IF(OR(ISBLANK(N45),N45=0),"",Settings!$B$14)</f>
        <v/>
      </c>
      <c r="N45" s="30">
        <f>IF(ISBLANK(Inventory!A45),0,SUM(E45:G45)*Inventory!L45)</f>
        <v>0</v>
      </c>
      <c r="O45" s="35" t="str">
        <f>IF(OR(ISBLANK(P45),P45=0),"",Settings!$B$14)</f>
        <v/>
      </c>
      <c r="P45" s="30">
        <f>IF(ISBLANK(Inventory!A45),0,H45*Inventory!L45)</f>
        <v>0</v>
      </c>
    </row>
    <row r="46" spans="1:16" s="29" customFormat="1" ht="15" customHeight="1">
      <c r="A46" s="31" t="str">
        <f>IF(ISBLANK(Inventory!A46),"",Inventory!A46)</f>
        <v>Tia Maria</v>
      </c>
      <c r="B46" s="31" t="str">
        <f>IF(ISBLANK(Inventory!A46),"",Inventory!C46)</f>
        <v>70cl</v>
      </c>
      <c r="C46" s="187"/>
      <c r="D46" s="192"/>
      <c r="E46" s="187"/>
      <c r="F46" s="187"/>
      <c r="G46" s="187"/>
      <c r="H46" s="37">
        <f>IF(ISBLANK(Inventory!A46),0,C46+SUM('Week 4'!E46:G46)-SUM(E46:G46))</f>
        <v>0</v>
      </c>
      <c r="I46" s="35" t="str">
        <f>IF(OR(ISBLANK(J46),J46=0),"",Settings!$B$14)</f>
        <v/>
      </c>
      <c r="J46" s="30">
        <f>IF(ISBLANK(C46),0,C46*Inventory!F46)</f>
        <v>0</v>
      </c>
      <c r="K46" s="35" t="str">
        <f>IF(OR(ISBLANK(L46),L46=0),"",Settings!$B$14)</f>
        <v/>
      </c>
      <c r="L46" s="30">
        <f>IF(ISBLANK(Inventory!A46),0,SUM(E46:G46)*Inventory!F46)</f>
        <v>0</v>
      </c>
      <c r="M46" s="35" t="str">
        <f>IF(OR(ISBLANK(N46),N46=0),"",Settings!$B$14)</f>
        <v/>
      </c>
      <c r="N46" s="30">
        <f>IF(ISBLANK(Inventory!A46),0,SUM(E46:G46)*Inventory!L46)</f>
        <v>0</v>
      </c>
      <c r="O46" s="35" t="str">
        <f>IF(OR(ISBLANK(P46),P46=0),"",Settings!$B$14)</f>
        <v/>
      </c>
      <c r="P46" s="30">
        <f>IF(ISBLANK(Inventory!A46),0,H46*Inventory!L46)</f>
        <v>0</v>
      </c>
    </row>
    <row r="47" spans="1:16" s="29" customFormat="1" ht="15" customHeight="1">
      <c r="A47" s="31" t="str">
        <f>IF(ISBLANK(Inventory!A47),"",Inventory!A47)</f>
        <v>Tia Maria</v>
      </c>
      <c r="B47" s="31" t="str">
        <f>IF(ISBLANK(Inventory!A47),"",Inventory!C47)</f>
        <v>1.5ltr</v>
      </c>
      <c r="C47" s="187"/>
      <c r="D47" s="192"/>
      <c r="E47" s="187"/>
      <c r="F47" s="187"/>
      <c r="G47" s="187"/>
      <c r="H47" s="37">
        <f>IF(ISBLANK(Inventory!A47),0,C47+SUM('Week 4'!E47:G47)-SUM(E47:G47))</f>
        <v>0</v>
      </c>
      <c r="I47" s="35" t="str">
        <f>IF(OR(ISBLANK(J47),J47=0),"",Settings!$B$14)</f>
        <v/>
      </c>
      <c r="J47" s="30">
        <f>IF(ISBLANK(C47),0,C47*Inventory!F47)</f>
        <v>0</v>
      </c>
      <c r="K47" s="35" t="str">
        <f>IF(OR(ISBLANK(L47),L47=0),"",Settings!$B$14)</f>
        <v/>
      </c>
      <c r="L47" s="30">
        <f>IF(ISBLANK(Inventory!A47),0,SUM(E47:G47)*Inventory!F47)</f>
        <v>0</v>
      </c>
      <c r="M47" s="35" t="str">
        <f>IF(OR(ISBLANK(N47),N47=0),"",Settings!$B$14)</f>
        <v/>
      </c>
      <c r="N47" s="30">
        <f>IF(ISBLANK(Inventory!A47),0,SUM(E47:G47)*Inventory!L47)</f>
        <v>0</v>
      </c>
      <c r="O47" s="35" t="str">
        <f>IF(OR(ISBLANK(P47),P47=0),"",Settings!$B$14)</f>
        <v/>
      </c>
      <c r="P47" s="30">
        <f>IF(ISBLANK(Inventory!A47),0,H47*Inventory!L47)</f>
        <v>0</v>
      </c>
    </row>
    <row r="48" spans="1:16" s="29" customFormat="1" ht="15" customHeight="1">
      <c r="A48" s="31" t="str">
        <f>IF(ISBLANK(Inventory!A48),"",Inventory!A48)</f>
        <v/>
      </c>
      <c r="B48" s="31" t="str">
        <f>IF(ISBLANK(Inventory!A48),"",Inventory!C48)</f>
        <v/>
      </c>
      <c r="C48" s="187"/>
      <c r="D48" s="192"/>
      <c r="E48" s="187"/>
      <c r="F48" s="187"/>
      <c r="G48" s="187"/>
      <c r="H48" s="37">
        <f>IF(ISBLANK(Inventory!A48),0,C48+SUM('Week 4'!E48:G48)-SUM(E48:G48))</f>
        <v>0</v>
      </c>
      <c r="I48" s="35" t="str">
        <f>IF(OR(ISBLANK(J48),J48=0),"",Settings!$B$14)</f>
        <v/>
      </c>
      <c r="J48" s="30">
        <f>IF(ISBLANK(C48),0,C48*Inventory!F48)</f>
        <v>0</v>
      </c>
      <c r="K48" s="35" t="str">
        <f>IF(OR(ISBLANK(L48),L48=0),"",Settings!$B$14)</f>
        <v/>
      </c>
      <c r="L48" s="30">
        <f>IF(ISBLANK(Inventory!A48),0,SUM(E48:G48)*Inventory!F48)</f>
        <v>0</v>
      </c>
      <c r="M48" s="35" t="str">
        <f>IF(OR(ISBLANK(N48),N48=0),"",Settings!$B$14)</f>
        <v/>
      </c>
      <c r="N48" s="30">
        <f>IF(ISBLANK(Inventory!A48),0,SUM(E48:G48)*Inventory!L48)</f>
        <v>0</v>
      </c>
      <c r="O48" s="35" t="str">
        <f>IF(OR(ISBLANK(P48),P48=0),"",Settings!$B$14)</f>
        <v/>
      </c>
      <c r="P48" s="30">
        <f>IF(ISBLANK(Inventory!A48),0,H48*Inventory!L48)</f>
        <v>0</v>
      </c>
    </row>
    <row r="49" spans="1:16" s="29" customFormat="1" ht="15" customHeight="1">
      <c r="A49" s="31" t="str">
        <f>IF(ISBLANK(Inventory!A49),"",Inventory!A49)</f>
        <v/>
      </c>
      <c r="B49" s="31" t="str">
        <f>IF(ISBLANK(Inventory!A49),"",Inventory!C49)</f>
        <v/>
      </c>
      <c r="C49" s="187"/>
      <c r="D49" s="192"/>
      <c r="E49" s="187"/>
      <c r="F49" s="187"/>
      <c r="G49" s="187"/>
      <c r="H49" s="37">
        <f>IF(ISBLANK(Inventory!A49),0,C49+SUM('Week 4'!E49:G49)-SUM(E49:G49))</f>
        <v>0</v>
      </c>
      <c r="I49" s="35" t="str">
        <f>IF(OR(ISBLANK(J49),J49=0),"",Settings!$B$14)</f>
        <v/>
      </c>
      <c r="J49" s="30">
        <f>IF(ISBLANK(C49),0,C49*Inventory!F49)</f>
        <v>0</v>
      </c>
      <c r="K49" s="35" t="str">
        <f>IF(OR(ISBLANK(L49),L49=0),"",Settings!$B$14)</f>
        <v/>
      </c>
      <c r="L49" s="30">
        <f>IF(ISBLANK(Inventory!A49),0,SUM(E49:G49)*Inventory!F49)</f>
        <v>0</v>
      </c>
      <c r="M49" s="35" t="str">
        <f>IF(OR(ISBLANK(N49),N49=0),"",Settings!$B$14)</f>
        <v/>
      </c>
      <c r="N49" s="30">
        <f>IF(ISBLANK(Inventory!A49),0,SUM(E49:G49)*Inventory!L49)</f>
        <v>0</v>
      </c>
      <c r="O49" s="35" t="str">
        <f>IF(OR(ISBLANK(P49),P49=0),"",Settings!$B$14)</f>
        <v/>
      </c>
      <c r="P49" s="30">
        <f>IF(ISBLANK(Inventory!A49),0,H49*Inventory!L49)</f>
        <v>0</v>
      </c>
    </row>
    <row r="50" spans="1:16" s="29" customFormat="1" ht="15" customHeight="1">
      <c r="A50" s="31" t="str">
        <f>IF(ISBLANK(Inventory!A50),"",Inventory!A50)</f>
        <v/>
      </c>
      <c r="B50" s="31" t="str">
        <f>IF(ISBLANK(Inventory!A50),"",Inventory!C50)</f>
        <v/>
      </c>
      <c r="C50" s="187"/>
      <c r="D50" s="192"/>
      <c r="E50" s="187"/>
      <c r="F50" s="187"/>
      <c r="G50" s="187"/>
      <c r="H50" s="37">
        <f>IF(ISBLANK(Inventory!A50),0,C50+SUM('Week 4'!E50:G50)-SUM(E50:G50))</f>
        <v>0</v>
      </c>
      <c r="I50" s="35" t="str">
        <f>IF(OR(ISBLANK(J50),J50=0),"",Settings!$B$14)</f>
        <v/>
      </c>
      <c r="J50" s="30">
        <f>IF(ISBLANK(C50),0,C50*Inventory!F50)</f>
        <v>0</v>
      </c>
      <c r="K50" s="35" t="str">
        <f>IF(OR(ISBLANK(L50),L50=0),"",Settings!$B$14)</f>
        <v/>
      </c>
      <c r="L50" s="30">
        <f>IF(ISBLANK(Inventory!A50),0,SUM(E50:G50)*Inventory!F50)</f>
        <v>0</v>
      </c>
      <c r="M50" s="35" t="str">
        <f>IF(OR(ISBLANK(N50),N50=0),"",Settings!$B$14)</f>
        <v/>
      </c>
      <c r="N50" s="30">
        <f>IF(ISBLANK(Inventory!A50),0,SUM(E50:G50)*Inventory!L50)</f>
        <v>0</v>
      </c>
      <c r="O50" s="35" t="str">
        <f>IF(OR(ISBLANK(P50),P50=0),"",Settings!$B$14)</f>
        <v/>
      </c>
      <c r="P50" s="30">
        <f>IF(ISBLANK(Inventory!A50),0,H50*Inventory!L50)</f>
        <v>0</v>
      </c>
    </row>
    <row r="51" spans="1:16" s="29" customFormat="1" ht="15" customHeight="1">
      <c r="A51" s="31" t="str">
        <f>IF(ISBLANK(Inventory!A51),"",Inventory!A51)</f>
        <v/>
      </c>
      <c r="B51" s="31" t="str">
        <f>IF(ISBLANK(Inventory!A51),"",Inventory!C51)</f>
        <v/>
      </c>
      <c r="C51" s="187"/>
      <c r="D51" s="192"/>
      <c r="E51" s="187"/>
      <c r="F51" s="187"/>
      <c r="G51" s="187"/>
      <c r="H51" s="37">
        <f>IF(ISBLANK(Inventory!A51),0,C51+SUM('Week 4'!E51:G51)-SUM(E51:G51))</f>
        <v>0</v>
      </c>
      <c r="I51" s="35" t="str">
        <f>IF(OR(ISBLANK(J51),J51=0),"",Settings!$B$14)</f>
        <v/>
      </c>
      <c r="J51" s="30">
        <f>IF(ISBLANK(C51),0,C51*Inventory!F51)</f>
        <v>0</v>
      </c>
      <c r="K51" s="35" t="str">
        <f>IF(OR(ISBLANK(L51),L51=0),"",Settings!$B$14)</f>
        <v/>
      </c>
      <c r="L51" s="30">
        <f>IF(ISBLANK(Inventory!A51),0,SUM(E51:G51)*Inventory!F51)</f>
        <v>0</v>
      </c>
      <c r="M51" s="35" t="str">
        <f>IF(OR(ISBLANK(N51),N51=0),"",Settings!$B$14)</f>
        <v/>
      </c>
      <c r="N51" s="30">
        <f>IF(ISBLANK(Inventory!A51),0,SUM(E51:G51)*Inventory!L51)</f>
        <v>0</v>
      </c>
      <c r="O51" s="35" t="str">
        <f>IF(OR(ISBLANK(P51),P51=0),"",Settings!$B$14)</f>
        <v/>
      </c>
      <c r="P51" s="30">
        <f>IF(ISBLANK(Inventory!A51),0,H51*Inventory!L51)</f>
        <v>0</v>
      </c>
    </row>
    <row r="52" spans="1:16" s="29" customFormat="1" ht="15" customHeight="1">
      <c r="A52" s="31" t="str">
        <f>IF(ISBLANK(Inventory!A52),"",Inventory!A52)</f>
        <v/>
      </c>
      <c r="B52" s="31" t="str">
        <f>IF(ISBLANK(Inventory!A52),"",Inventory!C52)</f>
        <v/>
      </c>
      <c r="C52" s="187"/>
      <c r="D52" s="192"/>
      <c r="E52" s="187"/>
      <c r="F52" s="187"/>
      <c r="G52" s="187"/>
      <c r="H52" s="37">
        <f>IF(ISBLANK(Inventory!A52),0,C52+SUM('Week 4'!E52:G52)-SUM(E52:G52))</f>
        <v>0</v>
      </c>
      <c r="I52" s="35" t="str">
        <f>IF(OR(ISBLANK(J52),J52=0),"",Settings!$B$14)</f>
        <v/>
      </c>
      <c r="J52" s="30">
        <f>IF(ISBLANK(C52),0,C52*Inventory!F52)</f>
        <v>0</v>
      </c>
      <c r="K52" s="35" t="str">
        <f>IF(OR(ISBLANK(L52),L52=0),"",Settings!$B$14)</f>
        <v/>
      </c>
      <c r="L52" s="30">
        <f>IF(ISBLANK(Inventory!A52),0,SUM(E52:G52)*Inventory!F52)</f>
        <v>0</v>
      </c>
      <c r="M52" s="35" t="str">
        <f>IF(OR(ISBLANK(N52),N52=0),"",Settings!$B$14)</f>
        <v/>
      </c>
      <c r="N52" s="30">
        <f>IF(ISBLANK(Inventory!A52),0,SUM(E52:G52)*Inventory!L52)</f>
        <v>0</v>
      </c>
      <c r="O52" s="35" t="str">
        <f>IF(OR(ISBLANK(P52),P52=0),"",Settings!$B$14)</f>
        <v/>
      </c>
      <c r="P52" s="30">
        <f>IF(ISBLANK(Inventory!A52),0,H52*Inventory!L52)</f>
        <v>0</v>
      </c>
    </row>
    <row r="53" spans="1:16" s="29" customFormat="1" ht="15" customHeight="1">
      <c r="A53" s="31" t="str">
        <f>IF(ISBLANK(Inventory!A53),"",Inventory!A53)</f>
        <v/>
      </c>
      <c r="B53" s="31" t="str">
        <f>IF(ISBLANK(Inventory!A53),"",Inventory!C53)</f>
        <v/>
      </c>
      <c r="C53" s="187"/>
      <c r="D53" s="192"/>
      <c r="E53" s="187"/>
      <c r="F53" s="187"/>
      <c r="G53" s="187"/>
      <c r="H53" s="37">
        <f>IF(ISBLANK(Inventory!A53),0,C53+SUM('Week 4'!E53:G53)-SUM(E53:G53))</f>
        <v>0</v>
      </c>
      <c r="I53" s="35" t="str">
        <f>IF(OR(ISBLANK(J53),J53=0),"",Settings!$B$14)</f>
        <v/>
      </c>
      <c r="J53" s="30">
        <f>IF(ISBLANK(C53),0,C53*Inventory!F53)</f>
        <v>0</v>
      </c>
      <c r="K53" s="35" t="str">
        <f>IF(OR(ISBLANK(L53),L53=0),"",Settings!$B$14)</f>
        <v/>
      </c>
      <c r="L53" s="30">
        <f>IF(ISBLANK(Inventory!A53),0,SUM(E53:G53)*Inventory!F53)</f>
        <v>0</v>
      </c>
      <c r="M53" s="35" t="str">
        <f>IF(OR(ISBLANK(N53),N53=0),"",Settings!$B$14)</f>
        <v/>
      </c>
      <c r="N53" s="30">
        <f>IF(ISBLANK(Inventory!A53),0,SUM(E53:G53)*Inventory!L53)</f>
        <v>0</v>
      </c>
      <c r="O53" s="35" t="str">
        <f>IF(OR(ISBLANK(P53),P53=0),"",Settings!$B$14)</f>
        <v/>
      </c>
      <c r="P53" s="30">
        <f>IF(ISBLANK(Inventory!A53),0,H53*Inventory!L53)</f>
        <v>0</v>
      </c>
    </row>
    <row r="54" spans="1:16" s="29" customFormat="1" ht="15" customHeight="1">
      <c r="A54" s="31" t="str">
        <f>IF(ISBLANK(Inventory!A54),"",Inventory!A54)</f>
        <v/>
      </c>
      <c r="B54" s="31" t="str">
        <f>IF(ISBLANK(Inventory!A54),"",Inventory!C54)</f>
        <v/>
      </c>
      <c r="C54" s="187"/>
      <c r="D54" s="192"/>
      <c r="E54" s="187"/>
      <c r="F54" s="187"/>
      <c r="G54" s="187"/>
      <c r="H54" s="37">
        <f>IF(ISBLANK(Inventory!A54),0,C54+SUM('Week 4'!E54:G54)-SUM(E54:G54))</f>
        <v>0</v>
      </c>
      <c r="I54" s="35" t="str">
        <f>IF(OR(ISBLANK(J54),J54=0),"",Settings!$B$14)</f>
        <v/>
      </c>
      <c r="J54" s="30">
        <f>IF(ISBLANK(C54),0,C54*Inventory!F54)</f>
        <v>0</v>
      </c>
      <c r="K54" s="35" t="str">
        <f>IF(OR(ISBLANK(L54),L54=0),"",Settings!$B$14)</f>
        <v/>
      </c>
      <c r="L54" s="30">
        <f>IF(ISBLANK(Inventory!A54),0,SUM(E54:G54)*Inventory!F54)</f>
        <v>0</v>
      </c>
      <c r="M54" s="35" t="str">
        <f>IF(OR(ISBLANK(N54),N54=0),"",Settings!$B$14)</f>
        <v/>
      </c>
      <c r="N54" s="30">
        <f>IF(ISBLANK(Inventory!A54),0,SUM(E54:G54)*Inventory!L54)</f>
        <v>0</v>
      </c>
      <c r="O54" s="35" t="str">
        <f>IF(OR(ISBLANK(P54),P54=0),"",Settings!$B$14)</f>
        <v/>
      </c>
      <c r="P54" s="30">
        <f>IF(ISBLANK(Inventory!A54),0,H54*Inventory!L54)</f>
        <v>0</v>
      </c>
    </row>
    <row r="55" spans="1:16" s="29" customFormat="1" ht="15" customHeight="1">
      <c r="A55" s="31" t="str">
        <f>IF(ISBLANK(Inventory!A55),"",Inventory!A55)</f>
        <v/>
      </c>
      <c r="B55" s="31" t="str">
        <f>IF(ISBLANK(Inventory!A55),"",Inventory!C55)</f>
        <v/>
      </c>
      <c r="C55" s="187"/>
      <c r="D55" s="192"/>
      <c r="E55" s="187"/>
      <c r="F55" s="187"/>
      <c r="G55" s="187"/>
      <c r="H55" s="37">
        <f>IF(ISBLANK(Inventory!A55),0,C55+SUM('Week 4'!E55:G55)-SUM(E55:G55))</f>
        <v>0</v>
      </c>
      <c r="I55" s="35" t="str">
        <f>IF(OR(ISBLANK(J55),J55=0),"",Settings!$B$14)</f>
        <v/>
      </c>
      <c r="J55" s="30">
        <f>IF(ISBLANK(C55),0,C55*Inventory!F55)</f>
        <v>0</v>
      </c>
      <c r="K55" s="35" t="str">
        <f>IF(OR(ISBLANK(L55),L55=0),"",Settings!$B$14)</f>
        <v/>
      </c>
      <c r="L55" s="30">
        <f>IF(ISBLANK(Inventory!A55),0,SUM(E55:G55)*Inventory!F55)</f>
        <v>0</v>
      </c>
      <c r="M55" s="35" t="str">
        <f>IF(OR(ISBLANK(N55),N55=0),"",Settings!$B$14)</f>
        <v/>
      </c>
      <c r="N55" s="30">
        <f>IF(ISBLANK(Inventory!A55),0,SUM(E55:G55)*Inventory!L55)</f>
        <v>0</v>
      </c>
      <c r="O55" s="35" t="str">
        <f>IF(OR(ISBLANK(P55),P55=0),"",Settings!$B$14)</f>
        <v/>
      </c>
      <c r="P55" s="30">
        <f>IF(ISBLANK(Inventory!A55),0,H55*Inventory!L55)</f>
        <v>0</v>
      </c>
    </row>
    <row r="56" spans="1:16" ht="6.95" customHeight="1">
      <c r="A56" s="24"/>
      <c r="B56" s="24"/>
      <c r="C56" s="69"/>
      <c r="D56" s="69"/>
      <c r="E56" s="69"/>
      <c r="F56" s="69"/>
      <c r="G56" s="69"/>
      <c r="H56" s="69"/>
      <c r="I56" s="69"/>
      <c r="J56" s="69"/>
      <c r="K56" s="69"/>
      <c r="L56" s="25"/>
      <c r="M56" s="62"/>
      <c r="N56" s="160"/>
      <c r="O56" s="25"/>
      <c r="P56" s="160"/>
    </row>
    <row r="57" spans="1:16" s="50" customFormat="1" ht="18" customHeight="1" thickBot="1">
      <c r="A57" s="78" t="str">
        <f>Inventory!A57</f>
        <v>FORTIFIED WINES</v>
      </c>
      <c r="B57" s="78" t="str">
        <f>Inventory!C57</f>
        <v>VOLUME</v>
      </c>
      <c r="C57" s="22" t="s">
        <v>187</v>
      </c>
      <c r="D57" s="22"/>
      <c r="E57" s="22" t="s">
        <v>101</v>
      </c>
      <c r="F57" s="22" t="s">
        <v>102</v>
      </c>
      <c r="G57" s="23" t="s">
        <v>108</v>
      </c>
      <c r="H57" s="79" t="s">
        <v>119</v>
      </c>
      <c r="I57" s="253" t="s">
        <v>190</v>
      </c>
      <c r="J57" s="253"/>
      <c r="K57" s="235" t="s">
        <v>30</v>
      </c>
      <c r="L57" s="235"/>
      <c r="M57" s="235" t="s">
        <v>31</v>
      </c>
      <c r="N57" s="235"/>
      <c r="O57" s="235" t="s">
        <v>189</v>
      </c>
      <c r="P57" s="235"/>
    </row>
    <row r="58" spans="1:16" ht="6.95" customHeight="1" thickTop="1">
      <c r="A58" s="193"/>
      <c r="B58" s="194"/>
      <c r="C58" s="71"/>
      <c r="D58" s="71"/>
      <c r="E58" s="67"/>
      <c r="F58" s="67"/>
      <c r="G58" s="71"/>
      <c r="H58" s="71"/>
      <c r="I58" s="71"/>
      <c r="J58" s="71"/>
      <c r="K58" s="71"/>
      <c r="L58" s="67"/>
      <c r="M58" s="62"/>
      <c r="N58" s="67"/>
      <c r="O58" s="67"/>
      <c r="P58" s="67"/>
    </row>
    <row r="59" spans="1:16" s="29" customFormat="1" ht="15" customHeight="1">
      <c r="A59" s="31" t="str">
        <f>IF(ISBLANK(Inventory!A59),"",Inventory!A59)</f>
        <v>Cinzano Bianco</v>
      </c>
      <c r="B59" s="31" t="str">
        <f>IF(ISBLANK(Inventory!A59),"",Inventory!C59)</f>
        <v>75cl</v>
      </c>
      <c r="C59" s="187"/>
      <c r="D59" s="192"/>
      <c r="E59" s="187">
        <v>1</v>
      </c>
      <c r="F59" s="187"/>
      <c r="G59" s="187"/>
      <c r="H59" s="37">
        <f>IF(ISBLANK(Inventory!A59),0,C59+SUM('Week 4'!E59:G59)-SUM(E59:G59))</f>
        <v>0.19999999999999996</v>
      </c>
      <c r="I59" s="35" t="str">
        <f>IF(OR(ISBLANK(J59),J59=0),"",Settings!$B$14)</f>
        <v/>
      </c>
      <c r="J59" s="30">
        <f>IF(ISBLANK(C59),0,C59*Inventory!F59)</f>
        <v>0</v>
      </c>
      <c r="K59" s="35" t="str">
        <f>IF(OR(ISBLANK(L59),L59=0),"",Settings!$B$14)</f>
        <v>$</v>
      </c>
      <c r="L59" s="30">
        <f>IF(ISBLANK(Inventory!A59),0,SUM(E59:G59)*Inventory!F59)</f>
        <v>13.44</v>
      </c>
      <c r="M59" s="35" t="str">
        <f>IF(OR(ISBLANK(N59),N59=0),"",Settings!$B$14)</f>
        <v>$</v>
      </c>
      <c r="N59" s="30">
        <f>IF(ISBLANK(Inventory!A59),0,SUM(E59:G59)*Inventory!L59)</f>
        <v>28.349999999999998</v>
      </c>
      <c r="O59" s="35" t="str">
        <f>IF(OR(ISBLANK(P59),P59=0),"",Settings!$B$14)</f>
        <v>$</v>
      </c>
      <c r="P59" s="30">
        <f>IF(ISBLANK(Inventory!A59),0,H59*Inventory!L59)</f>
        <v>5.6699999999999982</v>
      </c>
    </row>
    <row r="60" spans="1:16" s="29" customFormat="1" ht="15" customHeight="1">
      <c r="A60" s="31" t="str">
        <f>IF(ISBLANK(Inventory!A60),"",Inventory!A60)</f>
        <v>Martini Dry</v>
      </c>
      <c r="B60" s="31" t="str">
        <f>IF(ISBLANK(Inventory!A60),"",Inventory!C60)</f>
        <v>75cl</v>
      </c>
      <c r="C60" s="187"/>
      <c r="D60" s="192"/>
      <c r="E60" s="187"/>
      <c r="F60" s="187"/>
      <c r="G60" s="187"/>
      <c r="H60" s="37">
        <f>IF(ISBLANK(Inventory!A60),0,C60+SUM('Week 4'!E60:G60)-SUM(E60:G60))</f>
        <v>0</v>
      </c>
      <c r="I60" s="35" t="str">
        <f>IF(OR(ISBLANK(J60),J60=0),"",Settings!$B$14)</f>
        <v/>
      </c>
      <c r="J60" s="30">
        <f>IF(ISBLANK(C60),0,C60*Inventory!F60)</f>
        <v>0</v>
      </c>
      <c r="K60" s="35" t="str">
        <f>IF(OR(ISBLANK(L60),L60=0),"",Settings!$B$14)</f>
        <v/>
      </c>
      <c r="L60" s="30">
        <f>IF(ISBLANK(Inventory!A60),0,SUM(E60:G60)*Inventory!F60)</f>
        <v>0</v>
      </c>
      <c r="M60" s="35" t="str">
        <f>IF(OR(ISBLANK(N60),N60=0),"",Settings!$B$14)</f>
        <v/>
      </c>
      <c r="N60" s="30">
        <f>IF(ISBLANK(Inventory!A60),0,SUM(E60:G60)*Inventory!L60)</f>
        <v>0</v>
      </c>
      <c r="O60" s="35" t="str">
        <f>IF(OR(ISBLANK(P60),P60=0),"",Settings!$B$14)</f>
        <v/>
      </c>
      <c r="P60" s="30">
        <f>IF(ISBLANK(Inventory!A60),0,H60*Inventory!L60)</f>
        <v>0</v>
      </c>
    </row>
    <row r="61" spans="1:16" s="29" customFormat="1" ht="15" customHeight="1">
      <c r="A61" s="31" t="str">
        <f>IF(ISBLANK(Inventory!A61),"",Inventory!A61)</f>
        <v>Martini Rosso</v>
      </c>
      <c r="B61" s="31" t="str">
        <f>IF(ISBLANK(Inventory!A61),"",Inventory!C61)</f>
        <v>75cl</v>
      </c>
      <c r="C61" s="187"/>
      <c r="D61" s="192"/>
      <c r="E61" s="187"/>
      <c r="F61" s="187"/>
      <c r="G61" s="187"/>
      <c r="H61" s="37">
        <f>IF(ISBLANK(Inventory!A61),0,C61+SUM('Week 4'!E61:G61)-SUM(E61:G61))</f>
        <v>0</v>
      </c>
      <c r="I61" s="35" t="str">
        <f>IF(OR(ISBLANK(J61),J61=0),"",Settings!$B$14)</f>
        <v/>
      </c>
      <c r="J61" s="30">
        <f>IF(ISBLANK(C61),0,C61*Inventory!F61)</f>
        <v>0</v>
      </c>
      <c r="K61" s="35" t="str">
        <f>IF(OR(ISBLANK(L61),L61=0),"",Settings!$B$14)</f>
        <v/>
      </c>
      <c r="L61" s="30">
        <f>IF(ISBLANK(Inventory!A61),0,SUM(E61:G61)*Inventory!F61)</f>
        <v>0</v>
      </c>
      <c r="M61" s="35" t="str">
        <f>IF(OR(ISBLANK(N61),N61=0),"",Settings!$B$14)</f>
        <v/>
      </c>
      <c r="N61" s="30">
        <f>IF(ISBLANK(Inventory!A61),0,SUM(E61:G61)*Inventory!L61)</f>
        <v>0</v>
      </c>
      <c r="O61" s="35" t="str">
        <f>IF(OR(ISBLANK(P61),P61=0),"",Settings!$B$14)</f>
        <v/>
      </c>
      <c r="P61" s="30">
        <f>IF(ISBLANK(Inventory!A61),0,H61*Inventory!L61)</f>
        <v>0</v>
      </c>
    </row>
    <row r="62" spans="1:16" s="29" customFormat="1" ht="15" customHeight="1">
      <c r="A62" s="31" t="str">
        <f>IF(ISBLANK(Inventory!A62),"",Inventory!A62)</f>
        <v>Campari</v>
      </c>
      <c r="B62" s="31" t="str">
        <f>IF(ISBLANK(Inventory!A62),"",Inventory!C62)</f>
        <v>75cl</v>
      </c>
      <c r="C62" s="187"/>
      <c r="D62" s="192"/>
      <c r="E62" s="187"/>
      <c r="F62" s="187"/>
      <c r="G62" s="187"/>
      <c r="H62" s="37">
        <f>IF(ISBLANK(Inventory!A62),0,C62+SUM('Week 4'!E62:G62)-SUM(E62:G62))</f>
        <v>0</v>
      </c>
      <c r="I62" s="35" t="str">
        <f>IF(OR(ISBLANK(J62),J62=0),"",Settings!$B$14)</f>
        <v/>
      </c>
      <c r="J62" s="30">
        <f>IF(ISBLANK(C62),0,C62*Inventory!F62)</f>
        <v>0</v>
      </c>
      <c r="K62" s="35" t="str">
        <f>IF(OR(ISBLANK(L62),L62=0),"",Settings!$B$14)</f>
        <v/>
      </c>
      <c r="L62" s="30">
        <f>IF(ISBLANK(Inventory!A62),0,SUM(E62:G62)*Inventory!F62)</f>
        <v>0</v>
      </c>
      <c r="M62" s="35" t="str">
        <f>IF(OR(ISBLANK(N62),N62=0),"",Settings!$B$14)</f>
        <v/>
      </c>
      <c r="N62" s="30">
        <f>IF(ISBLANK(Inventory!A62),0,SUM(E62:G62)*Inventory!L62)</f>
        <v>0</v>
      </c>
      <c r="O62" s="35" t="str">
        <f>IF(OR(ISBLANK(P62),P62=0),"",Settings!$B$14)</f>
        <v/>
      </c>
      <c r="P62" s="30">
        <f>IF(ISBLANK(Inventory!A62),0,H62*Inventory!L62)</f>
        <v>0</v>
      </c>
    </row>
    <row r="63" spans="1:16" s="29" customFormat="1" ht="15" customHeight="1">
      <c r="A63" s="31" t="str">
        <f>IF(ISBLANK(Inventory!A63),"",Inventory!A63)</f>
        <v>Cockburns Ruby</v>
      </c>
      <c r="B63" s="31" t="str">
        <f>IF(ISBLANK(Inventory!A63),"",Inventory!C63)</f>
        <v>75cl</v>
      </c>
      <c r="C63" s="187"/>
      <c r="D63" s="192"/>
      <c r="E63" s="187"/>
      <c r="F63" s="187"/>
      <c r="G63" s="187"/>
      <c r="H63" s="37">
        <f>IF(ISBLANK(Inventory!A63),0,C63+SUM('Week 4'!E63:G63)-SUM(E63:G63))</f>
        <v>0</v>
      </c>
      <c r="I63" s="35" t="str">
        <f>IF(OR(ISBLANK(J63),J63=0),"",Settings!$B$14)</f>
        <v/>
      </c>
      <c r="J63" s="30">
        <f>IF(ISBLANK(C63),0,C63*Inventory!F63)</f>
        <v>0</v>
      </c>
      <c r="K63" s="35" t="str">
        <f>IF(OR(ISBLANK(L63),L63=0),"",Settings!$B$14)</f>
        <v/>
      </c>
      <c r="L63" s="30">
        <f>IF(ISBLANK(Inventory!A63),0,SUM(E63:G63)*Inventory!F63)</f>
        <v>0</v>
      </c>
      <c r="M63" s="35" t="str">
        <f>IF(OR(ISBLANK(N63),N63=0),"",Settings!$B$14)</f>
        <v/>
      </c>
      <c r="N63" s="30">
        <f>IF(ISBLANK(Inventory!A63),0,SUM(E63:G63)*Inventory!L63)</f>
        <v>0</v>
      </c>
      <c r="O63" s="35" t="str">
        <f>IF(OR(ISBLANK(P63),P63=0),"",Settings!$B$14)</f>
        <v/>
      </c>
      <c r="P63" s="30">
        <f>IF(ISBLANK(Inventory!A63),0,H63*Inventory!L63)</f>
        <v>0</v>
      </c>
    </row>
    <row r="64" spans="1:16" s="29" customFormat="1" ht="15" customHeight="1">
      <c r="A64" s="31" t="str">
        <f>IF(ISBLANK(Inventory!A64),"",Inventory!A64)</f>
        <v>Bristol Cream</v>
      </c>
      <c r="B64" s="31" t="str">
        <f>IF(ISBLANK(Inventory!A64),"",Inventory!C64)</f>
        <v>75cl</v>
      </c>
      <c r="C64" s="187"/>
      <c r="D64" s="192"/>
      <c r="E64" s="187"/>
      <c r="F64" s="187"/>
      <c r="G64" s="187"/>
      <c r="H64" s="37">
        <f>IF(ISBLANK(Inventory!A64),0,C64+SUM('Week 4'!E64:G64)-SUM(E64:G64))</f>
        <v>0</v>
      </c>
      <c r="I64" s="35" t="str">
        <f>IF(OR(ISBLANK(J64),J64=0),"",Settings!$B$14)</f>
        <v/>
      </c>
      <c r="J64" s="30">
        <f>IF(ISBLANK(C64),0,C64*Inventory!F64)</f>
        <v>0</v>
      </c>
      <c r="K64" s="35" t="str">
        <f>IF(OR(ISBLANK(L64),L64=0),"",Settings!$B$14)</f>
        <v/>
      </c>
      <c r="L64" s="30">
        <f>IF(ISBLANK(Inventory!A64),0,SUM(E64:G64)*Inventory!F64)</f>
        <v>0</v>
      </c>
      <c r="M64" s="35" t="str">
        <f>IF(OR(ISBLANK(N64),N64=0),"",Settings!$B$14)</f>
        <v/>
      </c>
      <c r="N64" s="30">
        <f>IF(ISBLANK(Inventory!A64),0,SUM(E64:G64)*Inventory!L64)</f>
        <v>0</v>
      </c>
      <c r="O64" s="35" t="str">
        <f>IF(OR(ISBLANK(P64),P64=0),"",Settings!$B$14)</f>
        <v/>
      </c>
      <c r="P64" s="30">
        <f>IF(ISBLANK(Inventory!A64),0,H64*Inventory!L64)</f>
        <v>0</v>
      </c>
    </row>
    <row r="65" spans="1:16" s="29" customFormat="1" ht="15" customHeight="1">
      <c r="A65" s="31" t="str">
        <f>IF(ISBLANK(Inventory!A65),"",Inventory!A65)</f>
        <v>Club Classic</v>
      </c>
      <c r="B65" s="31" t="str">
        <f>IF(ISBLANK(Inventory!A65),"",Inventory!C65)</f>
        <v>75cl</v>
      </c>
      <c r="C65" s="187"/>
      <c r="D65" s="192"/>
      <c r="E65" s="187"/>
      <c r="F65" s="187"/>
      <c r="G65" s="187"/>
      <c r="H65" s="37">
        <f>IF(ISBLANK(Inventory!A65),0,C65+SUM('Week 4'!E65:G65)-SUM(E65:G65))</f>
        <v>0</v>
      </c>
      <c r="I65" s="35" t="str">
        <f>IF(OR(ISBLANK(J65),J65=0),"",Settings!$B$14)</f>
        <v/>
      </c>
      <c r="J65" s="30">
        <f>IF(ISBLANK(C65),0,C65*Inventory!F65)</f>
        <v>0</v>
      </c>
      <c r="K65" s="35" t="str">
        <f>IF(OR(ISBLANK(L65),L65=0),"",Settings!$B$14)</f>
        <v/>
      </c>
      <c r="L65" s="30">
        <f>IF(ISBLANK(Inventory!A65),0,SUM(E65:G65)*Inventory!F65)</f>
        <v>0</v>
      </c>
      <c r="M65" s="35" t="str">
        <f>IF(OR(ISBLANK(N65),N65=0),"",Settings!$B$14)</f>
        <v/>
      </c>
      <c r="N65" s="30">
        <f>IF(ISBLANK(Inventory!A65),0,SUM(E65:G65)*Inventory!L65)</f>
        <v>0</v>
      </c>
      <c r="O65" s="35" t="str">
        <f>IF(OR(ISBLANK(P65),P65=0),"",Settings!$B$14)</f>
        <v/>
      </c>
      <c r="P65" s="30">
        <f>IF(ISBLANK(Inventory!A65),0,H65*Inventory!L65)</f>
        <v>0</v>
      </c>
    </row>
    <row r="66" spans="1:16" s="29" customFormat="1" ht="15" customHeight="1">
      <c r="A66" s="31" t="str">
        <f>IF(ISBLANK(Inventory!A66),"",Inventory!A66)</f>
        <v>Harveys Dune</v>
      </c>
      <c r="B66" s="31" t="str">
        <f>IF(ISBLANK(Inventory!A66),"",Inventory!C66)</f>
        <v>75cl</v>
      </c>
      <c r="C66" s="187"/>
      <c r="D66" s="192"/>
      <c r="E66" s="187"/>
      <c r="F66" s="187"/>
      <c r="G66" s="187"/>
      <c r="H66" s="37">
        <f>IF(ISBLANK(Inventory!A66),0,C66+SUM('Week 4'!E66:G66)-SUM(E66:G66))</f>
        <v>0</v>
      </c>
      <c r="I66" s="35" t="str">
        <f>IF(OR(ISBLANK(J66),J66=0),"",Settings!$B$14)</f>
        <v/>
      </c>
      <c r="J66" s="30">
        <f>IF(ISBLANK(C66),0,C66*Inventory!F66)</f>
        <v>0</v>
      </c>
      <c r="K66" s="35" t="str">
        <f>IF(OR(ISBLANK(L66),L66=0),"",Settings!$B$14)</f>
        <v/>
      </c>
      <c r="L66" s="30">
        <f>IF(ISBLANK(Inventory!A66),0,SUM(E66:G66)*Inventory!F66)</f>
        <v>0</v>
      </c>
      <c r="M66" s="35" t="str">
        <f>IF(OR(ISBLANK(N66),N66=0),"",Settings!$B$14)</f>
        <v/>
      </c>
      <c r="N66" s="30">
        <f>IF(ISBLANK(Inventory!A66),0,SUM(E66:G66)*Inventory!L66)</f>
        <v>0</v>
      </c>
      <c r="O66" s="35" t="str">
        <f>IF(OR(ISBLANK(P66),P66=0),"",Settings!$B$14)</f>
        <v/>
      </c>
      <c r="P66" s="30">
        <f>IF(ISBLANK(Inventory!A66),0,H66*Inventory!L66)</f>
        <v>0</v>
      </c>
    </row>
    <row r="67" spans="1:16" s="29" customFormat="1" ht="15" customHeight="1">
      <c r="A67" s="31" t="str">
        <f>IF(ISBLANK(Inventory!A67),"",Inventory!A67)</f>
        <v/>
      </c>
      <c r="B67" s="31" t="str">
        <f>IF(ISBLANK(Inventory!A67),"",Inventory!C67)</f>
        <v/>
      </c>
      <c r="C67" s="187"/>
      <c r="D67" s="192"/>
      <c r="E67" s="187"/>
      <c r="F67" s="187"/>
      <c r="G67" s="187"/>
      <c r="H67" s="37">
        <f>IF(ISBLANK(Inventory!A67),0,C67+SUM('Week 4'!E67:G67)-SUM(E67:G67))</f>
        <v>0</v>
      </c>
      <c r="I67" s="35" t="str">
        <f>IF(OR(ISBLANK(J67),J67=0),"",Settings!$B$14)</f>
        <v/>
      </c>
      <c r="J67" s="30">
        <f>IF(ISBLANK(C67),0,C67*Inventory!F67)</f>
        <v>0</v>
      </c>
      <c r="K67" s="35" t="str">
        <f>IF(OR(ISBLANK(L67),L67=0),"",Settings!$B$14)</f>
        <v/>
      </c>
      <c r="L67" s="30">
        <f>IF(ISBLANK(Inventory!A67),0,SUM(E67:G67)*Inventory!F67)</f>
        <v>0</v>
      </c>
      <c r="M67" s="35" t="str">
        <f>IF(OR(ISBLANK(N67),N67=0),"",Settings!$B$14)</f>
        <v/>
      </c>
      <c r="N67" s="30">
        <f>IF(ISBLANK(Inventory!A67),0,SUM(E67:G67)*Inventory!L67)</f>
        <v>0</v>
      </c>
      <c r="O67" s="35" t="str">
        <f>IF(OR(ISBLANK(P67),P67=0),"",Settings!$B$14)</f>
        <v/>
      </c>
      <c r="P67" s="30">
        <f>IF(ISBLANK(Inventory!A67),0,H67*Inventory!L67)</f>
        <v>0</v>
      </c>
    </row>
    <row r="68" spans="1:16" s="29" customFormat="1" ht="15" customHeight="1">
      <c r="A68" s="31" t="str">
        <f>IF(ISBLANK(Inventory!A68),"",Inventory!A68)</f>
        <v/>
      </c>
      <c r="B68" s="31" t="str">
        <f>IF(ISBLANK(Inventory!A68),"",Inventory!C68)</f>
        <v/>
      </c>
      <c r="C68" s="187"/>
      <c r="D68" s="192"/>
      <c r="E68" s="187"/>
      <c r="F68" s="187"/>
      <c r="G68" s="187"/>
      <c r="H68" s="37">
        <f>IF(ISBLANK(Inventory!A68),0,C68+SUM('Week 4'!E68:G68)-SUM(E68:G68))</f>
        <v>0</v>
      </c>
      <c r="I68" s="35" t="str">
        <f>IF(OR(ISBLANK(J68),J68=0),"",Settings!$B$14)</f>
        <v/>
      </c>
      <c r="J68" s="30">
        <f>IF(ISBLANK(C68),0,C68*Inventory!F68)</f>
        <v>0</v>
      </c>
      <c r="K68" s="35" t="str">
        <f>IF(OR(ISBLANK(L68),L68=0),"",Settings!$B$14)</f>
        <v/>
      </c>
      <c r="L68" s="30">
        <f>IF(ISBLANK(Inventory!A68),0,SUM(E68:G68)*Inventory!F68)</f>
        <v>0</v>
      </c>
      <c r="M68" s="35" t="str">
        <f>IF(OR(ISBLANK(N68),N68=0),"",Settings!$B$14)</f>
        <v/>
      </c>
      <c r="N68" s="30">
        <f>IF(ISBLANK(Inventory!A68),0,SUM(E68:G68)*Inventory!L68)</f>
        <v>0</v>
      </c>
      <c r="O68" s="35" t="str">
        <f>IF(OR(ISBLANK(P68),P68=0),"",Settings!$B$14)</f>
        <v/>
      </c>
      <c r="P68" s="30">
        <f>IF(ISBLANK(Inventory!A68),0,H68*Inventory!L68)</f>
        <v>0</v>
      </c>
    </row>
    <row r="69" spans="1:16" s="29" customFormat="1" ht="15" customHeight="1">
      <c r="A69" s="31" t="str">
        <f>IF(ISBLANK(Inventory!A69),"",Inventory!A69)</f>
        <v/>
      </c>
      <c r="B69" s="31" t="str">
        <f>IF(ISBLANK(Inventory!A69),"",Inventory!C69)</f>
        <v/>
      </c>
      <c r="C69" s="187"/>
      <c r="D69" s="192"/>
      <c r="E69" s="187"/>
      <c r="F69" s="187"/>
      <c r="G69" s="187"/>
      <c r="H69" s="37">
        <f>IF(ISBLANK(Inventory!A69),0,C69+SUM('Week 4'!E69:G69)-SUM(E69:G69))</f>
        <v>0</v>
      </c>
      <c r="I69" s="35" t="str">
        <f>IF(OR(ISBLANK(J69),J69=0),"",Settings!$B$14)</f>
        <v/>
      </c>
      <c r="J69" s="30">
        <f>IF(ISBLANK(C69),0,C69*Inventory!F69)</f>
        <v>0</v>
      </c>
      <c r="K69" s="35" t="str">
        <f>IF(OR(ISBLANK(L69),L69=0),"",Settings!$B$14)</f>
        <v/>
      </c>
      <c r="L69" s="30">
        <f>IF(ISBLANK(Inventory!A69),0,SUM(E69:G69)*Inventory!F69)</f>
        <v>0</v>
      </c>
      <c r="M69" s="35" t="str">
        <f>IF(OR(ISBLANK(N69),N69=0),"",Settings!$B$14)</f>
        <v/>
      </c>
      <c r="N69" s="30">
        <f>IF(ISBLANK(Inventory!A69),0,SUM(E69:G69)*Inventory!L69)</f>
        <v>0</v>
      </c>
      <c r="O69" s="35" t="str">
        <f>IF(OR(ISBLANK(P69),P69=0),"",Settings!$B$14)</f>
        <v/>
      </c>
      <c r="P69" s="30">
        <f>IF(ISBLANK(Inventory!A69),0,H69*Inventory!L69)</f>
        <v>0</v>
      </c>
    </row>
    <row r="70" spans="1:16" s="29" customFormat="1" ht="15" customHeight="1">
      <c r="A70" s="31" t="str">
        <f>IF(ISBLANK(Inventory!A70),"",Inventory!A70)</f>
        <v/>
      </c>
      <c r="B70" s="31" t="str">
        <f>IF(ISBLANK(Inventory!A70),"",Inventory!C70)</f>
        <v/>
      </c>
      <c r="C70" s="187"/>
      <c r="D70" s="192"/>
      <c r="E70" s="187"/>
      <c r="F70" s="187"/>
      <c r="G70" s="187"/>
      <c r="H70" s="37">
        <f>IF(ISBLANK(Inventory!A70),0,C70+SUM('Week 4'!E70:G70)-SUM(E70:G70))</f>
        <v>0</v>
      </c>
      <c r="I70" s="35" t="str">
        <f>IF(OR(ISBLANK(J70),J70=0),"",Settings!$B$14)</f>
        <v/>
      </c>
      <c r="J70" s="30">
        <f>IF(ISBLANK(C70),0,C70*Inventory!F70)</f>
        <v>0</v>
      </c>
      <c r="K70" s="35" t="str">
        <f>IF(OR(ISBLANK(L70),L70=0),"",Settings!$B$14)</f>
        <v/>
      </c>
      <c r="L70" s="30">
        <f>IF(ISBLANK(Inventory!A70),0,SUM(E70:G70)*Inventory!F70)</f>
        <v>0</v>
      </c>
      <c r="M70" s="35" t="str">
        <f>IF(OR(ISBLANK(N70),N70=0),"",Settings!$B$14)</f>
        <v/>
      </c>
      <c r="N70" s="30">
        <f>IF(ISBLANK(Inventory!A70),0,SUM(E70:G70)*Inventory!L70)</f>
        <v>0</v>
      </c>
      <c r="O70" s="35" t="str">
        <f>IF(OR(ISBLANK(P70),P70=0),"",Settings!$B$14)</f>
        <v/>
      </c>
      <c r="P70" s="30">
        <f>IF(ISBLANK(Inventory!A70),0,H70*Inventory!L70)</f>
        <v>0</v>
      </c>
    </row>
    <row r="71" spans="1:16" s="29" customFormat="1" ht="15" customHeight="1">
      <c r="A71" s="31" t="str">
        <f>IF(ISBLANK(Inventory!A71),"",Inventory!A71)</f>
        <v/>
      </c>
      <c r="B71" s="31" t="str">
        <f>IF(ISBLANK(Inventory!A71),"",Inventory!C71)</f>
        <v/>
      </c>
      <c r="C71" s="187"/>
      <c r="D71" s="192"/>
      <c r="E71" s="187"/>
      <c r="F71" s="187"/>
      <c r="G71" s="187"/>
      <c r="H71" s="37">
        <f>IF(ISBLANK(Inventory!A71),0,C71+SUM('Week 4'!E71:G71)-SUM(E71:G71))</f>
        <v>0</v>
      </c>
      <c r="I71" s="35" t="str">
        <f>IF(OR(ISBLANK(J71),J71=0),"",Settings!$B$14)</f>
        <v/>
      </c>
      <c r="J71" s="30">
        <f>IF(ISBLANK(C71),0,C71*Inventory!F71)</f>
        <v>0</v>
      </c>
      <c r="K71" s="35" t="str">
        <f>IF(OR(ISBLANK(L71),L71=0),"",Settings!$B$14)</f>
        <v/>
      </c>
      <c r="L71" s="30">
        <f>IF(ISBLANK(Inventory!A71),0,SUM(E71:G71)*Inventory!F71)</f>
        <v>0</v>
      </c>
      <c r="M71" s="35" t="str">
        <f>IF(OR(ISBLANK(N71),N71=0),"",Settings!$B$14)</f>
        <v/>
      </c>
      <c r="N71" s="30">
        <f>IF(ISBLANK(Inventory!A71),0,SUM(E71:G71)*Inventory!L71)</f>
        <v>0</v>
      </c>
      <c r="O71" s="35" t="str">
        <f>IF(OR(ISBLANK(P71),P71=0),"",Settings!$B$14)</f>
        <v/>
      </c>
      <c r="P71" s="30">
        <f>IF(ISBLANK(Inventory!A71),0,H71*Inventory!L71)</f>
        <v>0</v>
      </c>
    </row>
    <row r="72" spans="1:16" s="29" customFormat="1" ht="15" customHeight="1">
      <c r="A72" s="31" t="str">
        <f>IF(ISBLANK(Inventory!A72),"",Inventory!A72)</f>
        <v/>
      </c>
      <c r="B72" s="31" t="str">
        <f>IF(ISBLANK(Inventory!A72),"",Inventory!C72)</f>
        <v/>
      </c>
      <c r="C72" s="187"/>
      <c r="D72" s="192"/>
      <c r="E72" s="187"/>
      <c r="F72" s="187"/>
      <c r="G72" s="187"/>
      <c r="H72" s="37">
        <f>IF(ISBLANK(Inventory!A72),0,C72+SUM('Week 4'!E72:G72)-SUM(E72:G72))</f>
        <v>0</v>
      </c>
      <c r="I72" s="35" t="str">
        <f>IF(OR(ISBLANK(J72),J72=0),"",Settings!$B$14)</f>
        <v/>
      </c>
      <c r="J72" s="30">
        <f>IF(ISBLANK(C72),0,C72*Inventory!F72)</f>
        <v>0</v>
      </c>
      <c r="K72" s="35" t="str">
        <f>IF(OR(ISBLANK(L72),L72=0),"",Settings!$B$14)</f>
        <v/>
      </c>
      <c r="L72" s="30">
        <f>IF(ISBLANK(Inventory!A72),0,SUM(E72:G72)*Inventory!F72)</f>
        <v>0</v>
      </c>
      <c r="M72" s="35" t="str">
        <f>IF(OR(ISBLANK(N72),N72=0),"",Settings!$B$14)</f>
        <v/>
      </c>
      <c r="N72" s="30">
        <f>IF(ISBLANK(Inventory!A72),0,SUM(E72:G72)*Inventory!L72)</f>
        <v>0</v>
      </c>
      <c r="O72" s="35" t="str">
        <f>IF(OR(ISBLANK(P72),P72=0),"",Settings!$B$14)</f>
        <v/>
      </c>
      <c r="P72" s="30">
        <f>IF(ISBLANK(Inventory!A72),0,H72*Inventory!L72)</f>
        <v>0</v>
      </c>
    </row>
    <row r="73" spans="1:16" ht="6.95" customHeight="1">
      <c r="A73" s="24"/>
      <c r="B73" s="24"/>
      <c r="C73" s="69"/>
      <c r="D73" s="69"/>
      <c r="E73" s="69"/>
      <c r="F73" s="69"/>
      <c r="G73" s="69"/>
      <c r="H73" s="69"/>
      <c r="I73" s="69"/>
      <c r="J73" s="69"/>
      <c r="K73" s="69"/>
      <c r="L73" s="25"/>
      <c r="M73" s="62"/>
      <c r="N73" s="160"/>
      <c r="O73" s="25"/>
      <c r="P73" s="160"/>
    </row>
    <row r="74" spans="1:16" s="45" customFormat="1" ht="18" customHeight="1" thickBot="1">
      <c r="A74" s="78" t="str">
        <f>Inventory!A74</f>
        <v>TABLE WINES</v>
      </c>
      <c r="B74" s="78" t="str">
        <f>Inventory!C74</f>
        <v>VOLUME</v>
      </c>
      <c r="C74" s="22" t="s">
        <v>187</v>
      </c>
      <c r="D74" s="22"/>
      <c r="E74" s="22" t="s">
        <v>101</v>
      </c>
      <c r="F74" s="22" t="s">
        <v>102</v>
      </c>
      <c r="G74" s="23" t="s">
        <v>108</v>
      </c>
      <c r="H74" s="79" t="s">
        <v>119</v>
      </c>
      <c r="I74" s="253" t="s">
        <v>190</v>
      </c>
      <c r="J74" s="253"/>
      <c r="K74" s="235" t="s">
        <v>30</v>
      </c>
      <c r="L74" s="235"/>
      <c r="M74" s="235" t="s">
        <v>31</v>
      </c>
      <c r="N74" s="235"/>
      <c r="O74" s="235" t="s">
        <v>189</v>
      </c>
      <c r="P74" s="235"/>
    </row>
    <row r="75" spans="1:16" ht="6.95" customHeight="1" thickTop="1">
      <c r="A75" s="193"/>
      <c r="B75" s="194"/>
      <c r="C75" s="71"/>
      <c r="D75" s="71"/>
      <c r="E75" s="67"/>
      <c r="F75" s="67"/>
      <c r="G75" s="71"/>
      <c r="H75" s="71"/>
      <c r="I75" s="71"/>
      <c r="J75" s="71"/>
      <c r="K75" s="71"/>
      <c r="L75" s="67"/>
      <c r="M75" s="62"/>
      <c r="N75" s="67"/>
      <c r="O75" s="67"/>
      <c r="P75" s="67"/>
    </row>
    <row r="76" spans="1:16" s="29" customFormat="1" ht="15" customHeight="1">
      <c r="A76" s="31" t="str">
        <f>IF(ISBLANK(Inventory!A76),"",Inventory!A76)</f>
        <v>35º South Red</v>
      </c>
      <c r="B76" s="31" t="str">
        <f>IF(ISBLANK(Inventory!A76),"",Inventory!C76)</f>
        <v>750ml</v>
      </c>
      <c r="C76" s="187"/>
      <c r="D76" s="192"/>
      <c r="E76" s="187"/>
      <c r="F76" s="187"/>
      <c r="G76" s="187"/>
      <c r="H76" s="37">
        <f>IF(ISBLANK(Inventory!A76),0,C76+SUM('Week 4'!E76:G76)-SUM(E76:G76))</f>
        <v>0</v>
      </c>
      <c r="I76" s="35" t="str">
        <f>IF(OR(ISBLANK(J76),J76=0),"",Settings!$B$14)</f>
        <v/>
      </c>
      <c r="J76" s="30">
        <f>IF(ISBLANK(C76),0,C76*Inventory!H76)</f>
        <v>0</v>
      </c>
      <c r="K76" s="35" t="str">
        <f>IF(OR(ISBLANK(L76),L76=0),"",Settings!$B$14)</f>
        <v/>
      </c>
      <c r="L76" s="30">
        <f>IF(ISBLANK(Inventory!A76),0,SUM(E76:G76)*Inventory!H76)</f>
        <v>0</v>
      </c>
      <c r="M76" s="35" t="str">
        <f>IF(OR(ISBLANK(N76),N76=0),"",Settings!$B$14)</f>
        <v/>
      </c>
      <c r="N76" s="30">
        <f>IF(ISBLANK(Inventory!A76),0,SUM(E76:G76)*Inventory!J76)</f>
        <v>0</v>
      </c>
      <c r="O76" s="35" t="str">
        <f>IF(OR(ISBLANK(P76),P76=0),"",Settings!$B$14)</f>
        <v/>
      </c>
      <c r="P76" s="30">
        <f>IF(ISBLANK(Inventory!A76),0,H76*Inventory!J76)</f>
        <v>0</v>
      </c>
    </row>
    <row r="77" spans="1:16" s="29" customFormat="1" ht="15" customHeight="1">
      <c r="A77" s="31" t="str">
        <f>IF(ISBLANK(Inventory!A77),"",Inventory!A77)</f>
        <v>Lindemans' Chardonnay</v>
      </c>
      <c r="B77" s="31" t="str">
        <f>IF(ISBLANK(Inventory!A77),"",Inventory!C77)</f>
        <v>750ml</v>
      </c>
      <c r="C77" s="187"/>
      <c r="D77" s="192"/>
      <c r="E77" s="187"/>
      <c r="F77" s="187"/>
      <c r="G77" s="187"/>
      <c r="H77" s="37">
        <f>IF(ISBLANK(Inventory!A77),0,C77+SUM('Week 4'!E77:G77)-SUM(E77:G77))</f>
        <v>0</v>
      </c>
      <c r="I77" s="35" t="str">
        <f>IF(OR(ISBLANK(J77),J77=0),"",Settings!$B$14)</f>
        <v/>
      </c>
      <c r="J77" s="30">
        <f>IF(ISBLANK(C77),0,C77*Inventory!H77)</f>
        <v>0</v>
      </c>
      <c r="K77" s="35" t="str">
        <f>IF(OR(ISBLANK(L77),L77=0),"",Settings!$B$14)</f>
        <v/>
      </c>
      <c r="L77" s="30">
        <f>IF(ISBLANK(Inventory!A77),0,SUM(E77:G77)*Inventory!H77)</f>
        <v>0</v>
      </c>
      <c r="M77" s="35" t="str">
        <f>IF(OR(ISBLANK(N77),N77=0),"",Settings!$B$14)</f>
        <v/>
      </c>
      <c r="N77" s="30">
        <f>IF(ISBLANK(Inventory!A77),0,SUM(E77:G77)*Inventory!J77)</f>
        <v>0</v>
      </c>
      <c r="O77" s="35" t="str">
        <f>IF(OR(ISBLANK(P77),P77=0),"",Settings!$B$14)</f>
        <v/>
      </c>
      <c r="P77" s="30">
        <f>IF(ISBLANK(Inventory!A77),0,H77*Inventory!J77)</f>
        <v>0</v>
      </c>
    </row>
    <row r="78" spans="1:16" s="29" customFormat="1" ht="15" customHeight="1">
      <c r="A78" s="31" t="str">
        <f>IF(ISBLANK(Inventory!A78),"",Inventory!A78)</f>
        <v>Arniston Bay</v>
      </c>
      <c r="B78" s="31" t="str">
        <f>IF(ISBLANK(Inventory!A78),"",Inventory!C78)</f>
        <v>750ml</v>
      </c>
      <c r="C78" s="187"/>
      <c r="D78" s="192"/>
      <c r="E78" s="187"/>
      <c r="F78" s="187"/>
      <c r="G78" s="187"/>
      <c r="H78" s="37">
        <f>IF(ISBLANK(Inventory!A78),0,C78+SUM('Week 4'!E78:G78)-SUM(E78:G78))</f>
        <v>0</v>
      </c>
      <c r="I78" s="35" t="str">
        <f>IF(OR(ISBLANK(J78),J78=0),"",Settings!$B$14)</f>
        <v/>
      </c>
      <c r="J78" s="30">
        <f>IF(ISBLANK(C78),0,C78*Inventory!H78)</f>
        <v>0</v>
      </c>
      <c r="K78" s="35" t="str">
        <f>IF(OR(ISBLANK(L78),L78=0),"",Settings!$B$14)</f>
        <v/>
      </c>
      <c r="L78" s="30">
        <f>IF(ISBLANK(Inventory!A78),0,SUM(E78:G78)*Inventory!H78)</f>
        <v>0</v>
      </c>
      <c r="M78" s="35" t="str">
        <f>IF(OR(ISBLANK(N78),N78=0),"",Settings!$B$14)</f>
        <v/>
      </c>
      <c r="N78" s="30">
        <f>IF(ISBLANK(Inventory!A78),0,SUM(E78:G78)*Inventory!J78)</f>
        <v>0</v>
      </c>
      <c r="O78" s="35" t="str">
        <f>IF(OR(ISBLANK(P78),P78=0),"",Settings!$B$14)</f>
        <v/>
      </c>
      <c r="P78" s="30">
        <f>IF(ISBLANK(Inventory!A78),0,H78*Inventory!J78)</f>
        <v>0</v>
      </c>
    </row>
    <row r="79" spans="1:16" s="29" customFormat="1" ht="15" customHeight="1">
      <c r="A79" s="31" t="str">
        <f>IF(ISBLANK(Inventory!A79),"",Inventory!A79)</f>
        <v>Côtes du Rhône</v>
      </c>
      <c r="B79" s="31" t="str">
        <f>IF(ISBLANK(Inventory!A79),"",Inventory!C79)</f>
        <v>750ml</v>
      </c>
      <c r="C79" s="187"/>
      <c r="D79" s="192"/>
      <c r="E79" s="187"/>
      <c r="F79" s="187"/>
      <c r="G79" s="187"/>
      <c r="H79" s="37">
        <f>IF(ISBLANK(Inventory!A79),0,C79+SUM('Week 4'!E79:G79)-SUM(E79:G79))</f>
        <v>0</v>
      </c>
      <c r="I79" s="35" t="str">
        <f>IF(OR(ISBLANK(J79),J79=0),"",Settings!$B$14)</f>
        <v/>
      </c>
      <c r="J79" s="30">
        <f>IF(ISBLANK(C79),0,C79*Inventory!H79)</f>
        <v>0</v>
      </c>
      <c r="K79" s="35" t="str">
        <f>IF(OR(ISBLANK(L79),L79=0),"",Settings!$B$14)</f>
        <v/>
      </c>
      <c r="L79" s="30">
        <f>IF(ISBLANK(Inventory!A79),0,SUM(E79:G79)*Inventory!H79)</f>
        <v>0</v>
      </c>
      <c r="M79" s="35" t="str">
        <f>IF(OR(ISBLANK(N79),N79=0),"",Settings!$B$14)</f>
        <v/>
      </c>
      <c r="N79" s="30">
        <f>IF(ISBLANK(Inventory!A79),0,SUM(E79:G79)*Inventory!J79)</f>
        <v>0</v>
      </c>
      <c r="O79" s="35" t="str">
        <f>IF(OR(ISBLANK(P79),P79=0),"",Settings!$B$14)</f>
        <v/>
      </c>
      <c r="P79" s="30">
        <f>IF(ISBLANK(Inventory!A79),0,H79*Inventory!J79)</f>
        <v>0</v>
      </c>
    </row>
    <row r="80" spans="1:16" s="29" customFormat="1" ht="15" customHeight="1">
      <c r="A80" s="31" t="str">
        <f>IF(ISBLANK(Inventory!A80),"",Inventory!A80)</f>
        <v>Jacobs Creek</v>
      </c>
      <c r="B80" s="31" t="str">
        <f>IF(ISBLANK(Inventory!A80),"",Inventory!C80)</f>
        <v>750ml</v>
      </c>
      <c r="C80" s="187"/>
      <c r="D80" s="192"/>
      <c r="E80" s="187"/>
      <c r="F80" s="187"/>
      <c r="G80" s="187"/>
      <c r="H80" s="37">
        <f>IF(ISBLANK(Inventory!A80),0,C80+SUM('Week 4'!E80:G80)-SUM(E80:G80))</f>
        <v>0</v>
      </c>
      <c r="I80" s="35" t="str">
        <f>IF(OR(ISBLANK(J80),J80=0),"",Settings!$B$14)</f>
        <v/>
      </c>
      <c r="J80" s="30">
        <f>IF(ISBLANK(C80),0,C80*Inventory!H80)</f>
        <v>0</v>
      </c>
      <c r="K80" s="35" t="str">
        <f>IF(OR(ISBLANK(L80),L80=0),"",Settings!$B$14)</f>
        <v/>
      </c>
      <c r="L80" s="30">
        <f>IF(ISBLANK(Inventory!A80),0,SUM(E80:G80)*Inventory!H80)</f>
        <v>0</v>
      </c>
      <c r="M80" s="35" t="str">
        <f>IF(OR(ISBLANK(N80),N80=0),"",Settings!$B$14)</f>
        <v/>
      </c>
      <c r="N80" s="30">
        <f>IF(ISBLANK(Inventory!A80),0,SUM(E80:G80)*Inventory!J80)</f>
        <v>0</v>
      </c>
      <c r="O80" s="35" t="str">
        <f>IF(OR(ISBLANK(P80),P80=0),"",Settings!$B$14)</f>
        <v/>
      </c>
      <c r="P80" s="30">
        <f>IF(ISBLANK(Inventory!A80),0,H80*Inventory!J80)</f>
        <v>0</v>
      </c>
    </row>
    <row r="81" spans="1:16" s="29" customFormat="1" ht="15" customHeight="1">
      <c r="A81" s="31" t="str">
        <f>IF(ISBLANK(Inventory!A81),"",Inventory!A81)</f>
        <v>Louis Raymond</v>
      </c>
      <c r="B81" s="31" t="str">
        <f>IF(ISBLANK(Inventory!A81),"",Inventory!C81)</f>
        <v>375ml</v>
      </c>
      <c r="C81" s="187"/>
      <c r="D81" s="192"/>
      <c r="E81" s="187"/>
      <c r="F81" s="187"/>
      <c r="G81" s="187"/>
      <c r="H81" s="37">
        <f>IF(ISBLANK(Inventory!A81),0,C81+SUM('Week 4'!E81:G81)-SUM(E81:G81))</f>
        <v>0</v>
      </c>
      <c r="I81" s="35" t="str">
        <f>IF(OR(ISBLANK(J81),J81=0),"",Settings!$B$14)</f>
        <v/>
      </c>
      <c r="J81" s="30">
        <f>IF(ISBLANK(C81),0,C81*Inventory!H81)</f>
        <v>0</v>
      </c>
      <c r="K81" s="35" t="str">
        <f>IF(OR(ISBLANK(L81),L81=0),"",Settings!$B$14)</f>
        <v/>
      </c>
      <c r="L81" s="30">
        <f>IF(ISBLANK(Inventory!A81),0,SUM(E81:G81)*Inventory!H81)</f>
        <v>0</v>
      </c>
      <c r="M81" s="35" t="str">
        <f>IF(OR(ISBLANK(N81),N81=0),"",Settings!$B$14)</f>
        <v/>
      </c>
      <c r="N81" s="30">
        <f>IF(ISBLANK(Inventory!A81),0,SUM(E81:G81)*Inventory!J81)</f>
        <v>0</v>
      </c>
      <c r="O81" s="35" t="str">
        <f>IF(OR(ISBLANK(P81),P81=0),"",Settings!$B$14)</f>
        <v/>
      </c>
      <c r="P81" s="30">
        <f>IF(ISBLANK(Inventory!A81),0,H81*Inventory!J81)</f>
        <v>0</v>
      </c>
    </row>
    <row r="82" spans="1:16" s="29" customFormat="1" ht="15" customHeight="1">
      <c r="A82" s="31" t="str">
        <f>IF(ISBLANK(Inventory!A82),"",Inventory!A82)</f>
        <v>Castletorre</v>
      </c>
      <c r="B82" s="31" t="str">
        <f>IF(ISBLANK(Inventory!A82),"",Inventory!C82)</f>
        <v>375ml</v>
      </c>
      <c r="C82" s="187"/>
      <c r="D82" s="192"/>
      <c r="E82" s="187"/>
      <c r="F82" s="187"/>
      <c r="G82" s="187"/>
      <c r="H82" s="37">
        <f>IF(ISBLANK(Inventory!A82),0,C82+SUM('Week 4'!E82:G82)-SUM(E82:G82))</f>
        <v>0</v>
      </c>
      <c r="I82" s="35" t="str">
        <f>IF(OR(ISBLANK(J82),J82=0),"",Settings!$B$14)</f>
        <v/>
      </c>
      <c r="J82" s="30">
        <f>IF(ISBLANK(C82),0,C82*Inventory!H82)</f>
        <v>0</v>
      </c>
      <c r="K82" s="35" t="str">
        <f>IF(OR(ISBLANK(L82),L82=0),"",Settings!$B$14)</f>
        <v/>
      </c>
      <c r="L82" s="30">
        <f>IF(ISBLANK(Inventory!A82),0,SUM(E82:G82)*Inventory!H82)</f>
        <v>0</v>
      </c>
      <c r="M82" s="35" t="str">
        <f>IF(OR(ISBLANK(N82),N82=0),"",Settings!$B$14)</f>
        <v/>
      </c>
      <c r="N82" s="30">
        <f>IF(ISBLANK(Inventory!A82),0,SUM(E82:G82)*Inventory!J82)</f>
        <v>0</v>
      </c>
      <c r="O82" s="35" t="str">
        <f>IF(OR(ISBLANK(P82),P82=0),"",Settings!$B$14)</f>
        <v/>
      </c>
      <c r="P82" s="30">
        <f>IF(ISBLANK(Inventory!A82),0,H82*Inventory!J82)</f>
        <v>0</v>
      </c>
    </row>
    <row r="83" spans="1:16" s="29" customFormat="1" ht="15" customHeight="1">
      <c r="A83" s="31" t="str">
        <f>IF(ISBLANK(Inventory!A83),"",Inventory!A83)</f>
        <v>Muscadet</v>
      </c>
      <c r="B83" s="31" t="str">
        <f>IF(ISBLANK(Inventory!A83),"",Inventory!C83)</f>
        <v>750ml</v>
      </c>
      <c r="C83" s="187"/>
      <c r="D83" s="192"/>
      <c r="E83" s="187"/>
      <c r="F83" s="187"/>
      <c r="G83" s="187"/>
      <c r="H83" s="37">
        <f>IF(ISBLANK(Inventory!A83),0,C83+SUM('Week 4'!E83:G83)-SUM(E83:G83))</f>
        <v>0</v>
      </c>
      <c r="I83" s="35" t="str">
        <f>IF(OR(ISBLANK(J83),J83=0),"",Settings!$B$14)</f>
        <v/>
      </c>
      <c r="J83" s="30">
        <f>IF(ISBLANK(C83),0,C83*Inventory!H83)</f>
        <v>0</v>
      </c>
      <c r="K83" s="35" t="str">
        <f>IF(OR(ISBLANK(L83),L83=0),"",Settings!$B$14)</f>
        <v/>
      </c>
      <c r="L83" s="30">
        <f>IF(ISBLANK(Inventory!A83),0,SUM(E83:G83)*Inventory!H83)</f>
        <v>0</v>
      </c>
      <c r="M83" s="35" t="str">
        <f>IF(OR(ISBLANK(N83),N83=0),"",Settings!$B$14)</f>
        <v/>
      </c>
      <c r="N83" s="30">
        <f>IF(ISBLANK(Inventory!A83),0,SUM(E83:G83)*Inventory!J83)</f>
        <v>0</v>
      </c>
      <c r="O83" s="35" t="str">
        <f>IF(OR(ISBLANK(P83),P83=0),"",Settings!$B$14)</f>
        <v/>
      </c>
      <c r="P83" s="30">
        <f>IF(ISBLANK(Inventory!A83),0,H83*Inventory!J83)</f>
        <v>0</v>
      </c>
    </row>
    <row r="84" spans="1:16" s="29" customFormat="1" ht="15" customHeight="1">
      <c r="A84" s="31" t="str">
        <f>IF(ISBLANK(Inventory!A84),"",Inventory!A84)</f>
        <v>Piesporter</v>
      </c>
      <c r="B84" s="31" t="str">
        <f>IF(ISBLANK(Inventory!A84),"",Inventory!C84)</f>
        <v>750ml</v>
      </c>
      <c r="C84" s="187"/>
      <c r="D84" s="192"/>
      <c r="E84" s="187"/>
      <c r="F84" s="187"/>
      <c r="G84" s="187"/>
      <c r="H84" s="37">
        <f>IF(ISBLANK(Inventory!A84),0,C84+SUM('Week 4'!E84:G84)-SUM(E84:G84))</f>
        <v>0</v>
      </c>
      <c r="I84" s="35" t="str">
        <f>IF(OR(ISBLANK(J84),J84=0),"",Settings!$B$14)</f>
        <v/>
      </c>
      <c r="J84" s="30">
        <f>IF(ISBLANK(C84),0,C84*Inventory!H84)</f>
        <v>0</v>
      </c>
      <c r="K84" s="35" t="str">
        <f>IF(OR(ISBLANK(L84),L84=0),"",Settings!$B$14)</f>
        <v/>
      </c>
      <c r="L84" s="30">
        <f>IF(ISBLANK(Inventory!A84),0,SUM(E84:G84)*Inventory!H84)</f>
        <v>0</v>
      </c>
      <c r="M84" s="35" t="str">
        <f>IF(OR(ISBLANK(N84),N84=0),"",Settings!$B$14)</f>
        <v/>
      </c>
      <c r="N84" s="30">
        <f>IF(ISBLANK(Inventory!A84),0,SUM(E84:G84)*Inventory!J84)</f>
        <v>0</v>
      </c>
      <c r="O84" s="35" t="str">
        <f>IF(OR(ISBLANK(P84),P84=0),"",Settings!$B$14)</f>
        <v/>
      </c>
      <c r="P84" s="30">
        <f>IF(ISBLANK(Inventory!A84),0,H84*Inventory!J84)</f>
        <v>0</v>
      </c>
    </row>
    <row r="85" spans="1:16" s="29" customFormat="1" ht="15" customHeight="1">
      <c r="A85" s="31" t="str">
        <f>IF(ISBLANK(Inventory!A85),"",Inventory!A85)</f>
        <v>Piesporter (Small)</v>
      </c>
      <c r="B85" s="31" t="str">
        <f>IF(ISBLANK(Inventory!A85),"",Inventory!C85)</f>
        <v>375ml</v>
      </c>
      <c r="C85" s="187"/>
      <c r="D85" s="192"/>
      <c r="E85" s="187"/>
      <c r="F85" s="187"/>
      <c r="G85" s="187"/>
      <c r="H85" s="37">
        <f>IF(ISBLANK(Inventory!A85),0,C85+SUM('Week 4'!E85:G85)-SUM(E85:G85))</f>
        <v>0</v>
      </c>
      <c r="I85" s="35" t="str">
        <f>IF(OR(ISBLANK(J85),J85=0),"",Settings!$B$14)</f>
        <v/>
      </c>
      <c r="J85" s="30">
        <f>IF(ISBLANK(C85),0,C85*Inventory!H85)</f>
        <v>0</v>
      </c>
      <c r="K85" s="35" t="str">
        <f>IF(OR(ISBLANK(L85),L85=0),"",Settings!$B$14)</f>
        <v/>
      </c>
      <c r="L85" s="30">
        <f>IF(ISBLANK(Inventory!A85),0,SUM(E85:G85)*Inventory!H85)</f>
        <v>0</v>
      </c>
      <c r="M85" s="35" t="str">
        <f>IF(OR(ISBLANK(N85),N85=0),"",Settings!$B$14)</f>
        <v/>
      </c>
      <c r="N85" s="30">
        <f>IF(ISBLANK(Inventory!A85),0,SUM(E85:G85)*Inventory!J85)</f>
        <v>0</v>
      </c>
      <c r="O85" s="35" t="str">
        <f>IF(OR(ISBLANK(P85),P85=0),"",Settings!$B$14)</f>
        <v/>
      </c>
      <c r="P85" s="30">
        <f>IF(ISBLANK(Inventory!A85),0,H85*Inventory!J85)</f>
        <v>0</v>
      </c>
    </row>
    <row r="86" spans="1:16" s="29" customFormat="1" ht="15" customHeight="1">
      <c r="A86" s="31" t="str">
        <f>IF(ISBLANK(Inventory!A86),"",Inventory!A86)</f>
        <v>Pinot Grigio</v>
      </c>
      <c r="B86" s="31" t="str">
        <f>IF(ISBLANK(Inventory!A86),"",Inventory!C86)</f>
        <v>750ml</v>
      </c>
      <c r="C86" s="187"/>
      <c r="D86" s="192"/>
      <c r="E86" s="187"/>
      <c r="F86" s="187"/>
      <c r="G86" s="187"/>
      <c r="H86" s="37">
        <f>IF(ISBLANK(Inventory!A86),0,C86+SUM('Week 4'!E86:G86)-SUM(E86:G86))</f>
        <v>0</v>
      </c>
      <c r="I86" s="35" t="str">
        <f>IF(OR(ISBLANK(J86),J86=0),"",Settings!$B$14)</f>
        <v/>
      </c>
      <c r="J86" s="30">
        <f>IF(ISBLANK(C86),0,C86*Inventory!H86)</f>
        <v>0</v>
      </c>
      <c r="K86" s="35" t="str">
        <f>IF(OR(ISBLANK(L86),L86=0),"",Settings!$B$14)</f>
        <v/>
      </c>
      <c r="L86" s="30">
        <f>IF(ISBLANK(Inventory!A86),0,SUM(E86:G86)*Inventory!H86)</f>
        <v>0</v>
      </c>
      <c r="M86" s="35" t="str">
        <f>IF(OR(ISBLANK(N86),N86=0),"",Settings!$B$14)</f>
        <v/>
      </c>
      <c r="N86" s="30">
        <f>IF(ISBLANK(Inventory!A86),0,SUM(E86:G86)*Inventory!J86)</f>
        <v>0</v>
      </c>
      <c r="O86" s="35" t="str">
        <f>IF(OR(ISBLANK(P86),P86=0),"",Settings!$B$14)</f>
        <v/>
      </c>
      <c r="P86" s="30">
        <f>IF(ISBLANK(Inventory!A86),0,H86*Inventory!J86)</f>
        <v>0</v>
      </c>
    </row>
    <row r="87" spans="1:16" s="29" customFormat="1" ht="15" customHeight="1">
      <c r="A87" s="31" t="str">
        <f>IF(ISBLANK(Inventory!A87),"",Inventory!A87)</f>
        <v>Faustino Crianza</v>
      </c>
      <c r="B87" s="31" t="str">
        <f>IF(ISBLANK(Inventory!A87),"",Inventory!C87)</f>
        <v>750ml</v>
      </c>
      <c r="C87" s="187"/>
      <c r="D87" s="192"/>
      <c r="E87" s="187"/>
      <c r="F87" s="187"/>
      <c r="G87" s="187"/>
      <c r="H87" s="37">
        <f>IF(ISBLANK(Inventory!A87),0,C87+SUM('Week 4'!E87:G87)-SUM(E87:G87))</f>
        <v>0</v>
      </c>
      <c r="I87" s="35" t="str">
        <f>IF(OR(ISBLANK(J87),J87=0),"",Settings!$B$14)</f>
        <v/>
      </c>
      <c r="J87" s="30">
        <f>IF(ISBLANK(C87),0,C87*Inventory!H87)</f>
        <v>0</v>
      </c>
      <c r="K87" s="35" t="str">
        <f>IF(OR(ISBLANK(L87),L87=0),"",Settings!$B$14)</f>
        <v/>
      </c>
      <c r="L87" s="30">
        <f>IF(ISBLANK(Inventory!A87),0,SUM(E87:G87)*Inventory!H87)</f>
        <v>0</v>
      </c>
      <c r="M87" s="35" t="str">
        <f>IF(OR(ISBLANK(N87),N87=0),"",Settings!$B$14)</f>
        <v/>
      </c>
      <c r="N87" s="30">
        <f>IF(ISBLANK(Inventory!A87),0,SUM(E87:G87)*Inventory!J87)</f>
        <v>0</v>
      </c>
      <c r="O87" s="35" t="str">
        <f>IF(OR(ISBLANK(P87),P87=0),"",Settings!$B$14)</f>
        <v/>
      </c>
      <c r="P87" s="30">
        <f>IF(ISBLANK(Inventory!A87),0,H87*Inventory!J87)</f>
        <v>0</v>
      </c>
    </row>
    <row r="88" spans="1:16" s="29" customFormat="1" ht="15" customHeight="1">
      <c r="A88" s="31" t="str">
        <f>IF(ISBLANK(Inventory!A88),"",Inventory!A88)</f>
        <v>35º South White</v>
      </c>
      <c r="B88" s="31" t="str">
        <f>IF(ISBLANK(Inventory!A88),"",Inventory!C88)</f>
        <v>750ml</v>
      </c>
      <c r="C88" s="187"/>
      <c r="D88" s="192"/>
      <c r="E88" s="187"/>
      <c r="F88" s="187"/>
      <c r="G88" s="187"/>
      <c r="H88" s="37">
        <f>IF(ISBLANK(Inventory!A88),0,C88+SUM('Week 4'!E88:G88)-SUM(E88:G88))</f>
        <v>0</v>
      </c>
      <c r="I88" s="35" t="str">
        <f>IF(OR(ISBLANK(J88),J88=0),"",Settings!$B$14)</f>
        <v/>
      </c>
      <c r="J88" s="30">
        <f>IF(ISBLANK(C88),0,C88*Inventory!H88)</f>
        <v>0</v>
      </c>
      <c r="K88" s="35" t="str">
        <f>IF(OR(ISBLANK(L88),L88=0),"",Settings!$B$14)</f>
        <v/>
      </c>
      <c r="L88" s="30">
        <f>IF(ISBLANK(Inventory!A88),0,SUM(E88:G88)*Inventory!H88)</f>
        <v>0</v>
      </c>
      <c r="M88" s="35" t="str">
        <f>IF(OR(ISBLANK(N88),N88=0),"",Settings!$B$14)</f>
        <v/>
      </c>
      <c r="N88" s="30">
        <f>IF(ISBLANK(Inventory!A88),0,SUM(E88:G88)*Inventory!J88)</f>
        <v>0</v>
      </c>
      <c r="O88" s="35" t="str">
        <f>IF(OR(ISBLANK(P88),P88=0),"",Settings!$B$14)</f>
        <v/>
      </c>
      <c r="P88" s="30">
        <f>IF(ISBLANK(Inventory!A88),0,H88*Inventory!J88)</f>
        <v>0</v>
      </c>
    </row>
    <row r="89" spans="1:16" s="29" customFormat="1" ht="15" customHeight="1">
      <c r="A89" s="31" t="str">
        <f>IF(ISBLANK(Inventory!A89),"",Inventory!A89)</f>
        <v/>
      </c>
      <c r="B89" s="31" t="str">
        <f>IF(ISBLANK(Inventory!A89),"",Inventory!C89)</f>
        <v/>
      </c>
      <c r="C89" s="187"/>
      <c r="D89" s="192"/>
      <c r="E89" s="187"/>
      <c r="F89" s="187"/>
      <c r="G89" s="187"/>
      <c r="H89" s="37">
        <f>IF(ISBLANK(Inventory!A89),0,C89+SUM('Week 4'!E89:G89)-SUM(E89:G89))</f>
        <v>0</v>
      </c>
      <c r="I89" s="35" t="str">
        <f>IF(OR(ISBLANK(J89),J89=0),"",Settings!$B$14)</f>
        <v/>
      </c>
      <c r="J89" s="30">
        <f>IF(ISBLANK(C89),0,C89*Inventory!H89)</f>
        <v>0</v>
      </c>
      <c r="K89" s="35" t="str">
        <f>IF(OR(ISBLANK(L89),L89=0),"",Settings!$B$14)</f>
        <v/>
      </c>
      <c r="L89" s="30">
        <f>IF(ISBLANK(Inventory!A89),0,SUM(E89:G89)*Inventory!H89)</f>
        <v>0</v>
      </c>
      <c r="M89" s="35" t="str">
        <f>IF(OR(ISBLANK(N89),N89=0),"",Settings!$B$14)</f>
        <v/>
      </c>
      <c r="N89" s="30">
        <f>IF(ISBLANK(Inventory!A89),0,SUM(E89:G89)*Inventory!J89)</f>
        <v>0</v>
      </c>
      <c r="O89" s="35" t="str">
        <f>IF(OR(ISBLANK(P89),P89=0),"",Settings!$B$14)</f>
        <v/>
      </c>
      <c r="P89" s="30">
        <f>IF(ISBLANK(Inventory!A89),0,H89*Inventory!J89)</f>
        <v>0</v>
      </c>
    </row>
    <row r="90" spans="1:16" s="29" customFormat="1" ht="15" customHeight="1">
      <c r="A90" s="31" t="str">
        <f>IF(ISBLANK(Inventory!A90),"",Inventory!A90)</f>
        <v/>
      </c>
      <c r="B90" s="31" t="str">
        <f>IF(ISBLANK(Inventory!A90),"",Inventory!C90)</f>
        <v/>
      </c>
      <c r="C90" s="187"/>
      <c r="D90" s="192"/>
      <c r="E90" s="187"/>
      <c r="F90" s="187"/>
      <c r="G90" s="187"/>
      <c r="H90" s="37">
        <f>IF(ISBLANK(Inventory!A90),0,C90+SUM('Week 4'!E90:G90)-SUM(E90:G90))</f>
        <v>0</v>
      </c>
      <c r="I90" s="35" t="str">
        <f>IF(OR(ISBLANK(J90),J90=0),"",Settings!$B$14)</f>
        <v/>
      </c>
      <c r="J90" s="30">
        <f>IF(ISBLANK(C90),0,C90*Inventory!H90)</f>
        <v>0</v>
      </c>
      <c r="K90" s="35" t="str">
        <f>IF(OR(ISBLANK(L90),L90=0),"",Settings!$B$14)</f>
        <v/>
      </c>
      <c r="L90" s="30">
        <f>IF(ISBLANK(Inventory!A90),0,SUM(E90:G90)*Inventory!H90)</f>
        <v>0</v>
      </c>
      <c r="M90" s="35" t="str">
        <f>IF(OR(ISBLANK(N90),N90=0),"",Settings!$B$14)</f>
        <v/>
      </c>
      <c r="N90" s="30">
        <f>IF(ISBLANK(Inventory!A90),0,SUM(E90:G90)*Inventory!J90)</f>
        <v>0</v>
      </c>
      <c r="O90" s="35" t="str">
        <f>IF(OR(ISBLANK(P90),P90=0),"",Settings!$B$14)</f>
        <v/>
      </c>
      <c r="P90" s="30">
        <f>IF(ISBLANK(Inventory!A90),0,H90*Inventory!J90)</f>
        <v>0</v>
      </c>
    </row>
    <row r="91" spans="1:16" s="29" customFormat="1" ht="15" customHeight="1">
      <c r="A91" s="31" t="str">
        <f>IF(ISBLANK(Inventory!A91),"",Inventory!A91)</f>
        <v/>
      </c>
      <c r="B91" s="31" t="str">
        <f>IF(ISBLANK(Inventory!A91),"",Inventory!C91)</f>
        <v/>
      </c>
      <c r="C91" s="187"/>
      <c r="D91" s="192"/>
      <c r="E91" s="187"/>
      <c r="F91" s="187"/>
      <c r="G91" s="187"/>
      <c r="H91" s="37">
        <f>IF(ISBLANK(Inventory!A91),0,C91+SUM('Week 4'!E91:G91)-SUM(E91:G91))</f>
        <v>0</v>
      </c>
      <c r="I91" s="35" t="str">
        <f>IF(OR(ISBLANK(J91),J91=0),"",Settings!$B$14)</f>
        <v/>
      </c>
      <c r="J91" s="30">
        <f>IF(ISBLANK(C91),0,C91*Inventory!H91)</f>
        <v>0</v>
      </c>
      <c r="K91" s="35" t="str">
        <f>IF(OR(ISBLANK(L91),L91=0),"",Settings!$B$14)</f>
        <v/>
      </c>
      <c r="L91" s="30">
        <f>IF(ISBLANK(Inventory!A91),0,SUM(E91:G91)*Inventory!H91)</f>
        <v>0</v>
      </c>
      <c r="M91" s="35" t="str">
        <f>IF(OR(ISBLANK(N91),N91=0),"",Settings!$B$14)</f>
        <v/>
      </c>
      <c r="N91" s="30">
        <f>IF(ISBLANK(Inventory!A91),0,SUM(E91:G91)*Inventory!J91)</f>
        <v>0</v>
      </c>
      <c r="O91" s="35" t="str">
        <f>IF(OR(ISBLANK(P91),P91=0),"",Settings!$B$14)</f>
        <v/>
      </c>
      <c r="P91" s="30">
        <f>IF(ISBLANK(Inventory!A91),0,H91*Inventory!J91)</f>
        <v>0</v>
      </c>
    </row>
    <row r="92" spans="1:16" s="29" customFormat="1" ht="15" customHeight="1">
      <c r="A92" s="31" t="str">
        <f>IF(ISBLANK(Inventory!A92),"",Inventory!A92)</f>
        <v/>
      </c>
      <c r="B92" s="31" t="str">
        <f>IF(ISBLANK(Inventory!A92),"",Inventory!C92)</f>
        <v/>
      </c>
      <c r="C92" s="187"/>
      <c r="D92" s="192"/>
      <c r="E92" s="187"/>
      <c r="F92" s="187"/>
      <c r="G92" s="187"/>
      <c r="H92" s="37">
        <f>IF(ISBLANK(Inventory!A92),0,C92+SUM('Week 4'!E92:G92)-SUM(E92:G92))</f>
        <v>0</v>
      </c>
      <c r="I92" s="35" t="str">
        <f>IF(OR(ISBLANK(J92),J92=0),"",Settings!$B$14)</f>
        <v/>
      </c>
      <c r="J92" s="30">
        <f>IF(ISBLANK(C92),0,C92*Inventory!H92)</f>
        <v>0</v>
      </c>
      <c r="K92" s="35" t="str">
        <f>IF(OR(ISBLANK(L92),L92=0),"",Settings!$B$14)</f>
        <v/>
      </c>
      <c r="L92" s="30">
        <f>IF(ISBLANK(Inventory!A92),0,SUM(E92:G92)*Inventory!H92)</f>
        <v>0</v>
      </c>
      <c r="M92" s="35" t="str">
        <f>IF(OR(ISBLANK(N92),N92=0),"",Settings!$B$14)</f>
        <v/>
      </c>
      <c r="N92" s="30">
        <f>IF(ISBLANK(Inventory!A92),0,SUM(E92:G92)*Inventory!J92)</f>
        <v>0</v>
      </c>
      <c r="O92" s="35" t="str">
        <f>IF(OR(ISBLANK(P92),P92=0),"",Settings!$B$14)</f>
        <v/>
      </c>
      <c r="P92" s="30">
        <f>IF(ISBLANK(Inventory!A92),0,H92*Inventory!J92)</f>
        <v>0</v>
      </c>
    </row>
    <row r="93" spans="1:16" s="29" customFormat="1" ht="15" customHeight="1">
      <c r="A93" s="31" t="str">
        <f>IF(ISBLANK(Inventory!A93),"",Inventory!A93)</f>
        <v/>
      </c>
      <c r="B93" s="31" t="str">
        <f>IF(ISBLANK(Inventory!A93),"",Inventory!C93)</f>
        <v/>
      </c>
      <c r="C93" s="187"/>
      <c r="D93" s="192"/>
      <c r="E93" s="187"/>
      <c r="F93" s="187"/>
      <c r="G93" s="187"/>
      <c r="H93" s="37">
        <f>IF(ISBLANK(Inventory!A93),0,C93+SUM('Week 4'!E93:G93)-SUM(E93:G93))</f>
        <v>0</v>
      </c>
      <c r="I93" s="35" t="str">
        <f>IF(OR(ISBLANK(J93),J93=0),"",Settings!$B$14)</f>
        <v/>
      </c>
      <c r="J93" s="30">
        <f>IF(ISBLANK(C93),0,C93*Inventory!H93)</f>
        <v>0</v>
      </c>
      <c r="K93" s="35" t="str">
        <f>IF(OR(ISBLANK(L93),L93=0),"",Settings!$B$14)</f>
        <v/>
      </c>
      <c r="L93" s="30">
        <f>IF(ISBLANK(Inventory!A93),0,SUM(E93:G93)*Inventory!H93)</f>
        <v>0</v>
      </c>
      <c r="M93" s="35" t="str">
        <f>IF(OR(ISBLANK(N93),N93=0),"",Settings!$B$14)</f>
        <v/>
      </c>
      <c r="N93" s="30">
        <f>IF(ISBLANK(Inventory!A93),0,SUM(E93:G93)*Inventory!J93)</f>
        <v>0</v>
      </c>
      <c r="O93" s="35" t="str">
        <f>IF(OR(ISBLANK(P93),P93=0),"",Settings!$B$14)</f>
        <v/>
      </c>
      <c r="P93" s="30">
        <f>IF(ISBLANK(Inventory!A93),0,H93*Inventory!J93)</f>
        <v>0</v>
      </c>
    </row>
    <row r="94" spans="1:16" s="29" customFormat="1" ht="15" customHeight="1">
      <c r="A94" s="31" t="str">
        <f>IF(ISBLANK(Inventory!A94),"",Inventory!A94)</f>
        <v/>
      </c>
      <c r="B94" s="31" t="str">
        <f>IF(ISBLANK(Inventory!A94),"",Inventory!C94)</f>
        <v/>
      </c>
      <c r="C94" s="187"/>
      <c r="D94" s="192"/>
      <c r="E94" s="187"/>
      <c r="F94" s="187"/>
      <c r="G94" s="187"/>
      <c r="H94" s="37">
        <f>IF(ISBLANK(Inventory!A94),0,C94+SUM('Week 4'!E94:G94)-SUM(E94:G94))</f>
        <v>0</v>
      </c>
      <c r="I94" s="35" t="str">
        <f>IF(OR(ISBLANK(J94),J94=0),"",Settings!$B$14)</f>
        <v/>
      </c>
      <c r="J94" s="30">
        <f>IF(ISBLANK(C94),0,C94*Inventory!H94)</f>
        <v>0</v>
      </c>
      <c r="K94" s="35" t="str">
        <f>IF(OR(ISBLANK(L94),L94=0),"",Settings!$B$14)</f>
        <v/>
      </c>
      <c r="L94" s="30">
        <f>IF(ISBLANK(Inventory!A94),0,SUM(E94:G94)*Inventory!H94)</f>
        <v>0</v>
      </c>
      <c r="M94" s="35" t="str">
        <f>IF(OR(ISBLANK(N94),N94=0),"",Settings!$B$14)</f>
        <v/>
      </c>
      <c r="N94" s="30">
        <f>IF(ISBLANK(Inventory!A94),0,SUM(E94:G94)*Inventory!J94)</f>
        <v>0</v>
      </c>
      <c r="O94" s="35" t="str">
        <f>IF(OR(ISBLANK(P94),P94=0),"",Settings!$B$14)</f>
        <v/>
      </c>
      <c r="P94" s="30">
        <f>IF(ISBLANK(Inventory!A94),0,H94*Inventory!J94)</f>
        <v>0</v>
      </c>
    </row>
    <row r="95" spans="1:16" s="29" customFormat="1" ht="15" customHeight="1">
      <c r="A95" s="31" t="str">
        <f>IF(ISBLANK(Inventory!A95),"",Inventory!A95)</f>
        <v/>
      </c>
      <c r="B95" s="31" t="str">
        <f>IF(ISBLANK(Inventory!A95),"",Inventory!C95)</f>
        <v/>
      </c>
      <c r="C95" s="187"/>
      <c r="D95" s="192"/>
      <c r="E95" s="187"/>
      <c r="F95" s="187"/>
      <c r="G95" s="187"/>
      <c r="H95" s="37">
        <f>IF(ISBLANK(Inventory!A95),0,C95+SUM('Week 4'!E95:G95)-SUM(E95:G95))</f>
        <v>0</v>
      </c>
      <c r="I95" s="35" t="str">
        <f>IF(OR(ISBLANK(J95),J95=0),"",Settings!$B$14)</f>
        <v/>
      </c>
      <c r="J95" s="30">
        <f>IF(ISBLANK(C95),0,C95*Inventory!H95)</f>
        <v>0</v>
      </c>
      <c r="K95" s="35" t="str">
        <f>IF(OR(ISBLANK(L95),L95=0),"",Settings!$B$14)</f>
        <v/>
      </c>
      <c r="L95" s="30">
        <f>IF(ISBLANK(Inventory!A95),0,SUM(E95:G95)*Inventory!H95)</f>
        <v>0</v>
      </c>
      <c r="M95" s="35" t="str">
        <f>IF(OR(ISBLANK(N95),N95=0),"",Settings!$B$14)</f>
        <v/>
      </c>
      <c r="N95" s="30">
        <f>IF(ISBLANK(Inventory!A95),0,SUM(E95:G95)*Inventory!J95)</f>
        <v>0</v>
      </c>
      <c r="O95" s="35" t="str">
        <f>IF(OR(ISBLANK(P95),P95=0),"",Settings!$B$14)</f>
        <v/>
      </c>
      <c r="P95" s="30">
        <f>IF(ISBLANK(Inventory!A95),0,H95*Inventory!J95)</f>
        <v>0</v>
      </c>
    </row>
    <row r="96" spans="1:16" s="29" customFormat="1" ht="15" customHeight="1">
      <c r="A96" s="31" t="str">
        <f>IF(ISBLANK(Inventory!A96),"",Inventory!A96)</f>
        <v/>
      </c>
      <c r="B96" s="31" t="str">
        <f>IF(ISBLANK(Inventory!A96),"",Inventory!C96)</f>
        <v/>
      </c>
      <c r="C96" s="187"/>
      <c r="D96" s="192"/>
      <c r="E96" s="187"/>
      <c r="F96" s="187"/>
      <c r="G96" s="187"/>
      <c r="H96" s="37">
        <f>IF(ISBLANK(Inventory!A96),0,C96+SUM('Week 4'!E96:G96)-SUM(E96:G96))</f>
        <v>0</v>
      </c>
      <c r="I96" s="35" t="str">
        <f>IF(OR(ISBLANK(J96),J96=0),"",Settings!$B$14)</f>
        <v/>
      </c>
      <c r="J96" s="30">
        <f>IF(ISBLANK(C96),0,C96*Inventory!H96)</f>
        <v>0</v>
      </c>
      <c r="K96" s="35" t="str">
        <f>IF(OR(ISBLANK(L96),L96=0),"",Settings!$B$14)</f>
        <v/>
      </c>
      <c r="L96" s="30">
        <f>IF(ISBLANK(Inventory!A96),0,SUM(E96:G96)*Inventory!H96)</f>
        <v>0</v>
      </c>
      <c r="M96" s="35" t="str">
        <f>IF(OR(ISBLANK(N96),N96=0),"",Settings!$B$14)</f>
        <v/>
      </c>
      <c r="N96" s="30">
        <f>IF(ISBLANK(Inventory!A96),0,SUM(E96:G96)*Inventory!J96)</f>
        <v>0</v>
      </c>
      <c r="O96" s="35" t="str">
        <f>IF(OR(ISBLANK(P96),P96=0),"",Settings!$B$14)</f>
        <v/>
      </c>
      <c r="P96" s="30">
        <f>IF(ISBLANK(Inventory!A96),0,H96*Inventory!J96)</f>
        <v>0</v>
      </c>
    </row>
    <row r="97" spans="1:16" s="29" customFormat="1" ht="15" customHeight="1">
      <c r="A97" s="31" t="str">
        <f>IF(ISBLANK(Inventory!A97),"",Inventory!A97)</f>
        <v/>
      </c>
      <c r="B97" s="31" t="str">
        <f>IF(ISBLANK(Inventory!A97),"",Inventory!C97)</f>
        <v/>
      </c>
      <c r="C97" s="187"/>
      <c r="D97" s="192"/>
      <c r="E97" s="187"/>
      <c r="F97" s="187"/>
      <c r="G97" s="187"/>
      <c r="H97" s="37">
        <f>IF(ISBLANK(Inventory!A97),0,C97+SUM('Week 4'!E97:G97)-SUM(E97:G97))</f>
        <v>0</v>
      </c>
      <c r="I97" s="35" t="str">
        <f>IF(OR(ISBLANK(J97),J97=0),"",Settings!$B$14)</f>
        <v/>
      </c>
      <c r="J97" s="30">
        <f>IF(ISBLANK(C97),0,C97*Inventory!H97)</f>
        <v>0</v>
      </c>
      <c r="K97" s="35" t="str">
        <f>IF(OR(ISBLANK(L97),L97=0),"",Settings!$B$14)</f>
        <v/>
      </c>
      <c r="L97" s="30">
        <f>IF(ISBLANK(Inventory!A97),0,SUM(E97:G97)*Inventory!H97)</f>
        <v>0</v>
      </c>
      <c r="M97" s="35" t="str">
        <f>IF(OR(ISBLANK(N97),N97=0),"",Settings!$B$14)</f>
        <v/>
      </c>
      <c r="N97" s="30">
        <f>IF(ISBLANK(Inventory!A97),0,SUM(E97:G97)*Inventory!J97)</f>
        <v>0</v>
      </c>
      <c r="O97" s="35" t="str">
        <f>IF(OR(ISBLANK(P97),P97=0),"",Settings!$B$14)</f>
        <v/>
      </c>
      <c r="P97" s="30">
        <f>IF(ISBLANK(Inventory!A97),0,H97*Inventory!J97)</f>
        <v>0</v>
      </c>
    </row>
    <row r="98" spans="1:16" ht="6.95" customHeight="1">
      <c r="A98" s="24"/>
      <c r="B98" s="24"/>
      <c r="C98" s="69"/>
      <c r="D98" s="69"/>
      <c r="E98" s="69"/>
      <c r="F98" s="69"/>
      <c r="G98" s="69"/>
      <c r="H98" s="69"/>
      <c r="I98" s="69"/>
      <c r="J98" s="69"/>
      <c r="K98" s="69"/>
      <c r="L98" s="25"/>
      <c r="M98" s="62"/>
      <c r="N98" s="160"/>
      <c r="O98" s="25"/>
      <c r="P98" s="160"/>
    </row>
    <row r="99" spans="1:16" s="45" customFormat="1" ht="18" customHeight="1" thickBot="1">
      <c r="A99" s="78" t="str">
        <f>Inventory!A99</f>
        <v>DRAUGHT BEER</v>
      </c>
      <c r="B99" s="78" t="str">
        <f>Inventory!C99</f>
        <v>VOLUME</v>
      </c>
      <c r="C99" s="22" t="s">
        <v>187</v>
      </c>
      <c r="D99" s="22"/>
      <c r="E99" s="22" t="s">
        <v>101</v>
      </c>
      <c r="F99" s="22"/>
      <c r="G99" s="23" t="s">
        <v>108</v>
      </c>
      <c r="H99" s="79" t="s">
        <v>119</v>
      </c>
      <c r="I99" s="253" t="s">
        <v>190</v>
      </c>
      <c r="J99" s="253"/>
      <c r="K99" s="235" t="s">
        <v>30</v>
      </c>
      <c r="L99" s="235"/>
      <c r="M99" s="235" t="s">
        <v>31</v>
      </c>
      <c r="N99" s="235"/>
      <c r="O99" s="235" t="s">
        <v>189</v>
      </c>
      <c r="P99" s="235"/>
    </row>
    <row r="100" spans="1:16" ht="6.95" customHeight="1" thickTop="1">
      <c r="A100" s="193"/>
      <c r="B100" s="194"/>
      <c r="C100" s="71"/>
      <c r="D100" s="71"/>
      <c r="E100" s="67"/>
      <c r="F100" s="67"/>
      <c r="G100" s="71"/>
      <c r="H100" s="71"/>
      <c r="I100" s="71"/>
      <c r="J100" s="71"/>
      <c r="K100" s="71"/>
      <c r="L100" s="67"/>
      <c r="M100" s="62"/>
      <c r="N100" s="67"/>
      <c r="O100" s="67"/>
      <c r="P100" s="67"/>
    </row>
    <row r="101" spans="1:16" s="29" customFormat="1" ht="15" customHeight="1">
      <c r="A101" s="31" t="str">
        <f>IF(ISBLANK(Inventory!A101),"",Inventory!A101)</f>
        <v>Boddingtons</v>
      </c>
      <c r="B101" s="31" t="str">
        <f>IF(ISBLANK(Inventory!A101),"",Inventory!C101)</f>
        <v>22 Gallon</v>
      </c>
      <c r="C101" s="187">
        <v>1</v>
      </c>
      <c r="D101" s="192"/>
      <c r="E101" s="187">
        <v>1</v>
      </c>
      <c r="F101" s="173"/>
      <c r="G101" s="187">
        <v>0.5</v>
      </c>
      <c r="H101" s="37">
        <f>IF(ISBLANK(Inventory!A101),0,C101+SUM('Week 4'!E101:G101)-SUM(E101:G101))</f>
        <v>1</v>
      </c>
      <c r="I101" s="35" t="str">
        <f>IF(OR(ISBLANK(J101),J101=0),"",Settings!$B$14)</f>
        <v>$</v>
      </c>
      <c r="J101" s="30">
        <f>IF(ISBLANK(C101),0,C101*Inventory!F101)</f>
        <v>95.38</v>
      </c>
      <c r="K101" s="35" t="str">
        <f>IF(OR(ISBLANK(L101),L101=0),"",Settings!$B$14)</f>
        <v>$</v>
      </c>
      <c r="L101" s="30">
        <f>IF(ISBLANK(Inventory!A101),0,SUM(E101:G101)*Inventory!F101)</f>
        <v>143.07</v>
      </c>
      <c r="M101" s="35" t="str">
        <f>IF(OR(ISBLANK(N101),N101=0),"",Settings!$B$14)</f>
        <v>$</v>
      </c>
      <c r="N101" s="30">
        <f>IF(ISBLANK(Inventory!A101),0,SUM(E101:G101)*Inventory!L101)</f>
        <v>707.52</v>
      </c>
      <c r="O101" s="35" t="str">
        <f>IF(OR(ISBLANK(P101),P101=0),"",Settings!$B$14)</f>
        <v>$</v>
      </c>
      <c r="P101" s="30">
        <f>IF(ISBLANK(Inventory!A101),0,H101*Inventory!L101)</f>
        <v>471.68</v>
      </c>
    </row>
    <row r="102" spans="1:16" s="29" customFormat="1" ht="15" customHeight="1">
      <c r="A102" s="31" t="str">
        <f>IF(ISBLANK(Inventory!A102),"",Inventory!A102)</f>
        <v>Murphy's</v>
      </c>
      <c r="B102" s="31" t="str">
        <f>IF(ISBLANK(Inventory!A102),"",Inventory!C102)</f>
        <v>10 Gallon</v>
      </c>
      <c r="C102" s="187">
        <v>1</v>
      </c>
      <c r="D102" s="192"/>
      <c r="E102" s="187">
        <v>1</v>
      </c>
      <c r="F102" s="173"/>
      <c r="G102" s="187">
        <v>0.1</v>
      </c>
      <c r="H102" s="37">
        <f>IF(ISBLANK(Inventory!A102),0,C102+SUM('Week 4'!E102:G102)-SUM(E102:G102))</f>
        <v>1</v>
      </c>
      <c r="I102" s="35" t="str">
        <f>IF(OR(ISBLANK(J102),J102=0),"",Settings!$B$14)</f>
        <v>$</v>
      </c>
      <c r="J102" s="30">
        <f>IF(ISBLANK(C102),0,C102*Inventory!F102)</f>
        <v>53.25</v>
      </c>
      <c r="K102" s="35" t="str">
        <f>IF(OR(ISBLANK(L102),L102=0),"",Settings!$B$14)</f>
        <v>$</v>
      </c>
      <c r="L102" s="30">
        <f>IF(ISBLANK(Inventory!A102),0,SUM(E102:G102)*Inventory!F102)</f>
        <v>58.575000000000003</v>
      </c>
      <c r="M102" s="35" t="str">
        <f>IF(OR(ISBLANK(N102),N102=0),"",Settings!$B$14)</f>
        <v>$</v>
      </c>
      <c r="N102" s="30">
        <f>IF(ISBLANK(Inventory!A102),0,SUM(E102:G102)*Inventory!L102)</f>
        <v>256.96000000000004</v>
      </c>
      <c r="O102" s="35" t="str">
        <f>IF(OR(ISBLANK(P102),P102=0),"",Settings!$B$14)</f>
        <v>$</v>
      </c>
      <c r="P102" s="30">
        <f>IF(ISBLANK(Inventory!A102),0,H102*Inventory!L102)</f>
        <v>233.6</v>
      </c>
    </row>
    <row r="103" spans="1:16" s="29" customFormat="1" ht="15" customHeight="1">
      <c r="A103" s="31" t="str">
        <f>IF(ISBLANK(Inventory!A103),"",Inventory!A103)</f>
        <v/>
      </c>
      <c r="B103" s="31" t="str">
        <f>IF(ISBLANK(Inventory!A103),"",Inventory!C103)</f>
        <v/>
      </c>
      <c r="C103" s="187"/>
      <c r="D103" s="192"/>
      <c r="E103" s="187"/>
      <c r="F103" s="173"/>
      <c r="G103" s="187"/>
      <c r="H103" s="37">
        <f>IF(ISBLANK(Inventory!A103),0,C103+SUM('Week 4'!E103:G103)-SUM(E103:G103))</f>
        <v>0</v>
      </c>
      <c r="I103" s="35" t="str">
        <f>IF(OR(ISBLANK(J103),J103=0),"",Settings!$B$14)</f>
        <v/>
      </c>
      <c r="J103" s="30">
        <f>IF(ISBLANK(C103),0,C103*Inventory!F103)</f>
        <v>0</v>
      </c>
      <c r="K103" s="35" t="str">
        <f>IF(OR(ISBLANK(L103),L103=0),"",Settings!$B$14)</f>
        <v/>
      </c>
      <c r="L103" s="30">
        <f>IF(ISBLANK(Inventory!A103),0,SUM(E103:G103)*Inventory!F103)</f>
        <v>0</v>
      </c>
      <c r="M103" s="35" t="str">
        <f>IF(OR(ISBLANK(N103),N103=0),"",Settings!$B$14)</f>
        <v/>
      </c>
      <c r="N103" s="30">
        <f>IF(ISBLANK(Inventory!A103),0,SUM(E103:G103)*Inventory!L103)</f>
        <v>0</v>
      </c>
      <c r="O103" s="35" t="str">
        <f>IF(OR(ISBLANK(P103),P103=0),"",Settings!$B$14)</f>
        <v/>
      </c>
      <c r="P103" s="30">
        <f>IF(ISBLANK(Inventory!A103),0,H103*Inventory!L103)</f>
        <v>0</v>
      </c>
    </row>
    <row r="104" spans="1:16" s="29" customFormat="1" ht="15" customHeight="1">
      <c r="A104" s="31" t="str">
        <f>IF(ISBLANK(Inventory!A104),"",Inventory!A104)</f>
        <v/>
      </c>
      <c r="B104" s="31" t="str">
        <f>IF(ISBLANK(Inventory!A104),"",Inventory!C104)</f>
        <v/>
      </c>
      <c r="C104" s="187"/>
      <c r="D104" s="192"/>
      <c r="E104" s="187"/>
      <c r="F104" s="173"/>
      <c r="G104" s="187"/>
      <c r="H104" s="37">
        <f>IF(ISBLANK(Inventory!A104),0,C104+SUM('Week 4'!E104:G104)-SUM(E104:G104))</f>
        <v>0</v>
      </c>
      <c r="I104" s="35" t="str">
        <f>IF(OR(ISBLANK(J104),J104=0),"",Settings!$B$14)</f>
        <v/>
      </c>
      <c r="J104" s="30">
        <f>IF(ISBLANK(C104),0,C104*Inventory!F104)</f>
        <v>0</v>
      </c>
      <c r="K104" s="35" t="str">
        <f>IF(OR(ISBLANK(L104),L104=0),"",Settings!$B$14)</f>
        <v/>
      </c>
      <c r="L104" s="30">
        <f>IF(ISBLANK(Inventory!A104),0,SUM(E104:G104)*Inventory!F104)</f>
        <v>0</v>
      </c>
      <c r="M104" s="35" t="str">
        <f>IF(OR(ISBLANK(N104),N104=0),"",Settings!$B$14)</f>
        <v/>
      </c>
      <c r="N104" s="30">
        <f>IF(ISBLANK(Inventory!A104),0,SUM(E104:G104)*Inventory!L104)</f>
        <v>0</v>
      </c>
      <c r="O104" s="35" t="str">
        <f>IF(OR(ISBLANK(P104),P104=0),"",Settings!$B$14)</f>
        <v/>
      </c>
      <c r="P104" s="30">
        <f>IF(ISBLANK(Inventory!A104),0,H104*Inventory!L104)</f>
        <v>0</v>
      </c>
    </row>
    <row r="105" spans="1:16" s="29" customFormat="1" ht="15" customHeight="1">
      <c r="A105" s="31" t="str">
        <f>IF(ISBLANK(Inventory!A105),"",Inventory!A105)</f>
        <v/>
      </c>
      <c r="B105" s="31" t="str">
        <f>IF(ISBLANK(Inventory!A105),"",Inventory!C105)</f>
        <v/>
      </c>
      <c r="C105" s="187"/>
      <c r="D105" s="192"/>
      <c r="E105" s="187"/>
      <c r="F105" s="173"/>
      <c r="G105" s="187"/>
      <c r="H105" s="37">
        <f>IF(ISBLANK(Inventory!A105),0,C105+SUM('Week 4'!E105:G105)-SUM(E105:G105))</f>
        <v>0</v>
      </c>
      <c r="I105" s="35" t="str">
        <f>IF(OR(ISBLANK(J105),J105=0),"",Settings!$B$14)</f>
        <v/>
      </c>
      <c r="J105" s="30">
        <f>IF(ISBLANK(C105),0,C105*Inventory!F105)</f>
        <v>0</v>
      </c>
      <c r="K105" s="35" t="str">
        <f>IF(OR(ISBLANK(L105),L105=0),"",Settings!$B$14)</f>
        <v/>
      </c>
      <c r="L105" s="30">
        <f>IF(ISBLANK(Inventory!A105),0,SUM(E105:G105)*Inventory!F105)</f>
        <v>0</v>
      </c>
      <c r="M105" s="35" t="str">
        <f>IF(OR(ISBLANK(N105),N105=0),"",Settings!$B$14)</f>
        <v/>
      </c>
      <c r="N105" s="30">
        <f>IF(ISBLANK(Inventory!A105),0,SUM(E105:G105)*Inventory!L105)</f>
        <v>0</v>
      </c>
      <c r="O105" s="35" t="str">
        <f>IF(OR(ISBLANK(P105),P105=0),"",Settings!$B$14)</f>
        <v/>
      </c>
      <c r="P105" s="30">
        <f>IF(ISBLANK(Inventory!A105),0,H105*Inventory!L105)</f>
        <v>0</v>
      </c>
    </row>
    <row r="106" spans="1:16" s="29" customFormat="1" ht="15" customHeight="1">
      <c r="A106" s="31" t="str">
        <f>IF(ISBLANK(Inventory!A106),"",Inventory!A106)</f>
        <v/>
      </c>
      <c r="B106" s="31" t="str">
        <f>IF(ISBLANK(Inventory!A106),"",Inventory!C106)</f>
        <v/>
      </c>
      <c r="C106" s="187"/>
      <c r="D106" s="192"/>
      <c r="E106" s="187"/>
      <c r="F106" s="173"/>
      <c r="G106" s="187"/>
      <c r="H106" s="37">
        <f>IF(ISBLANK(Inventory!A106),0,C106+SUM('Week 4'!E106:G106)-SUM(E106:G106))</f>
        <v>0</v>
      </c>
      <c r="I106" s="35" t="str">
        <f>IF(OR(ISBLANK(J106),J106=0),"",Settings!$B$14)</f>
        <v/>
      </c>
      <c r="J106" s="30">
        <f>IF(ISBLANK(C106),0,C106*Inventory!F106)</f>
        <v>0</v>
      </c>
      <c r="K106" s="35" t="str">
        <f>IF(OR(ISBLANK(L106),L106=0),"",Settings!$B$14)</f>
        <v/>
      </c>
      <c r="L106" s="30">
        <f>IF(ISBLANK(Inventory!A106),0,SUM(E106:G106)*Inventory!F106)</f>
        <v>0</v>
      </c>
      <c r="M106" s="35" t="str">
        <f>IF(OR(ISBLANK(N106),N106=0),"",Settings!$B$14)</f>
        <v/>
      </c>
      <c r="N106" s="30">
        <f>IF(ISBLANK(Inventory!A106),0,SUM(E106:G106)*Inventory!L106)</f>
        <v>0</v>
      </c>
      <c r="O106" s="35" t="str">
        <f>IF(OR(ISBLANK(P106),P106=0),"",Settings!$B$14)</f>
        <v/>
      </c>
      <c r="P106" s="30">
        <f>IF(ISBLANK(Inventory!A106),0,H106*Inventory!L106)</f>
        <v>0</v>
      </c>
    </row>
    <row r="107" spans="1:16" ht="6.95" customHeight="1">
      <c r="A107" s="24"/>
      <c r="B107" s="24"/>
      <c r="C107" s="69"/>
      <c r="D107" s="69"/>
      <c r="E107" s="69"/>
      <c r="F107" s="69"/>
      <c r="G107" s="69"/>
      <c r="H107" s="69"/>
      <c r="I107" s="69"/>
      <c r="J107" s="69"/>
      <c r="K107" s="69"/>
      <c r="L107" s="25"/>
      <c r="M107" s="62"/>
      <c r="N107" s="160"/>
      <c r="O107" s="25"/>
      <c r="P107" s="160"/>
    </row>
    <row r="108" spans="1:16" s="45" customFormat="1" ht="18" customHeight="1" thickBot="1">
      <c r="A108" s="78" t="str">
        <f>Inventory!A108</f>
        <v>DRAUGHT LAGER</v>
      </c>
      <c r="B108" s="78" t="str">
        <f>Inventory!C108</f>
        <v>VOLUME</v>
      </c>
      <c r="C108" s="22" t="s">
        <v>187</v>
      </c>
      <c r="D108" s="22"/>
      <c r="E108" s="22" t="s">
        <v>101</v>
      </c>
      <c r="F108" s="22"/>
      <c r="G108" s="23" t="s">
        <v>108</v>
      </c>
      <c r="H108" s="79" t="s">
        <v>119</v>
      </c>
      <c r="I108" s="253" t="s">
        <v>190</v>
      </c>
      <c r="J108" s="253"/>
      <c r="K108" s="235" t="s">
        <v>30</v>
      </c>
      <c r="L108" s="235"/>
      <c r="M108" s="235" t="s">
        <v>31</v>
      </c>
      <c r="N108" s="235"/>
      <c r="O108" s="235" t="s">
        <v>189</v>
      </c>
      <c r="P108" s="235"/>
    </row>
    <row r="109" spans="1:16" ht="6.95" customHeight="1" thickTop="1">
      <c r="A109" s="193"/>
      <c r="B109" s="194"/>
      <c r="C109" s="71"/>
      <c r="D109" s="71"/>
      <c r="E109" s="67"/>
      <c r="F109" s="67"/>
      <c r="G109" s="71"/>
      <c r="H109" s="71"/>
      <c r="I109" s="71"/>
      <c r="J109" s="71"/>
      <c r="K109" s="71"/>
      <c r="L109" s="67"/>
      <c r="M109" s="62"/>
      <c r="N109" s="67"/>
      <c r="O109" s="67"/>
      <c r="P109" s="67"/>
    </row>
    <row r="110" spans="1:16" s="29" customFormat="1" ht="15" customHeight="1">
      <c r="A110" s="31" t="str">
        <f>IF(ISBLANK(Inventory!A110),"",Inventory!A110)</f>
        <v>Hoegaarden</v>
      </c>
      <c r="B110" s="31" t="str">
        <f>IF(ISBLANK(Inventory!A110),"",Inventory!C110)</f>
        <v>7.1 Gallon</v>
      </c>
      <c r="C110" s="187"/>
      <c r="D110" s="192"/>
      <c r="E110" s="187">
        <v>1</v>
      </c>
      <c r="F110" s="173"/>
      <c r="G110" s="187">
        <v>0.8</v>
      </c>
      <c r="H110" s="37">
        <f>IF(ISBLANK(Inventory!A110),0,C110+SUM('Week 4'!E110:G110)-SUM(E110:G110))</f>
        <v>0</v>
      </c>
      <c r="I110" s="35" t="str">
        <f>IF(OR(ISBLANK(J110),J110=0),"",Settings!$B$14)</f>
        <v/>
      </c>
      <c r="J110" s="30">
        <f>IF(ISBLANK(C110),0,C110*Inventory!F110)</f>
        <v>0</v>
      </c>
      <c r="K110" s="35" t="str">
        <f>IF(OR(ISBLANK(L110),L110=0),"",Settings!$B$14)</f>
        <v>$</v>
      </c>
      <c r="L110" s="30">
        <f>IF(ISBLANK(Inventory!A110),0,SUM(E110:G110)*Inventory!F110)</f>
        <v>63</v>
      </c>
      <c r="M110" s="35" t="str">
        <f>IF(OR(ISBLANK(N110),N110=0),"",Settings!$B$14)</f>
        <v>$</v>
      </c>
      <c r="N110" s="30">
        <f>IF(ISBLANK(Inventory!A110),0,SUM(E110:G110)*Inventory!L110)</f>
        <v>260.71199999999999</v>
      </c>
      <c r="O110" s="35" t="str">
        <f>IF(OR(ISBLANK(P110),P110=0),"",Settings!$B$14)</f>
        <v/>
      </c>
      <c r="P110" s="30">
        <f>IF(ISBLANK(Inventory!A110),0,H110*Inventory!L110)</f>
        <v>0</v>
      </c>
    </row>
    <row r="111" spans="1:16" s="29" customFormat="1" ht="15" customHeight="1">
      <c r="A111" s="31" t="str">
        <f>IF(ISBLANK(Inventory!A111),"",Inventory!A111)</f>
        <v>Stella Artois</v>
      </c>
      <c r="B111" s="31" t="str">
        <f>IF(ISBLANK(Inventory!A111),"",Inventory!C111)</f>
        <v>22 Gallon</v>
      </c>
      <c r="C111" s="187"/>
      <c r="D111" s="192"/>
      <c r="E111" s="187"/>
      <c r="F111" s="173"/>
      <c r="G111" s="187"/>
      <c r="H111" s="37">
        <f>IF(ISBLANK(Inventory!A111),0,C111+SUM('Week 4'!E111:G111)-SUM(E111:G111))</f>
        <v>0</v>
      </c>
      <c r="I111" s="35" t="str">
        <f>IF(OR(ISBLANK(J111),J111=0),"",Settings!$B$14)</f>
        <v/>
      </c>
      <c r="J111" s="30">
        <f>IF(ISBLANK(C111),0,C111*Inventory!F111)</f>
        <v>0</v>
      </c>
      <c r="K111" s="35" t="str">
        <f>IF(OR(ISBLANK(L111),L111=0),"",Settings!$B$14)</f>
        <v/>
      </c>
      <c r="L111" s="30">
        <f>IF(ISBLANK(Inventory!A111),0,SUM(E111:G111)*Inventory!F111)</f>
        <v>0</v>
      </c>
      <c r="M111" s="35" t="str">
        <f>IF(OR(ISBLANK(N111),N111=0),"",Settings!$B$14)</f>
        <v/>
      </c>
      <c r="N111" s="30">
        <f>IF(ISBLANK(Inventory!A111),0,SUM(E111:G111)*Inventory!L111)</f>
        <v>0</v>
      </c>
      <c r="O111" s="35" t="str">
        <f>IF(OR(ISBLANK(P111),P111=0),"",Settings!$B$14)</f>
        <v/>
      </c>
      <c r="P111" s="30">
        <f>IF(ISBLANK(Inventory!A111),0,H111*Inventory!L111)</f>
        <v>0</v>
      </c>
    </row>
    <row r="112" spans="1:16" s="29" customFormat="1" ht="15" customHeight="1">
      <c r="A112" s="31" t="str">
        <f>IF(ISBLANK(Inventory!A112),"",Inventory!A112)</f>
        <v>Stella Artois</v>
      </c>
      <c r="B112" s="31" t="str">
        <f>IF(ISBLANK(Inventory!A112),"",Inventory!C112)</f>
        <v>10 Gallon</v>
      </c>
      <c r="C112" s="187"/>
      <c r="D112" s="192"/>
      <c r="E112" s="187"/>
      <c r="F112" s="173"/>
      <c r="G112" s="187"/>
      <c r="H112" s="37">
        <f>IF(ISBLANK(Inventory!A112),0,C112+SUM('Week 4'!E112:G112)-SUM(E112:G112))</f>
        <v>0</v>
      </c>
      <c r="I112" s="35" t="str">
        <f>IF(OR(ISBLANK(J112),J112=0),"",Settings!$B$14)</f>
        <v/>
      </c>
      <c r="J112" s="30">
        <f>IF(ISBLANK(C112),0,C112*Inventory!F112)</f>
        <v>0</v>
      </c>
      <c r="K112" s="35" t="str">
        <f>IF(OR(ISBLANK(L112),L112=0),"",Settings!$B$14)</f>
        <v/>
      </c>
      <c r="L112" s="30">
        <f>IF(ISBLANK(Inventory!A112),0,SUM(E112:G112)*Inventory!F112)</f>
        <v>0</v>
      </c>
      <c r="M112" s="35" t="str">
        <f>IF(OR(ISBLANK(N112),N112=0),"",Settings!$B$14)</f>
        <v/>
      </c>
      <c r="N112" s="30">
        <f>IF(ISBLANK(Inventory!A112),0,SUM(E112:G112)*Inventory!L112)</f>
        <v>0</v>
      </c>
      <c r="O112" s="35" t="str">
        <f>IF(OR(ISBLANK(P112),P112=0),"",Settings!$B$14)</f>
        <v/>
      </c>
      <c r="P112" s="30">
        <f>IF(ISBLANK(Inventory!A112),0,H112*Inventory!L112)</f>
        <v>0</v>
      </c>
    </row>
    <row r="113" spans="1:16" s="29" customFormat="1" ht="15" customHeight="1">
      <c r="A113" s="31" t="str">
        <f>IF(ISBLANK(Inventory!A113),"",Inventory!A113)</f>
        <v/>
      </c>
      <c r="B113" s="31" t="str">
        <f>IF(ISBLANK(Inventory!A113),"",Inventory!C113)</f>
        <v/>
      </c>
      <c r="C113" s="187"/>
      <c r="D113" s="192"/>
      <c r="E113" s="187"/>
      <c r="F113" s="173"/>
      <c r="G113" s="187"/>
      <c r="H113" s="37">
        <f>IF(ISBLANK(Inventory!A113),0,C113+SUM('Week 4'!E113:G113)-SUM(E113:G113))</f>
        <v>0</v>
      </c>
      <c r="I113" s="35" t="str">
        <f>IF(OR(ISBLANK(J113),J113=0),"",Settings!$B$14)</f>
        <v/>
      </c>
      <c r="J113" s="30">
        <f>IF(ISBLANK(C113),0,C113*Inventory!F113)</f>
        <v>0</v>
      </c>
      <c r="K113" s="35" t="str">
        <f>IF(OR(ISBLANK(L113),L113=0),"",Settings!$B$14)</f>
        <v/>
      </c>
      <c r="L113" s="30">
        <f>IF(ISBLANK(Inventory!A113),0,SUM(E113:G113)*Inventory!F113)</f>
        <v>0</v>
      </c>
      <c r="M113" s="35" t="str">
        <f>IF(OR(ISBLANK(N113),N113=0),"",Settings!$B$14)</f>
        <v/>
      </c>
      <c r="N113" s="30">
        <f>IF(ISBLANK(Inventory!A113),0,SUM(E113:G113)*Inventory!L113)</f>
        <v>0</v>
      </c>
      <c r="O113" s="35" t="str">
        <f>IF(OR(ISBLANK(P113),P113=0),"",Settings!$B$14)</f>
        <v/>
      </c>
      <c r="P113" s="30">
        <f>IF(ISBLANK(Inventory!A113),0,H113*Inventory!L113)</f>
        <v>0</v>
      </c>
    </row>
    <row r="114" spans="1:16" s="29" customFormat="1" ht="15" customHeight="1">
      <c r="A114" s="31" t="str">
        <f>IF(ISBLANK(Inventory!A114),"",Inventory!A114)</f>
        <v/>
      </c>
      <c r="B114" s="31" t="str">
        <f>IF(ISBLANK(Inventory!A114),"",Inventory!C114)</f>
        <v/>
      </c>
      <c r="C114" s="187"/>
      <c r="D114" s="192"/>
      <c r="E114" s="187"/>
      <c r="F114" s="173"/>
      <c r="G114" s="187"/>
      <c r="H114" s="37">
        <f>IF(ISBLANK(Inventory!A114),0,C114+SUM('Week 4'!E114:G114)-SUM(E114:G114))</f>
        <v>0</v>
      </c>
      <c r="I114" s="35" t="str">
        <f>IF(OR(ISBLANK(J114),J114=0),"",Settings!$B$14)</f>
        <v/>
      </c>
      <c r="J114" s="30">
        <f>IF(ISBLANK(C114),0,C114*Inventory!F114)</f>
        <v>0</v>
      </c>
      <c r="K114" s="35" t="str">
        <f>IF(OR(ISBLANK(L114),L114=0),"",Settings!$B$14)</f>
        <v/>
      </c>
      <c r="L114" s="30">
        <f>IF(ISBLANK(Inventory!A114),0,SUM(E114:G114)*Inventory!F114)</f>
        <v>0</v>
      </c>
      <c r="M114" s="35" t="str">
        <f>IF(OR(ISBLANK(N114),N114=0),"",Settings!$B$14)</f>
        <v/>
      </c>
      <c r="N114" s="30">
        <f>IF(ISBLANK(Inventory!A114),0,SUM(E114:G114)*Inventory!L114)</f>
        <v>0</v>
      </c>
      <c r="O114" s="35" t="str">
        <f>IF(OR(ISBLANK(P114),P114=0),"",Settings!$B$14)</f>
        <v/>
      </c>
      <c r="P114" s="30">
        <f>IF(ISBLANK(Inventory!A114),0,H114*Inventory!L114)</f>
        <v>0</v>
      </c>
    </row>
    <row r="115" spans="1:16" s="29" customFormat="1" ht="15" customHeight="1">
      <c r="A115" s="31" t="str">
        <f>IF(ISBLANK(Inventory!A115),"",Inventory!A115)</f>
        <v/>
      </c>
      <c r="B115" s="31" t="str">
        <f>IF(ISBLANK(Inventory!A115),"",Inventory!C115)</f>
        <v/>
      </c>
      <c r="C115" s="187"/>
      <c r="D115" s="192"/>
      <c r="E115" s="187"/>
      <c r="F115" s="173"/>
      <c r="G115" s="187"/>
      <c r="H115" s="37">
        <f>IF(ISBLANK(Inventory!A115),0,C115+SUM('Week 4'!E115:G115)-SUM(E115:G115))</f>
        <v>0</v>
      </c>
      <c r="I115" s="35" t="str">
        <f>IF(OR(ISBLANK(J115),J115=0),"",Settings!$B$14)</f>
        <v/>
      </c>
      <c r="J115" s="30">
        <f>IF(ISBLANK(C115),0,C115*Inventory!F115)</f>
        <v>0</v>
      </c>
      <c r="K115" s="35" t="str">
        <f>IF(OR(ISBLANK(L115),L115=0),"",Settings!$B$14)</f>
        <v/>
      </c>
      <c r="L115" s="30">
        <f>IF(ISBLANK(Inventory!A115),0,SUM(E115:G115)*Inventory!F115)</f>
        <v>0</v>
      </c>
      <c r="M115" s="35" t="str">
        <f>IF(OR(ISBLANK(N115),N115=0),"",Settings!$B$14)</f>
        <v/>
      </c>
      <c r="N115" s="30">
        <f>IF(ISBLANK(Inventory!A115),0,SUM(E115:G115)*Inventory!L115)</f>
        <v>0</v>
      </c>
      <c r="O115" s="35" t="str">
        <f>IF(OR(ISBLANK(P115),P115=0),"",Settings!$B$14)</f>
        <v/>
      </c>
      <c r="P115" s="30">
        <f>IF(ISBLANK(Inventory!A115),0,H115*Inventory!L115)</f>
        <v>0</v>
      </c>
    </row>
    <row r="116" spans="1:16" ht="6.95" customHeight="1">
      <c r="A116" s="24"/>
      <c r="B116" s="24"/>
      <c r="C116" s="69"/>
      <c r="D116" s="69"/>
      <c r="E116" s="69"/>
      <c r="F116" s="69"/>
      <c r="G116" s="69"/>
      <c r="H116" s="69"/>
      <c r="I116" s="69"/>
      <c r="J116" s="69"/>
      <c r="K116" s="69"/>
      <c r="L116" s="25"/>
      <c r="M116" s="62"/>
      <c r="N116" s="160"/>
      <c r="O116" s="25"/>
      <c r="P116" s="160"/>
    </row>
    <row r="117" spans="1:16" s="45" customFormat="1" ht="18" customHeight="1" thickBot="1">
      <c r="A117" s="78" t="str">
        <f>Inventory!A117</f>
        <v>BOTTLED BEER</v>
      </c>
      <c r="B117" s="78" t="str">
        <f>Inventory!C117</f>
        <v>VOLUME</v>
      </c>
      <c r="C117" s="22" t="s">
        <v>187</v>
      </c>
      <c r="D117" s="22"/>
      <c r="E117" s="22" t="s">
        <v>101</v>
      </c>
      <c r="F117" s="22" t="s">
        <v>102</v>
      </c>
      <c r="G117" s="23"/>
      <c r="H117" s="79" t="s">
        <v>119</v>
      </c>
      <c r="I117" s="253" t="s">
        <v>190</v>
      </c>
      <c r="J117" s="253"/>
      <c r="K117" s="235" t="s">
        <v>30</v>
      </c>
      <c r="L117" s="235"/>
      <c r="M117" s="235" t="s">
        <v>31</v>
      </c>
      <c r="N117" s="235"/>
      <c r="O117" s="235" t="s">
        <v>189</v>
      </c>
      <c r="P117" s="235"/>
    </row>
    <row r="118" spans="1:16" ht="6.95" customHeight="1" thickTop="1">
      <c r="A118" s="193"/>
      <c r="B118" s="194"/>
      <c r="C118" s="71"/>
      <c r="D118" s="71"/>
      <c r="E118" s="67"/>
      <c r="F118" s="67"/>
      <c r="G118" s="71"/>
      <c r="H118" s="71"/>
      <c r="I118" s="71"/>
      <c r="J118" s="71"/>
      <c r="K118" s="71"/>
      <c r="L118" s="67"/>
      <c r="M118" s="62"/>
      <c r="N118" s="67"/>
      <c r="O118" s="67"/>
      <c r="P118" s="67"/>
    </row>
    <row r="119" spans="1:16" s="29" customFormat="1" ht="15" customHeight="1">
      <c r="A119" s="31" t="str">
        <f>IF(ISBLANK(Inventory!A119),"",Inventory!A119)</f>
        <v>Labatt Ice</v>
      </c>
      <c r="B119" s="31" t="str">
        <f>IF(ISBLANK(Inventory!A119),"",Inventory!C119)</f>
        <v>330ml</v>
      </c>
      <c r="C119" s="187"/>
      <c r="D119" s="192"/>
      <c r="E119" s="187">
        <v>20</v>
      </c>
      <c r="F119" s="187"/>
      <c r="G119" s="173"/>
      <c r="H119" s="37">
        <f>IF(ISBLANK(Inventory!A119),0,C119+SUM('Week 4'!E119:G119)-SUM(E119:G119))</f>
        <v>0</v>
      </c>
      <c r="I119" s="35" t="str">
        <f>IF(OR(ISBLANK(J119),J119=0),"",Settings!$B$14)</f>
        <v/>
      </c>
      <c r="J119" s="30">
        <f>IF(ISBLANK(C119),0,C119*Inventory!H119)</f>
        <v>0</v>
      </c>
      <c r="K119" s="35" t="str">
        <f>IF(OR(ISBLANK(L119),L119=0),"",Settings!$B$14)</f>
        <v>$</v>
      </c>
      <c r="L119" s="30">
        <f>IF(ISBLANK(Inventory!A119),0,SUM(E119:G119)*Inventory!H119)</f>
        <v>11.100000000000001</v>
      </c>
      <c r="M119" s="35" t="str">
        <f>IF(OR(ISBLANK(N119),N119=0),"",Settings!$B$14)</f>
        <v>$</v>
      </c>
      <c r="N119" s="30">
        <f>IF(ISBLANK(Inventory!A119),0,SUM(E119:G119)*Inventory!J119)</f>
        <v>54.400000000000006</v>
      </c>
      <c r="O119" s="35" t="str">
        <f>IF(OR(ISBLANK(P119),P119=0),"",Settings!$B$14)</f>
        <v/>
      </c>
      <c r="P119" s="30">
        <f>IF(ISBLANK(Inventory!A119),0,H119*Inventory!J119)</f>
        <v>0</v>
      </c>
    </row>
    <row r="120" spans="1:16" s="29" customFormat="1" ht="15" customHeight="1">
      <c r="A120" s="31" t="str">
        <f>IF(ISBLANK(Inventory!A120),"",Inventory!A120)</f>
        <v>Stella Artois</v>
      </c>
      <c r="B120" s="31" t="str">
        <f>IF(ISBLANK(Inventory!A120),"",Inventory!C120)</f>
        <v>330ml</v>
      </c>
      <c r="C120" s="187"/>
      <c r="D120" s="192"/>
      <c r="E120" s="187"/>
      <c r="F120" s="187"/>
      <c r="G120" s="173"/>
      <c r="H120" s="37">
        <f>IF(ISBLANK(Inventory!A120),0,C120+SUM('Week 4'!E120:G120)-SUM(E120:G120))</f>
        <v>0</v>
      </c>
      <c r="I120" s="35" t="str">
        <f>IF(OR(ISBLANK(J120),J120=0),"",Settings!$B$14)</f>
        <v/>
      </c>
      <c r="J120" s="30">
        <f>IF(ISBLANK(C120),0,C120*Inventory!H120)</f>
        <v>0</v>
      </c>
      <c r="K120" s="35" t="str">
        <f>IF(OR(ISBLANK(L120),L120=0),"",Settings!$B$14)</f>
        <v/>
      </c>
      <c r="L120" s="30">
        <f>IF(ISBLANK(Inventory!A120),0,SUM(E120:G120)*Inventory!H120)</f>
        <v>0</v>
      </c>
      <c r="M120" s="35" t="str">
        <f>IF(OR(ISBLANK(N120),N120=0),"",Settings!$B$14)</f>
        <v/>
      </c>
      <c r="N120" s="30">
        <f>IF(ISBLANK(Inventory!A120),0,SUM(E120:G120)*Inventory!J120)</f>
        <v>0</v>
      </c>
      <c r="O120" s="35" t="str">
        <f>IF(OR(ISBLANK(P120),P120=0),"",Settings!$B$14)</f>
        <v/>
      </c>
      <c r="P120" s="30">
        <f>IF(ISBLANK(Inventory!A120),0,H120*Inventory!J120)</f>
        <v>0</v>
      </c>
    </row>
    <row r="121" spans="1:16" s="29" customFormat="1" ht="15" customHeight="1">
      <c r="A121" s="31" t="str">
        <f>IF(ISBLANK(Inventory!A121),"",Inventory!A121)</f>
        <v>Budweiser</v>
      </c>
      <c r="B121" s="31" t="str">
        <f>IF(ISBLANK(Inventory!A121),"",Inventory!C121)</f>
        <v>330ml</v>
      </c>
      <c r="C121" s="187"/>
      <c r="D121" s="192"/>
      <c r="E121" s="187"/>
      <c r="F121" s="187"/>
      <c r="G121" s="173"/>
      <c r="H121" s="37">
        <f>IF(ISBLANK(Inventory!A121),0,C121+SUM('Week 4'!E121:G121)-SUM(E121:G121))</f>
        <v>0</v>
      </c>
      <c r="I121" s="35" t="str">
        <f>IF(OR(ISBLANK(J121),J121=0),"",Settings!$B$14)</f>
        <v/>
      </c>
      <c r="J121" s="30">
        <f>IF(ISBLANK(C121),0,C121*Inventory!H121)</f>
        <v>0</v>
      </c>
      <c r="K121" s="35" t="str">
        <f>IF(OR(ISBLANK(L121),L121=0),"",Settings!$B$14)</f>
        <v/>
      </c>
      <c r="L121" s="30">
        <f>IF(ISBLANK(Inventory!A121),0,SUM(E121:G121)*Inventory!H121)</f>
        <v>0</v>
      </c>
      <c r="M121" s="35" t="str">
        <f>IF(OR(ISBLANK(N121),N121=0),"",Settings!$B$14)</f>
        <v/>
      </c>
      <c r="N121" s="30">
        <f>IF(ISBLANK(Inventory!A121),0,SUM(E121:G121)*Inventory!J121)</f>
        <v>0</v>
      </c>
      <c r="O121" s="35" t="str">
        <f>IF(OR(ISBLANK(P121),P121=0),"",Settings!$B$14)</f>
        <v/>
      </c>
      <c r="P121" s="30">
        <f>IF(ISBLANK(Inventory!A121),0,H121*Inventory!J121)</f>
        <v>0</v>
      </c>
    </row>
    <row r="122" spans="1:16" s="29" customFormat="1" ht="15" customHeight="1">
      <c r="A122" s="31" t="str">
        <f>IF(ISBLANK(Inventory!A122),"",Inventory!A122)</f>
        <v>Becks</v>
      </c>
      <c r="B122" s="31" t="str">
        <f>IF(ISBLANK(Inventory!A122),"",Inventory!C122)</f>
        <v>275ml</v>
      </c>
      <c r="C122" s="187"/>
      <c r="D122" s="192"/>
      <c r="E122" s="187"/>
      <c r="F122" s="187"/>
      <c r="G122" s="173"/>
      <c r="H122" s="37">
        <f>IF(ISBLANK(Inventory!A122),0,C122+SUM('Week 4'!E122:G122)-SUM(E122:G122))</f>
        <v>0</v>
      </c>
      <c r="I122" s="35" t="str">
        <f>IF(OR(ISBLANK(J122),J122=0),"",Settings!$B$14)</f>
        <v/>
      </c>
      <c r="J122" s="30">
        <f>IF(ISBLANK(C122),0,C122*Inventory!H122)</f>
        <v>0</v>
      </c>
      <c r="K122" s="35" t="str">
        <f>IF(OR(ISBLANK(L122),L122=0),"",Settings!$B$14)</f>
        <v/>
      </c>
      <c r="L122" s="30">
        <f>IF(ISBLANK(Inventory!A122),0,SUM(E122:G122)*Inventory!H122)</f>
        <v>0</v>
      </c>
      <c r="M122" s="35" t="str">
        <f>IF(OR(ISBLANK(N122),N122=0),"",Settings!$B$14)</f>
        <v/>
      </c>
      <c r="N122" s="30">
        <f>IF(ISBLANK(Inventory!A122),0,SUM(E122:G122)*Inventory!J122)</f>
        <v>0</v>
      </c>
      <c r="O122" s="35" t="str">
        <f>IF(OR(ISBLANK(P122),P122=0),"",Settings!$B$14)</f>
        <v/>
      </c>
      <c r="P122" s="30">
        <f>IF(ISBLANK(Inventory!A122),0,H122*Inventory!J122)</f>
        <v>0</v>
      </c>
    </row>
    <row r="123" spans="1:16" s="29" customFormat="1" ht="15" customHeight="1">
      <c r="A123" s="31" t="str">
        <f>IF(ISBLANK(Inventory!A123),"",Inventory!A123)</f>
        <v>Old Speckled Hen</v>
      </c>
      <c r="B123" s="31" t="str">
        <f>IF(ISBLANK(Inventory!A123),"",Inventory!C123)</f>
        <v>500ml</v>
      </c>
      <c r="C123" s="187"/>
      <c r="D123" s="192"/>
      <c r="E123" s="187"/>
      <c r="F123" s="187"/>
      <c r="G123" s="173"/>
      <c r="H123" s="37">
        <f>IF(ISBLANK(Inventory!A123),0,C123+SUM('Week 4'!E123:G123)-SUM(E123:G123))</f>
        <v>0</v>
      </c>
      <c r="I123" s="35" t="str">
        <f>IF(OR(ISBLANK(J123),J123=0),"",Settings!$B$14)</f>
        <v/>
      </c>
      <c r="J123" s="30">
        <f>IF(ISBLANK(C123),0,C123*Inventory!H123)</f>
        <v>0</v>
      </c>
      <c r="K123" s="35" t="str">
        <f>IF(OR(ISBLANK(L123),L123=0),"",Settings!$B$14)</f>
        <v/>
      </c>
      <c r="L123" s="30">
        <f>IF(ISBLANK(Inventory!A123),0,SUM(E123:G123)*Inventory!H123)</f>
        <v>0</v>
      </c>
      <c r="M123" s="35" t="str">
        <f>IF(OR(ISBLANK(N123),N123=0),"",Settings!$B$14)</f>
        <v/>
      </c>
      <c r="N123" s="30">
        <f>IF(ISBLANK(Inventory!A123),0,SUM(E123:G123)*Inventory!J123)</f>
        <v>0</v>
      </c>
      <c r="O123" s="35" t="str">
        <f>IF(OR(ISBLANK(P123),P123=0),"",Settings!$B$14)</f>
        <v/>
      </c>
      <c r="P123" s="30">
        <f>IF(ISBLANK(Inventory!A123),0,H123*Inventory!J123)</f>
        <v>0</v>
      </c>
    </row>
    <row r="124" spans="1:16" s="29" customFormat="1" ht="15" customHeight="1">
      <c r="A124" s="31" t="str">
        <f>IF(ISBLANK(Inventory!A124),"",Inventory!A124)</f>
        <v>Bacardi Breezer</v>
      </c>
      <c r="B124" s="31" t="str">
        <f>IF(ISBLANK(Inventory!A124),"",Inventory!C124)</f>
        <v>275ml</v>
      </c>
      <c r="C124" s="187"/>
      <c r="D124" s="192"/>
      <c r="E124" s="187"/>
      <c r="F124" s="187"/>
      <c r="G124" s="173"/>
      <c r="H124" s="37">
        <f>IF(ISBLANK(Inventory!A124),0,C124+SUM('Week 4'!E124:G124)-SUM(E124:G124))</f>
        <v>0</v>
      </c>
      <c r="I124" s="35" t="str">
        <f>IF(OR(ISBLANK(J124),J124=0),"",Settings!$B$14)</f>
        <v/>
      </c>
      <c r="J124" s="30">
        <f>IF(ISBLANK(C124),0,C124*Inventory!H124)</f>
        <v>0</v>
      </c>
      <c r="K124" s="35" t="str">
        <f>IF(OR(ISBLANK(L124),L124=0),"",Settings!$B$14)</f>
        <v/>
      </c>
      <c r="L124" s="30">
        <f>IF(ISBLANK(Inventory!A124),0,SUM(E124:G124)*Inventory!H124)</f>
        <v>0</v>
      </c>
      <c r="M124" s="35" t="str">
        <f>IF(OR(ISBLANK(N124),N124=0),"",Settings!$B$14)</f>
        <v/>
      </c>
      <c r="N124" s="30">
        <f>IF(ISBLANK(Inventory!A124),0,SUM(E124:G124)*Inventory!J124)</f>
        <v>0</v>
      </c>
      <c r="O124" s="35" t="str">
        <f>IF(OR(ISBLANK(P124),P124=0),"",Settings!$B$14)</f>
        <v/>
      </c>
      <c r="P124" s="30">
        <f>IF(ISBLANK(Inventory!A124),0,H124*Inventory!J124)</f>
        <v>0</v>
      </c>
    </row>
    <row r="125" spans="1:16" s="29" customFormat="1" ht="15" customHeight="1">
      <c r="A125" s="31" t="str">
        <f>IF(ISBLANK(Inventory!A125),"",Inventory!A125)</f>
        <v>WKD Blue/Iron Brew</v>
      </c>
      <c r="B125" s="31" t="str">
        <f>IF(ISBLANK(Inventory!A125),"",Inventory!C125)</f>
        <v>275ml</v>
      </c>
      <c r="C125" s="187"/>
      <c r="D125" s="192"/>
      <c r="E125" s="187"/>
      <c r="F125" s="187"/>
      <c r="G125" s="173"/>
      <c r="H125" s="37">
        <f>IF(ISBLANK(Inventory!A125),0,C125+SUM('Week 4'!E125:G125)-SUM(E125:G125))</f>
        <v>0</v>
      </c>
      <c r="I125" s="35" t="str">
        <f>IF(OR(ISBLANK(J125),J125=0),"",Settings!$B$14)</f>
        <v/>
      </c>
      <c r="J125" s="30">
        <f>IF(ISBLANK(C125),0,C125*Inventory!H125)</f>
        <v>0</v>
      </c>
      <c r="K125" s="35" t="str">
        <f>IF(OR(ISBLANK(L125),L125=0),"",Settings!$B$14)</f>
        <v/>
      </c>
      <c r="L125" s="30">
        <f>IF(ISBLANK(Inventory!A125),0,SUM(E125:G125)*Inventory!H125)</f>
        <v>0</v>
      </c>
      <c r="M125" s="35" t="str">
        <f>IF(OR(ISBLANK(N125),N125=0),"",Settings!$B$14)</f>
        <v/>
      </c>
      <c r="N125" s="30">
        <f>IF(ISBLANK(Inventory!A125),0,SUM(E125:G125)*Inventory!J125)</f>
        <v>0</v>
      </c>
      <c r="O125" s="35" t="str">
        <f>IF(OR(ISBLANK(P125),P125=0),"",Settings!$B$14)</f>
        <v/>
      </c>
      <c r="P125" s="30">
        <f>IF(ISBLANK(Inventory!A125),0,H125*Inventory!J125)</f>
        <v>0</v>
      </c>
    </row>
    <row r="126" spans="1:16" s="29" customFormat="1" ht="15" customHeight="1">
      <c r="A126" s="31" t="str">
        <f>IF(ISBLANK(Inventory!A126),"",Inventory!A126)</f>
        <v>Smirnoff Ice/Black Ice</v>
      </c>
      <c r="B126" s="31" t="str">
        <f>IF(ISBLANK(Inventory!A126),"",Inventory!C126)</f>
        <v>275ml</v>
      </c>
      <c r="C126" s="187"/>
      <c r="D126" s="192"/>
      <c r="E126" s="187"/>
      <c r="F126" s="187"/>
      <c r="G126" s="173"/>
      <c r="H126" s="37">
        <f>IF(ISBLANK(Inventory!A126),0,C126+SUM('Week 4'!E126:G126)-SUM(E126:G126))</f>
        <v>0</v>
      </c>
      <c r="I126" s="35" t="str">
        <f>IF(OR(ISBLANK(J126),J126=0),"",Settings!$B$14)</f>
        <v/>
      </c>
      <c r="J126" s="30">
        <f>IF(ISBLANK(C126),0,C126*Inventory!H126)</f>
        <v>0</v>
      </c>
      <c r="K126" s="35" t="str">
        <f>IF(OR(ISBLANK(L126),L126=0),"",Settings!$B$14)</f>
        <v/>
      </c>
      <c r="L126" s="30">
        <f>IF(ISBLANK(Inventory!A126),0,SUM(E126:G126)*Inventory!H126)</f>
        <v>0</v>
      </c>
      <c r="M126" s="35" t="str">
        <f>IF(OR(ISBLANK(N126),N126=0),"",Settings!$B$14)</f>
        <v/>
      </c>
      <c r="N126" s="30">
        <f>IF(ISBLANK(Inventory!A126),0,SUM(E126:G126)*Inventory!J126)</f>
        <v>0</v>
      </c>
      <c r="O126" s="35" t="str">
        <f>IF(OR(ISBLANK(P126),P126=0),"",Settings!$B$14)</f>
        <v/>
      </c>
      <c r="P126" s="30">
        <f>IF(ISBLANK(Inventory!A126),0,H126*Inventory!J126)</f>
        <v>0</v>
      </c>
    </row>
    <row r="127" spans="1:16" s="29" customFormat="1" ht="15" customHeight="1">
      <c r="A127" s="31" t="str">
        <f>IF(ISBLANK(Inventory!A127),"",Inventory!A127)</f>
        <v/>
      </c>
      <c r="B127" s="31" t="str">
        <f>IF(ISBLANK(Inventory!A127),"",Inventory!C127)</f>
        <v/>
      </c>
      <c r="C127" s="187"/>
      <c r="D127" s="192"/>
      <c r="E127" s="187"/>
      <c r="F127" s="187"/>
      <c r="G127" s="173"/>
      <c r="H127" s="37">
        <f>IF(ISBLANK(Inventory!A127),0,C127+SUM('Week 4'!E127:G127)-SUM(E127:G127))</f>
        <v>0</v>
      </c>
      <c r="I127" s="35" t="str">
        <f>IF(OR(ISBLANK(J127),J127=0),"",Settings!$B$14)</f>
        <v/>
      </c>
      <c r="J127" s="30">
        <f>IF(ISBLANK(C127),0,C127*Inventory!H127)</f>
        <v>0</v>
      </c>
      <c r="K127" s="35" t="str">
        <f>IF(OR(ISBLANK(L127),L127=0),"",Settings!$B$14)</f>
        <v/>
      </c>
      <c r="L127" s="30">
        <f>IF(ISBLANK(Inventory!A127),0,SUM(E127:G127)*Inventory!H127)</f>
        <v>0</v>
      </c>
      <c r="M127" s="35" t="str">
        <f>IF(OR(ISBLANK(N127),N127=0),"",Settings!$B$14)</f>
        <v/>
      </c>
      <c r="N127" s="30">
        <f>IF(ISBLANK(Inventory!A127),0,SUM(E127:G127)*Inventory!J127)</f>
        <v>0</v>
      </c>
      <c r="O127" s="35" t="str">
        <f>IF(OR(ISBLANK(P127),P127=0),"",Settings!$B$14)</f>
        <v/>
      </c>
      <c r="P127" s="30">
        <f>IF(ISBLANK(Inventory!A127),0,H127*Inventory!J127)</f>
        <v>0</v>
      </c>
    </row>
    <row r="128" spans="1:16" s="29" customFormat="1" ht="15" customHeight="1">
      <c r="A128" s="31" t="str">
        <f>IF(ISBLANK(Inventory!A128),"",Inventory!A128)</f>
        <v/>
      </c>
      <c r="B128" s="31" t="str">
        <f>IF(ISBLANK(Inventory!A128),"",Inventory!C128)</f>
        <v/>
      </c>
      <c r="C128" s="187"/>
      <c r="D128" s="192"/>
      <c r="E128" s="187"/>
      <c r="F128" s="187"/>
      <c r="G128" s="173"/>
      <c r="H128" s="37">
        <f>IF(ISBLANK(Inventory!A128),0,C128+SUM('Week 4'!E128:G128)-SUM(E128:G128))</f>
        <v>0</v>
      </c>
      <c r="I128" s="35" t="str">
        <f>IF(OR(ISBLANK(J128),J128=0),"",Settings!$B$14)</f>
        <v/>
      </c>
      <c r="J128" s="30">
        <f>IF(ISBLANK(C128),0,C128*Inventory!H128)</f>
        <v>0</v>
      </c>
      <c r="K128" s="35" t="str">
        <f>IF(OR(ISBLANK(L128),L128=0),"",Settings!$B$14)</f>
        <v/>
      </c>
      <c r="L128" s="30">
        <f>IF(ISBLANK(Inventory!A128),0,SUM(E128:G128)*Inventory!H128)</f>
        <v>0</v>
      </c>
      <c r="M128" s="35" t="str">
        <f>IF(OR(ISBLANK(N128),N128=0),"",Settings!$B$14)</f>
        <v/>
      </c>
      <c r="N128" s="30">
        <f>IF(ISBLANK(Inventory!A128),0,SUM(E128:G128)*Inventory!J128)</f>
        <v>0</v>
      </c>
      <c r="O128" s="35" t="str">
        <f>IF(OR(ISBLANK(P128),P128=0),"",Settings!$B$14)</f>
        <v/>
      </c>
      <c r="P128" s="30">
        <f>IF(ISBLANK(Inventory!A128),0,H128*Inventory!J128)</f>
        <v>0</v>
      </c>
    </row>
    <row r="129" spans="1:16" s="29" customFormat="1" ht="15" customHeight="1">
      <c r="A129" s="31" t="str">
        <f>IF(ISBLANK(Inventory!A129),"",Inventory!A129)</f>
        <v/>
      </c>
      <c r="B129" s="31" t="str">
        <f>IF(ISBLANK(Inventory!A129),"",Inventory!C129)</f>
        <v/>
      </c>
      <c r="C129" s="187"/>
      <c r="D129" s="192"/>
      <c r="E129" s="187"/>
      <c r="F129" s="187"/>
      <c r="G129" s="173"/>
      <c r="H129" s="37">
        <f>IF(ISBLANK(Inventory!A129),0,C129+SUM('Week 4'!E129:G129)-SUM(E129:G129))</f>
        <v>0</v>
      </c>
      <c r="I129" s="35" t="str">
        <f>IF(OR(ISBLANK(J129),J129=0),"",Settings!$B$14)</f>
        <v/>
      </c>
      <c r="J129" s="30">
        <f>IF(ISBLANK(C129),0,C129*Inventory!H129)</f>
        <v>0</v>
      </c>
      <c r="K129" s="35" t="str">
        <f>IF(OR(ISBLANK(L129),L129=0),"",Settings!$B$14)</f>
        <v/>
      </c>
      <c r="L129" s="30">
        <f>IF(ISBLANK(Inventory!A129),0,SUM(E129:G129)*Inventory!H129)</f>
        <v>0</v>
      </c>
      <c r="M129" s="35" t="str">
        <f>IF(OR(ISBLANK(N129),N129=0),"",Settings!$B$14)</f>
        <v/>
      </c>
      <c r="N129" s="30">
        <f>IF(ISBLANK(Inventory!A129),0,SUM(E129:G129)*Inventory!J129)</f>
        <v>0</v>
      </c>
      <c r="O129" s="35" t="str">
        <f>IF(OR(ISBLANK(P129),P129=0),"",Settings!$B$14)</f>
        <v/>
      </c>
      <c r="P129" s="30">
        <f>IF(ISBLANK(Inventory!A129),0,H129*Inventory!J129)</f>
        <v>0</v>
      </c>
    </row>
    <row r="130" spans="1:16" s="29" customFormat="1" ht="15" customHeight="1">
      <c r="A130" s="31" t="str">
        <f>IF(ISBLANK(Inventory!A130),"",Inventory!A130)</f>
        <v/>
      </c>
      <c r="B130" s="31" t="str">
        <f>IF(ISBLANK(Inventory!A130),"",Inventory!C130)</f>
        <v/>
      </c>
      <c r="C130" s="187"/>
      <c r="D130" s="192"/>
      <c r="E130" s="187"/>
      <c r="F130" s="187"/>
      <c r="G130" s="173"/>
      <c r="H130" s="37">
        <f>IF(ISBLANK(Inventory!A130),0,C130+SUM('Week 4'!E130:G130)-SUM(E130:G130))</f>
        <v>0</v>
      </c>
      <c r="I130" s="35" t="str">
        <f>IF(OR(ISBLANK(J130),J130=0),"",Settings!$B$14)</f>
        <v/>
      </c>
      <c r="J130" s="30">
        <f>IF(ISBLANK(C130),0,C130*Inventory!H130)</f>
        <v>0</v>
      </c>
      <c r="K130" s="35" t="str">
        <f>IF(OR(ISBLANK(L130),L130=0),"",Settings!$B$14)</f>
        <v/>
      </c>
      <c r="L130" s="30">
        <f>IF(ISBLANK(Inventory!A130),0,SUM(E130:G130)*Inventory!H130)</f>
        <v>0</v>
      </c>
      <c r="M130" s="35" t="str">
        <f>IF(OR(ISBLANK(N130),N130=0),"",Settings!$B$14)</f>
        <v/>
      </c>
      <c r="N130" s="30">
        <f>IF(ISBLANK(Inventory!A130),0,SUM(E130:G130)*Inventory!J130)</f>
        <v>0</v>
      </c>
      <c r="O130" s="35" t="str">
        <f>IF(OR(ISBLANK(P130),P130=0),"",Settings!$B$14)</f>
        <v/>
      </c>
      <c r="P130" s="30">
        <f>IF(ISBLANK(Inventory!A130),0,H130*Inventory!J130)</f>
        <v>0</v>
      </c>
    </row>
    <row r="131" spans="1:16" s="29" customFormat="1" ht="15" customHeight="1">
      <c r="A131" s="31" t="str">
        <f>IF(ISBLANK(Inventory!A131),"",Inventory!A131)</f>
        <v/>
      </c>
      <c r="B131" s="31" t="str">
        <f>IF(ISBLANK(Inventory!A131),"",Inventory!C131)</f>
        <v/>
      </c>
      <c r="C131" s="187"/>
      <c r="D131" s="192"/>
      <c r="E131" s="187"/>
      <c r="F131" s="187"/>
      <c r="G131" s="173"/>
      <c r="H131" s="37">
        <f>IF(ISBLANK(Inventory!A131),0,C131+SUM('Week 4'!E131:G131)-SUM(E131:G131))</f>
        <v>0</v>
      </c>
      <c r="I131" s="35" t="str">
        <f>IF(OR(ISBLANK(J131),J131=0),"",Settings!$B$14)</f>
        <v/>
      </c>
      <c r="J131" s="30">
        <f>IF(ISBLANK(C131),0,C131*Inventory!H131)</f>
        <v>0</v>
      </c>
      <c r="K131" s="35" t="str">
        <f>IF(OR(ISBLANK(L131),L131=0),"",Settings!$B$14)</f>
        <v/>
      </c>
      <c r="L131" s="30">
        <f>IF(ISBLANK(Inventory!A131),0,SUM(E131:G131)*Inventory!H131)</f>
        <v>0</v>
      </c>
      <c r="M131" s="35" t="str">
        <f>IF(OR(ISBLANK(N131),N131=0),"",Settings!$B$14)</f>
        <v/>
      </c>
      <c r="N131" s="30">
        <f>IF(ISBLANK(Inventory!A131),0,SUM(E131:G131)*Inventory!J131)</f>
        <v>0</v>
      </c>
      <c r="O131" s="35" t="str">
        <f>IF(OR(ISBLANK(P131),P131=0),"",Settings!$B$14)</f>
        <v/>
      </c>
      <c r="P131" s="30">
        <f>IF(ISBLANK(Inventory!A131),0,H131*Inventory!J131)</f>
        <v>0</v>
      </c>
    </row>
    <row r="132" spans="1:16" s="29" customFormat="1" ht="15" customHeight="1">
      <c r="A132" s="31" t="str">
        <f>IF(ISBLANK(Inventory!A132),"",Inventory!A132)</f>
        <v/>
      </c>
      <c r="B132" s="31" t="str">
        <f>IF(ISBLANK(Inventory!A132),"",Inventory!C132)</f>
        <v/>
      </c>
      <c r="C132" s="187"/>
      <c r="D132" s="192"/>
      <c r="E132" s="187"/>
      <c r="F132" s="187"/>
      <c r="G132" s="173"/>
      <c r="H132" s="37">
        <f>IF(ISBLANK(Inventory!A132),0,C132+SUM('Week 4'!E132:G132)-SUM(E132:G132))</f>
        <v>0</v>
      </c>
      <c r="I132" s="35" t="str">
        <f>IF(OR(ISBLANK(J132),J132=0),"",Settings!$B$14)</f>
        <v/>
      </c>
      <c r="J132" s="30">
        <f>IF(ISBLANK(C132),0,C132*Inventory!H132)</f>
        <v>0</v>
      </c>
      <c r="K132" s="35" t="str">
        <f>IF(OR(ISBLANK(L132),L132=0),"",Settings!$B$14)</f>
        <v/>
      </c>
      <c r="L132" s="30">
        <f>IF(ISBLANK(Inventory!A132),0,SUM(E132:G132)*Inventory!H132)</f>
        <v>0</v>
      </c>
      <c r="M132" s="35" t="str">
        <f>IF(OR(ISBLANK(N132),N132=0),"",Settings!$B$14)</f>
        <v/>
      </c>
      <c r="N132" s="30">
        <f>IF(ISBLANK(Inventory!A132),0,SUM(E132:G132)*Inventory!J132)</f>
        <v>0</v>
      </c>
      <c r="O132" s="35" t="str">
        <f>IF(OR(ISBLANK(P132),P132=0),"",Settings!$B$14)</f>
        <v/>
      </c>
      <c r="P132" s="30">
        <f>IF(ISBLANK(Inventory!A132),0,H132*Inventory!J132)</f>
        <v>0</v>
      </c>
    </row>
    <row r="133" spans="1:16" s="29" customFormat="1" ht="15" customHeight="1">
      <c r="A133" s="31" t="str">
        <f>IF(ISBLANK(Inventory!A133),"",Inventory!A133)</f>
        <v/>
      </c>
      <c r="B133" s="31" t="str">
        <f>IF(ISBLANK(Inventory!A133),"",Inventory!C133)</f>
        <v/>
      </c>
      <c r="C133" s="187"/>
      <c r="D133" s="192"/>
      <c r="E133" s="187"/>
      <c r="F133" s="187"/>
      <c r="G133" s="173"/>
      <c r="H133" s="37">
        <f>IF(ISBLANK(Inventory!A133),0,C133+SUM('Week 4'!E133:G133)-SUM(E133:G133))</f>
        <v>0</v>
      </c>
      <c r="I133" s="35" t="str">
        <f>IF(OR(ISBLANK(J133),J133=0),"",Settings!$B$14)</f>
        <v/>
      </c>
      <c r="J133" s="30">
        <f>IF(ISBLANK(C133),0,C133*Inventory!H133)</f>
        <v>0</v>
      </c>
      <c r="K133" s="35" t="str">
        <f>IF(OR(ISBLANK(L133),L133=0),"",Settings!$B$14)</f>
        <v/>
      </c>
      <c r="L133" s="30">
        <f>IF(ISBLANK(Inventory!A133),0,SUM(E133:G133)*Inventory!H133)</f>
        <v>0</v>
      </c>
      <c r="M133" s="35" t="str">
        <f>IF(OR(ISBLANK(N133),N133=0),"",Settings!$B$14)</f>
        <v/>
      </c>
      <c r="N133" s="30">
        <f>IF(ISBLANK(Inventory!A133),0,SUM(E133:G133)*Inventory!J133)</f>
        <v>0</v>
      </c>
      <c r="O133" s="35" t="str">
        <f>IF(OR(ISBLANK(P133),P133=0),"",Settings!$B$14)</f>
        <v/>
      </c>
      <c r="P133" s="30">
        <f>IF(ISBLANK(Inventory!A133),0,H133*Inventory!J133)</f>
        <v>0</v>
      </c>
    </row>
    <row r="134" spans="1:16" s="29" customFormat="1" ht="15" customHeight="1">
      <c r="A134" s="31" t="str">
        <f>IF(ISBLANK(Inventory!A134),"",Inventory!A134)</f>
        <v/>
      </c>
      <c r="B134" s="31" t="str">
        <f>IF(ISBLANK(Inventory!A134),"",Inventory!C134)</f>
        <v/>
      </c>
      <c r="C134" s="187"/>
      <c r="D134" s="192"/>
      <c r="E134" s="187"/>
      <c r="F134" s="187"/>
      <c r="G134" s="173"/>
      <c r="H134" s="37">
        <f>IF(ISBLANK(Inventory!A134),0,C134+SUM('Week 4'!E134:G134)-SUM(E134:G134))</f>
        <v>0</v>
      </c>
      <c r="I134" s="35" t="str">
        <f>IF(OR(ISBLANK(J134),J134=0),"",Settings!$B$14)</f>
        <v/>
      </c>
      <c r="J134" s="30">
        <f>IF(ISBLANK(C134),0,C134*Inventory!H134)</f>
        <v>0</v>
      </c>
      <c r="K134" s="35" t="str">
        <f>IF(OR(ISBLANK(L134),L134=0),"",Settings!$B$14)</f>
        <v/>
      </c>
      <c r="L134" s="30">
        <f>IF(ISBLANK(Inventory!A134),0,SUM(E134:G134)*Inventory!H134)</f>
        <v>0</v>
      </c>
      <c r="M134" s="35" t="str">
        <f>IF(OR(ISBLANK(N134),N134=0),"",Settings!$B$14)</f>
        <v/>
      </c>
      <c r="N134" s="30">
        <f>IF(ISBLANK(Inventory!A134),0,SUM(E134:G134)*Inventory!J134)</f>
        <v>0</v>
      </c>
      <c r="O134" s="35" t="str">
        <f>IF(OR(ISBLANK(P134),P134=0),"",Settings!$B$14)</f>
        <v/>
      </c>
      <c r="P134" s="30">
        <f>IF(ISBLANK(Inventory!A134),0,H134*Inventory!J134)</f>
        <v>0</v>
      </c>
    </row>
    <row r="135" spans="1:16" ht="6.95" customHeight="1">
      <c r="A135" s="24"/>
      <c r="B135" s="24"/>
      <c r="C135" s="69"/>
      <c r="D135" s="69"/>
      <c r="E135" s="69"/>
      <c r="F135" s="69"/>
      <c r="G135" s="69"/>
      <c r="H135" s="69"/>
      <c r="I135" s="69"/>
      <c r="J135" s="69"/>
      <c r="K135" s="69"/>
      <c r="L135" s="25"/>
      <c r="M135" s="62"/>
      <c r="N135" s="160"/>
      <c r="O135" s="25"/>
      <c r="P135" s="160"/>
    </row>
    <row r="136" spans="1:16" s="45" customFormat="1" ht="18" customHeight="1" thickBot="1">
      <c r="A136" s="78" t="str">
        <f>Inventory!A136</f>
        <v>CIDER</v>
      </c>
      <c r="B136" s="78" t="str">
        <f>Inventory!C136</f>
        <v>VOLUME</v>
      </c>
      <c r="C136" s="22" t="s">
        <v>187</v>
      </c>
      <c r="D136" s="22"/>
      <c r="E136" s="22" t="s">
        <v>101</v>
      </c>
      <c r="F136" s="22" t="s">
        <v>102</v>
      </c>
      <c r="G136" s="23"/>
      <c r="H136" s="79" t="s">
        <v>119</v>
      </c>
      <c r="I136" s="253" t="s">
        <v>190</v>
      </c>
      <c r="J136" s="253"/>
      <c r="K136" s="235" t="s">
        <v>30</v>
      </c>
      <c r="L136" s="235"/>
      <c r="M136" s="235" t="s">
        <v>31</v>
      </c>
      <c r="N136" s="235"/>
      <c r="O136" s="235" t="s">
        <v>189</v>
      </c>
      <c r="P136" s="235"/>
    </row>
    <row r="137" spans="1:16" ht="6.95" customHeight="1" thickTop="1">
      <c r="A137" s="193"/>
      <c r="B137" s="194"/>
      <c r="C137" s="71"/>
      <c r="D137" s="71"/>
      <c r="E137" s="67"/>
      <c r="F137" s="67"/>
      <c r="G137" s="71"/>
      <c r="H137" s="71"/>
      <c r="I137" s="71"/>
      <c r="J137" s="71"/>
      <c r="K137" s="71"/>
      <c r="L137" s="67"/>
      <c r="M137" s="62"/>
      <c r="N137" s="67"/>
      <c r="O137" s="67"/>
      <c r="P137" s="67"/>
    </row>
    <row r="138" spans="1:16" s="195" customFormat="1" ht="15" customHeight="1">
      <c r="A138" s="31" t="str">
        <f>IF(ISBLANK(Inventory!A138),"",Inventory!A138)</f>
        <v>Strongbow</v>
      </c>
      <c r="B138" s="31" t="str">
        <f>IF(ISBLANK(Inventory!A138),"",Inventory!C138)</f>
        <v>275ml</v>
      </c>
      <c r="C138" s="187"/>
      <c r="D138" s="192"/>
      <c r="E138" s="187"/>
      <c r="F138" s="187"/>
      <c r="G138" s="173"/>
      <c r="H138" s="37">
        <f>IF(ISBLANK(Inventory!A138),0,C138+SUM('Week 4'!E138:G138)-SUM(E138:G138))</f>
        <v>0</v>
      </c>
      <c r="I138" s="35" t="str">
        <f>IF(OR(ISBLANK(J138),J138=0),"",Settings!$B$14)</f>
        <v/>
      </c>
      <c r="J138" s="30">
        <f>IF(ISBLANK(C138),0,C138*Inventory!H138)</f>
        <v>0</v>
      </c>
      <c r="K138" s="35" t="str">
        <f>IF(OR(ISBLANK(L138),L138=0),"",Settings!$B$14)</f>
        <v/>
      </c>
      <c r="L138" s="30">
        <f>IF(ISBLANK(Inventory!A138),0,SUM(E138:G138)*Inventory!H138)</f>
        <v>0</v>
      </c>
      <c r="M138" s="35" t="str">
        <f>IF(OR(ISBLANK(N138),N138=0),"",Settings!$B$14)</f>
        <v/>
      </c>
      <c r="N138" s="30">
        <f>IF(ISBLANK(Inventory!A138),0,SUM(E138:G138)*Inventory!J138)</f>
        <v>0</v>
      </c>
      <c r="O138" s="35" t="str">
        <f>IF(OR(ISBLANK(P138),P138=0),"",Settings!$B$14)</f>
        <v/>
      </c>
      <c r="P138" s="30">
        <f>IF(ISBLANK(Inventory!A138),0,H138*Inventory!J138)</f>
        <v>0</v>
      </c>
    </row>
    <row r="139" spans="1:16" s="195" customFormat="1" ht="15" customHeight="1">
      <c r="A139" s="31" t="str">
        <f>IF(ISBLANK(Inventory!A139),"",Inventory!A139)</f>
        <v>Woodpecker</v>
      </c>
      <c r="B139" s="31" t="str">
        <f>IF(ISBLANK(Inventory!A139),"",Inventory!C139)</f>
        <v>275ml</v>
      </c>
      <c r="C139" s="187"/>
      <c r="D139" s="192"/>
      <c r="E139" s="187"/>
      <c r="F139" s="187"/>
      <c r="G139" s="173"/>
      <c r="H139" s="37">
        <f>IF(ISBLANK(Inventory!A139),0,C139+SUM('Week 4'!E139:G139)-SUM(E139:G139))</f>
        <v>0</v>
      </c>
      <c r="I139" s="35" t="str">
        <f>IF(OR(ISBLANK(J139),J139=0),"",Settings!$B$14)</f>
        <v/>
      </c>
      <c r="J139" s="30">
        <f>IF(ISBLANK(C139),0,C139*Inventory!H139)</f>
        <v>0</v>
      </c>
      <c r="K139" s="35" t="str">
        <f>IF(OR(ISBLANK(L139),L139=0),"",Settings!$B$14)</f>
        <v/>
      </c>
      <c r="L139" s="30">
        <f>IF(ISBLANK(Inventory!A139),0,SUM(E139:G139)*Inventory!H139)</f>
        <v>0</v>
      </c>
      <c r="M139" s="35" t="str">
        <f>IF(OR(ISBLANK(N139),N139=0),"",Settings!$B$14)</f>
        <v/>
      </c>
      <c r="N139" s="30">
        <f>IF(ISBLANK(Inventory!A139),0,SUM(E139:G139)*Inventory!J139)</f>
        <v>0</v>
      </c>
      <c r="O139" s="35" t="str">
        <f>IF(OR(ISBLANK(P139),P139=0),"",Settings!$B$14)</f>
        <v/>
      </c>
      <c r="P139" s="30">
        <f>IF(ISBLANK(Inventory!A139),0,H139*Inventory!J139)</f>
        <v>0</v>
      </c>
    </row>
    <row r="140" spans="1:16" s="195" customFormat="1" ht="15" customHeight="1">
      <c r="A140" s="31" t="str">
        <f>IF(ISBLANK(Inventory!A140),"",Inventory!A140)</f>
        <v/>
      </c>
      <c r="B140" s="31" t="str">
        <f>IF(ISBLANK(Inventory!A140),"",Inventory!C140)</f>
        <v/>
      </c>
      <c r="C140" s="187"/>
      <c r="D140" s="192"/>
      <c r="E140" s="187"/>
      <c r="F140" s="187"/>
      <c r="G140" s="173"/>
      <c r="H140" s="37">
        <f>IF(ISBLANK(Inventory!A140),0,C140+SUM('Week 4'!E140:G140)-SUM(E140:G140))</f>
        <v>0</v>
      </c>
      <c r="I140" s="35" t="str">
        <f>IF(OR(ISBLANK(J140),J140=0),"",Settings!$B$14)</f>
        <v/>
      </c>
      <c r="J140" s="30">
        <f>IF(ISBLANK(C140),0,C140*Inventory!H140)</f>
        <v>0</v>
      </c>
      <c r="K140" s="35" t="str">
        <f>IF(OR(ISBLANK(L140),L140=0),"",Settings!$B$14)</f>
        <v/>
      </c>
      <c r="L140" s="30">
        <f>IF(ISBLANK(Inventory!A140),0,SUM(E140:G140)*Inventory!H140)</f>
        <v>0</v>
      </c>
      <c r="M140" s="35" t="str">
        <f>IF(OR(ISBLANK(N140),N140=0),"",Settings!$B$14)</f>
        <v/>
      </c>
      <c r="N140" s="30">
        <f>IF(ISBLANK(Inventory!A140),0,SUM(E140:G140)*Inventory!J140)</f>
        <v>0</v>
      </c>
      <c r="O140" s="35" t="str">
        <f>IF(OR(ISBLANK(P140),P140=0),"",Settings!$B$14)</f>
        <v/>
      </c>
      <c r="P140" s="30">
        <f>IF(ISBLANK(Inventory!A140),0,H140*Inventory!J140)</f>
        <v>0</v>
      </c>
    </row>
    <row r="141" spans="1:16" s="195" customFormat="1" ht="15" customHeight="1">
      <c r="A141" s="31" t="str">
        <f>IF(ISBLANK(Inventory!A141),"",Inventory!A141)</f>
        <v/>
      </c>
      <c r="B141" s="31" t="str">
        <f>IF(ISBLANK(Inventory!A141),"",Inventory!C141)</f>
        <v/>
      </c>
      <c r="C141" s="187"/>
      <c r="D141" s="192"/>
      <c r="E141" s="187"/>
      <c r="F141" s="187"/>
      <c r="G141" s="173"/>
      <c r="H141" s="37">
        <f>IF(ISBLANK(Inventory!A141),0,C141+SUM('Week 4'!E141:G141)-SUM(E141:G141))</f>
        <v>0</v>
      </c>
      <c r="I141" s="35" t="str">
        <f>IF(OR(ISBLANK(J141),J141=0),"",Settings!$B$14)</f>
        <v/>
      </c>
      <c r="J141" s="30">
        <f>IF(ISBLANK(C141),0,C141*Inventory!H141)</f>
        <v>0</v>
      </c>
      <c r="K141" s="35" t="str">
        <f>IF(OR(ISBLANK(L141),L141=0),"",Settings!$B$14)</f>
        <v/>
      </c>
      <c r="L141" s="30">
        <f>IF(ISBLANK(Inventory!A141),0,SUM(E141:G141)*Inventory!H141)</f>
        <v>0</v>
      </c>
      <c r="M141" s="35" t="str">
        <f>IF(OR(ISBLANK(N141),N141=0),"",Settings!$B$14)</f>
        <v/>
      </c>
      <c r="N141" s="30">
        <f>IF(ISBLANK(Inventory!A141),0,SUM(E141:G141)*Inventory!J141)</f>
        <v>0</v>
      </c>
      <c r="O141" s="35" t="str">
        <f>IF(OR(ISBLANK(P141),P141=0),"",Settings!$B$14)</f>
        <v/>
      </c>
      <c r="P141" s="30">
        <f>IF(ISBLANK(Inventory!A141),0,H141*Inventory!J141)</f>
        <v>0</v>
      </c>
    </row>
    <row r="142" spans="1:16" s="195" customFormat="1" ht="15" customHeight="1">
      <c r="A142" s="31" t="str">
        <f>IF(ISBLANK(Inventory!A142),"",Inventory!A142)</f>
        <v/>
      </c>
      <c r="B142" s="31" t="str">
        <f>IF(ISBLANK(Inventory!A142),"",Inventory!C142)</f>
        <v/>
      </c>
      <c r="C142" s="187"/>
      <c r="D142" s="192"/>
      <c r="E142" s="187"/>
      <c r="F142" s="187"/>
      <c r="G142" s="173"/>
      <c r="H142" s="37">
        <f>IF(ISBLANK(Inventory!A142),0,C142+SUM('Week 4'!E142:G142)-SUM(E142:G142))</f>
        <v>0</v>
      </c>
      <c r="I142" s="35" t="str">
        <f>IF(OR(ISBLANK(J142),J142=0),"",Settings!$B$14)</f>
        <v/>
      </c>
      <c r="J142" s="30">
        <f>IF(ISBLANK(C142),0,C142*Inventory!H142)</f>
        <v>0</v>
      </c>
      <c r="K142" s="35" t="str">
        <f>IF(OR(ISBLANK(L142),L142=0),"",Settings!$B$14)</f>
        <v/>
      </c>
      <c r="L142" s="30">
        <f>IF(ISBLANK(Inventory!A142),0,SUM(E142:G142)*Inventory!H142)</f>
        <v>0</v>
      </c>
      <c r="M142" s="35" t="str">
        <f>IF(OR(ISBLANK(N142),N142=0),"",Settings!$B$14)</f>
        <v/>
      </c>
      <c r="N142" s="30">
        <f>IF(ISBLANK(Inventory!A142),0,SUM(E142:G142)*Inventory!J142)</f>
        <v>0</v>
      </c>
      <c r="O142" s="35" t="str">
        <f>IF(OR(ISBLANK(P142),P142=0),"",Settings!$B$14)</f>
        <v/>
      </c>
      <c r="P142" s="30">
        <f>IF(ISBLANK(Inventory!A142),0,H142*Inventory!J142)</f>
        <v>0</v>
      </c>
    </row>
    <row r="143" spans="1:16" s="195" customFormat="1" ht="15" customHeight="1">
      <c r="A143" s="31" t="str">
        <f>IF(ISBLANK(Inventory!A143),"",Inventory!A143)</f>
        <v/>
      </c>
      <c r="B143" s="31" t="str">
        <f>IF(ISBLANK(Inventory!A143),"",Inventory!C143)</f>
        <v/>
      </c>
      <c r="C143" s="187"/>
      <c r="D143" s="192"/>
      <c r="E143" s="187"/>
      <c r="F143" s="187"/>
      <c r="G143" s="173"/>
      <c r="H143" s="37">
        <f>IF(ISBLANK(Inventory!A143),0,C143+SUM('Week 4'!E143:G143)-SUM(E143:G143))</f>
        <v>0</v>
      </c>
      <c r="I143" s="35" t="str">
        <f>IF(OR(ISBLANK(J143),J143=0),"",Settings!$B$14)</f>
        <v/>
      </c>
      <c r="J143" s="30">
        <f>IF(ISBLANK(C143),0,C143*Inventory!H143)</f>
        <v>0</v>
      </c>
      <c r="K143" s="35" t="str">
        <f>IF(OR(ISBLANK(L143),L143=0),"",Settings!$B$14)</f>
        <v/>
      </c>
      <c r="L143" s="30">
        <f>IF(ISBLANK(Inventory!A143),0,SUM(E143:G143)*Inventory!H143)</f>
        <v>0</v>
      </c>
      <c r="M143" s="35" t="str">
        <f>IF(OR(ISBLANK(N143),N143=0),"",Settings!$B$14)</f>
        <v/>
      </c>
      <c r="N143" s="30">
        <f>IF(ISBLANK(Inventory!A143),0,SUM(E143:G143)*Inventory!J143)</f>
        <v>0</v>
      </c>
      <c r="O143" s="35" t="str">
        <f>IF(OR(ISBLANK(P143),P143=0),"",Settings!$B$14)</f>
        <v/>
      </c>
      <c r="P143" s="30">
        <f>IF(ISBLANK(Inventory!A143),0,H143*Inventory!J143)</f>
        <v>0</v>
      </c>
    </row>
    <row r="144" spans="1:16" s="195" customFormat="1" ht="15" customHeight="1">
      <c r="A144" s="31" t="str">
        <f>IF(ISBLANK(Inventory!A144),"",Inventory!A144)</f>
        <v/>
      </c>
      <c r="B144" s="31" t="str">
        <f>IF(ISBLANK(Inventory!A144),"",Inventory!C144)</f>
        <v/>
      </c>
      <c r="C144" s="187"/>
      <c r="D144" s="192"/>
      <c r="E144" s="187"/>
      <c r="F144" s="187"/>
      <c r="G144" s="173"/>
      <c r="H144" s="37">
        <f>IF(ISBLANK(Inventory!A144),0,C144+SUM('Week 4'!E144:G144)-SUM(E144:G144))</f>
        <v>0</v>
      </c>
      <c r="I144" s="35" t="str">
        <f>IF(OR(ISBLANK(J144),J144=0),"",Settings!$B$14)</f>
        <v/>
      </c>
      <c r="J144" s="30">
        <f>IF(ISBLANK(C144),0,C144*Inventory!H144)</f>
        <v>0</v>
      </c>
      <c r="K144" s="35" t="str">
        <f>IF(OR(ISBLANK(L144),L144=0),"",Settings!$B$14)</f>
        <v/>
      </c>
      <c r="L144" s="30">
        <f>IF(ISBLANK(Inventory!A144),0,SUM(E144:G144)*Inventory!H144)</f>
        <v>0</v>
      </c>
      <c r="M144" s="35" t="str">
        <f>IF(OR(ISBLANK(N144),N144=0),"",Settings!$B$14)</f>
        <v/>
      </c>
      <c r="N144" s="30">
        <f>IF(ISBLANK(Inventory!A144),0,SUM(E144:G144)*Inventory!J144)</f>
        <v>0</v>
      </c>
      <c r="O144" s="35" t="str">
        <f>IF(OR(ISBLANK(P144),P144=0),"",Settings!$B$14)</f>
        <v/>
      </c>
      <c r="P144" s="30">
        <f>IF(ISBLANK(Inventory!A144),0,H144*Inventory!J144)</f>
        <v>0</v>
      </c>
    </row>
    <row r="145" spans="1:16" s="195" customFormat="1" ht="15" customHeight="1">
      <c r="A145" s="31" t="str">
        <f>IF(ISBLANK(Inventory!A145),"",Inventory!A145)</f>
        <v/>
      </c>
      <c r="B145" s="31" t="str">
        <f>IF(ISBLANK(Inventory!A145),"",Inventory!C145)</f>
        <v/>
      </c>
      <c r="C145" s="187"/>
      <c r="D145" s="192"/>
      <c r="E145" s="187"/>
      <c r="F145" s="187"/>
      <c r="G145" s="173"/>
      <c r="H145" s="37">
        <f>IF(ISBLANK(Inventory!A145),0,C145+SUM('Week 4'!E145:G145)-SUM(E145:G145))</f>
        <v>0</v>
      </c>
      <c r="I145" s="35" t="str">
        <f>IF(OR(ISBLANK(J145),J145=0),"",Settings!$B$14)</f>
        <v/>
      </c>
      <c r="J145" s="30">
        <f>IF(ISBLANK(C145),0,C145*Inventory!H145)</f>
        <v>0</v>
      </c>
      <c r="K145" s="35" t="str">
        <f>IF(OR(ISBLANK(L145),L145=0),"",Settings!$B$14)</f>
        <v/>
      </c>
      <c r="L145" s="30">
        <f>IF(ISBLANK(Inventory!A145),0,SUM(E145:G145)*Inventory!H145)</f>
        <v>0</v>
      </c>
      <c r="M145" s="35" t="str">
        <f>IF(OR(ISBLANK(N145),N145=0),"",Settings!$B$14)</f>
        <v/>
      </c>
      <c r="N145" s="30">
        <f>IF(ISBLANK(Inventory!A145),0,SUM(E145:G145)*Inventory!J145)</f>
        <v>0</v>
      </c>
      <c r="O145" s="35" t="str">
        <f>IF(OR(ISBLANK(P145),P145=0),"",Settings!$B$14)</f>
        <v/>
      </c>
      <c r="P145" s="30">
        <f>IF(ISBLANK(Inventory!A145),0,H145*Inventory!J145)</f>
        <v>0</v>
      </c>
    </row>
    <row r="146" spans="1:16" s="195" customFormat="1" ht="15" customHeight="1">
      <c r="A146" s="31" t="str">
        <f>IF(ISBLANK(Inventory!A146),"",Inventory!A146)</f>
        <v/>
      </c>
      <c r="B146" s="31" t="str">
        <f>IF(ISBLANK(Inventory!A146),"",Inventory!C146)</f>
        <v/>
      </c>
      <c r="C146" s="187"/>
      <c r="D146" s="192"/>
      <c r="E146" s="187"/>
      <c r="F146" s="187"/>
      <c r="G146" s="173"/>
      <c r="H146" s="37">
        <f>IF(ISBLANK(Inventory!A146),0,C146+SUM('Week 4'!E146:G146)-SUM(E146:G146))</f>
        <v>0</v>
      </c>
      <c r="I146" s="35" t="str">
        <f>IF(OR(ISBLANK(J146),J146=0),"",Settings!$B$14)</f>
        <v/>
      </c>
      <c r="J146" s="30">
        <f>IF(ISBLANK(C146),0,C146*Inventory!H146)</f>
        <v>0</v>
      </c>
      <c r="K146" s="35" t="str">
        <f>IF(OR(ISBLANK(L146),L146=0),"",Settings!$B$14)</f>
        <v/>
      </c>
      <c r="L146" s="30">
        <f>IF(ISBLANK(Inventory!A146),0,SUM(E146:G146)*Inventory!H146)</f>
        <v>0</v>
      </c>
      <c r="M146" s="35" t="str">
        <f>IF(OR(ISBLANK(N146),N146=0),"",Settings!$B$14)</f>
        <v/>
      </c>
      <c r="N146" s="30">
        <f>IF(ISBLANK(Inventory!A146),0,SUM(E146:G146)*Inventory!J146)</f>
        <v>0</v>
      </c>
      <c r="O146" s="35" t="str">
        <f>IF(OR(ISBLANK(P146),P146=0),"",Settings!$B$14)</f>
        <v/>
      </c>
      <c r="P146" s="30">
        <f>IF(ISBLANK(Inventory!A146),0,H146*Inventory!J146)</f>
        <v>0</v>
      </c>
    </row>
    <row r="147" spans="1:16" ht="6.95" customHeight="1">
      <c r="A147" s="24"/>
      <c r="B147" s="24"/>
      <c r="C147" s="69"/>
      <c r="D147" s="69"/>
      <c r="E147" s="69"/>
      <c r="F147" s="69"/>
      <c r="G147" s="69"/>
      <c r="H147" s="69"/>
      <c r="I147" s="69"/>
      <c r="J147" s="69"/>
      <c r="K147" s="69"/>
      <c r="L147" s="25"/>
      <c r="M147" s="62"/>
      <c r="N147" s="160"/>
      <c r="O147" s="25"/>
      <c r="P147" s="160"/>
    </row>
    <row r="148" spans="1:16" s="45" customFormat="1" ht="18" customHeight="1" thickBot="1">
      <c r="A148" s="78" t="str">
        <f>Inventory!A148</f>
        <v>MINERALS/JUICES</v>
      </c>
      <c r="B148" s="78" t="str">
        <f>Inventory!C148</f>
        <v>VOLUME</v>
      </c>
      <c r="C148" s="22" t="s">
        <v>187</v>
      </c>
      <c r="D148" s="22"/>
      <c r="E148" s="22" t="s">
        <v>101</v>
      </c>
      <c r="F148" s="22" t="s">
        <v>102</v>
      </c>
      <c r="G148" s="23" t="s">
        <v>108</v>
      </c>
      <c r="H148" s="79" t="s">
        <v>119</v>
      </c>
      <c r="I148" s="253" t="s">
        <v>190</v>
      </c>
      <c r="J148" s="253"/>
      <c r="K148" s="235" t="s">
        <v>30</v>
      </c>
      <c r="L148" s="235"/>
      <c r="M148" s="235" t="s">
        <v>31</v>
      </c>
      <c r="N148" s="235"/>
      <c r="O148" s="235" t="s">
        <v>189</v>
      </c>
      <c r="P148" s="235"/>
    </row>
    <row r="149" spans="1:16" ht="6.95" customHeight="1" thickTop="1">
      <c r="A149" s="193"/>
      <c r="B149" s="194"/>
      <c r="C149" s="71"/>
      <c r="D149" s="71"/>
      <c r="E149" s="67"/>
      <c r="F149" s="67"/>
      <c r="G149" s="71"/>
      <c r="H149" s="71"/>
      <c r="I149" s="71"/>
      <c r="J149" s="71"/>
      <c r="K149" s="71"/>
      <c r="L149" s="67"/>
      <c r="M149" s="62"/>
      <c r="N149" s="67"/>
      <c r="O149" s="67"/>
      <c r="P149" s="67"/>
    </row>
    <row r="150" spans="1:16" s="29" customFormat="1" ht="15" customHeight="1">
      <c r="A150" s="31" t="str">
        <f>IF(ISBLANK(Inventory!A150),"",Inventory!A150)</f>
        <v>Britvic J20</v>
      </c>
      <c r="B150" s="31" t="str">
        <f>IF(ISBLANK(Inventory!A150),"",Inventory!C150)</f>
        <v>275ml</v>
      </c>
      <c r="C150" s="187"/>
      <c r="D150" s="192"/>
      <c r="E150" s="187"/>
      <c r="F150" s="187"/>
      <c r="G150" s="187"/>
      <c r="H150" s="37">
        <f>IF(ISBLANK(Inventory!A150),0,C150+SUM('Week 4'!E150:G150)-SUM(E150:G150))</f>
        <v>0</v>
      </c>
      <c r="I150" s="35" t="str">
        <f>IF(OR(ISBLANK(J150),J150=0),"",Settings!$B$14)</f>
        <v/>
      </c>
      <c r="J150" s="30">
        <f>IF(ISBLANK(C150),0,C150*Inventory!H150)</f>
        <v>0</v>
      </c>
      <c r="K150" s="35" t="str">
        <f>IF(OR(ISBLANK(L150),L150=0),"",Settings!$B$14)</f>
        <v/>
      </c>
      <c r="L150" s="30">
        <f>IF(ISBLANK(Inventory!A150),0,SUM(E150:G150)*Inventory!H150)</f>
        <v>0</v>
      </c>
      <c r="M150" s="35" t="str">
        <f>IF(OR(ISBLANK(N150),N150=0),"",Settings!$B$14)</f>
        <v/>
      </c>
      <c r="N150" s="30">
        <f>IF(ISBLANK(Inventory!A150),0,SUM(E150:G150)*Inventory!J150)</f>
        <v>0</v>
      </c>
      <c r="O150" s="35" t="str">
        <f>IF(OR(ISBLANK(P150),P150=0),"",Settings!$B$14)</f>
        <v/>
      </c>
      <c r="P150" s="30">
        <f>IF(ISBLANK(Inventory!A150),0,H150*Inventory!J150)</f>
        <v>0</v>
      </c>
    </row>
    <row r="151" spans="1:16" s="29" customFormat="1" ht="15" customHeight="1">
      <c r="A151" s="31" t="str">
        <f>IF(ISBLANK(Inventory!A151),"",Inventory!A151)</f>
        <v>Coke/Diet Coke</v>
      </c>
      <c r="B151" s="31" t="str">
        <f>IF(ISBLANK(Inventory!A151),"",Inventory!C151)</f>
        <v>330ml</v>
      </c>
      <c r="C151" s="187"/>
      <c r="D151" s="192"/>
      <c r="E151" s="187"/>
      <c r="F151" s="187"/>
      <c r="G151" s="187"/>
      <c r="H151" s="37">
        <f>IF(ISBLANK(Inventory!A151),0,C151+SUM('Week 4'!E151:G151)-SUM(E151:G151))</f>
        <v>0</v>
      </c>
      <c r="I151" s="35" t="str">
        <f>IF(OR(ISBLANK(J151),J151=0),"",Settings!$B$14)</f>
        <v/>
      </c>
      <c r="J151" s="30">
        <f>IF(ISBLANK(C151),0,C151*Inventory!H151)</f>
        <v>0</v>
      </c>
      <c r="K151" s="35" t="str">
        <f>IF(OR(ISBLANK(L151),L151=0),"",Settings!$B$14)</f>
        <v/>
      </c>
      <c r="L151" s="30">
        <f>IF(ISBLANK(Inventory!A151),0,SUM(E151:G151)*Inventory!H151)</f>
        <v>0</v>
      </c>
      <c r="M151" s="35" t="str">
        <f>IF(OR(ISBLANK(N151),N151=0),"",Settings!$B$14)</f>
        <v/>
      </c>
      <c r="N151" s="30">
        <f>IF(ISBLANK(Inventory!A151),0,SUM(E151:G151)*Inventory!J151)</f>
        <v>0</v>
      </c>
      <c r="O151" s="35" t="str">
        <f>IF(OR(ISBLANK(P151),P151=0),"",Settings!$B$14)</f>
        <v/>
      </c>
      <c r="P151" s="30">
        <f>IF(ISBLANK(Inventory!A151),0,H151*Inventory!J151)</f>
        <v>0</v>
      </c>
    </row>
    <row r="152" spans="1:16" s="29" customFormat="1" ht="15" customHeight="1">
      <c r="A152" s="31" t="str">
        <f>IF(ISBLANK(Inventory!A152),"",Inventory!A152)</f>
        <v>Fruit Juices</v>
      </c>
      <c r="B152" s="31" t="str">
        <f>IF(ISBLANK(Inventory!A152),"",Inventory!C152)</f>
        <v>180ml</v>
      </c>
      <c r="C152" s="187"/>
      <c r="D152" s="192"/>
      <c r="E152" s="187"/>
      <c r="F152" s="187"/>
      <c r="G152" s="187"/>
      <c r="H152" s="37">
        <f>IF(ISBLANK(Inventory!A152),0,C152+SUM('Week 4'!E152:G152)-SUM(E152:G152))</f>
        <v>0</v>
      </c>
      <c r="I152" s="35" t="str">
        <f>IF(OR(ISBLANK(J152),J152=0),"",Settings!$B$14)</f>
        <v/>
      </c>
      <c r="J152" s="30">
        <f>IF(ISBLANK(C152),0,C152*Inventory!H152)</f>
        <v>0</v>
      </c>
      <c r="K152" s="35" t="str">
        <f>IF(OR(ISBLANK(L152),L152=0),"",Settings!$B$14)</f>
        <v/>
      </c>
      <c r="L152" s="30">
        <f>IF(ISBLANK(Inventory!A152),0,SUM(E152:G152)*Inventory!H152)</f>
        <v>0</v>
      </c>
      <c r="M152" s="35" t="str">
        <f>IF(OR(ISBLANK(N152),N152=0),"",Settings!$B$14)</f>
        <v/>
      </c>
      <c r="N152" s="30">
        <f>IF(ISBLANK(Inventory!A152),0,SUM(E152:G152)*Inventory!J152)</f>
        <v>0</v>
      </c>
      <c r="O152" s="35" t="str">
        <f>IF(OR(ISBLANK(P152),P152=0),"",Settings!$B$14)</f>
        <v/>
      </c>
      <c r="P152" s="30">
        <f>IF(ISBLANK(Inventory!A152),0,H152*Inventory!J152)</f>
        <v>0</v>
      </c>
    </row>
    <row r="153" spans="1:16" s="29" customFormat="1" ht="15" customHeight="1">
      <c r="A153" s="31" t="str">
        <f>IF(ISBLANK(Inventory!A153),"",Inventory!A153)</f>
        <v>Fruit Juices</v>
      </c>
      <c r="B153" s="31" t="str">
        <f>IF(ISBLANK(Inventory!A153),"",Inventory!C153)</f>
        <v>113ml</v>
      </c>
      <c r="C153" s="187"/>
      <c r="D153" s="192"/>
      <c r="E153" s="187"/>
      <c r="F153" s="187"/>
      <c r="G153" s="187"/>
      <c r="H153" s="37">
        <f>IF(ISBLANK(Inventory!A153),0,C153+SUM('Week 4'!E153:G153)-SUM(E153:G153))</f>
        <v>0</v>
      </c>
      <c r="I153" s="35" t="str">
        <f>IF(OR(ISBLANK(J153),J153=0),"",Settings!$B$14)</f>
        <v/>
      </c>
      <c r="J153" s="30">
        <f>IF(ISBLANK(C153),0,C153*Inventory!H153)</f>
        <v>0</v>
      </c>
      <c r="K153" s="35" t="str">
        <f>IF(OR(ISBLANK(L153),L153=0),"",Settings!$B$14)</f>
        <v/>
      </c>
      <c r="L153" s="30">
        <f>IF(ISBLANK(Inventory!A153),0,SUM(E153:G153)*Inventory!H153)</f>
        <v>0</v>
      </c>
      <c r="M153" s="35" t="str">
        <f>IF(OR(ISBLANK(N153),N153=0),"",Settings!$B$14)</f>
        <v/>
      </c>
      <c r="N153" s="30">
        <f>IF(ISBLANK(Inventory!A153),0,SUM(E153:G153)*Inventory!J153)</f>
        <v>0</v>
      </c>
      <c r="O153" s="35" t="str">
        <f>IF(OR(ISBLANK(P153),P153=0),"",Settings!$B$14)</f>
        <v/>
      </c>
      <c r="P153" s="30">
        <f>IF(ISBLANK(Inventory!A153),0,H153*Inventory!J153)</f>
        <v>0</v>
      </c>
    </row>
    <row r="154" spans="1:16" s="29" customFormat="1" ht="15" customHeight="1">
      <c r="A154" s="31" t="str">
        <f>IF(ISBLANK(Inventory!A154),"",Inventory!A154)</f>
        <v>Minerals</v>
      </c>
      <c r="B154" s="31" t="str">
        <f>IF(ISBLANK(Inventory!A154),"",Inventory!C154)</f>
        <v>180ml</v>
      </c>
      <c r="C154" s="187"/>
      <c r="D154" s="192"/>
      <c r="E154" s="187"/>
      <c r="F154" s="187"/>
      <c r="G154" s="187"/>
      <c r="H154" s="37">
        <f>IF(ISBLANK(Inventory!A154),0,C154+SUM('Week 4'!E154:G154)-SUM(E154:G154))</f>
        <v>0</v>
      </c>
      <c r="I154" s="35" t="str">
        <f>IF(OR(ISBLANK(J154),J154=0),"",Settings!$B$14)</f>
        <v/>
      </c>
      <c r="J154" s="30">
        <f>IF(ISBLANK(C154),0,C154*Inventory!H154)</f>
        <v>0</v>
      </c>
      <c r="K154" s="35" t="str">
        <f>IF(OR(ISBLANK(L154),L154=0),"",Settings!$B$14)</f>
        <v/>
      </c>
      <c r="L154" s="30">
        <f>IF(ISBLANK(Inventory!A154),0,SUM(E154:G154)*Inventory!H154)</f>
        <v>0</v>
      </c>
      <c r="M154" s="35" t="str">
        <f>IF(OR(ISBLANK(N154),N154=0),"",Settings!$B$14)</f>
        <v/>
      </c>
      <c r="N154" s="30">
        <f>IF(ISBLANK(Inventory!A154),0,SUM(E154:G154)*Inventory!J154)</f>
        <v>0</v>
      </c>
      <c r="O154" s="35" t="str">
        <f>IF(OR(ISBLANK(P154),P154=0),"",Settings!$B$14)</f>
        <v/>
      </c>
      <c r="P154" s="30">
        <f>IF(ISBLANK(Inventory!A154),0,H154*Inventory!J154)</f>
        <v>0</v>
      </c>
    </row>
    <row r="155" spans="1:16" s="29" customFormat="1" ht="15" customHeight="1">
      <c r="A155" s="31" t="str">
        <f>IF(ISBLANK(Inventory!A155),"",Inventory!A155)</f>
        <v>Minerals</v>
      </c>
      <c r="B155" s="31" t="str">
        <f>IF(ISBLANK(Inventory!A155),"",Inventory!C155)</f>
        <v>113ml</v>
      </c>
      <c r="C155" s="187"/>
      <c r="D155" s="192"/>
      <c r="E155" s="187"/>
      <c r="F155" s="187"/>
      <c r="G155" s="187"/>
      <c r="H155" s="37">
        <f>IF(ISBLANK(Inventory!A155),0,C155+SUM('Week 4'!E155:G155)-SUM(E155:G155))</f>
        <v>0</v>
      </c>
      <c r="I155" s="35" t="str">
        <f>IF(OR(ISBLANK(J155),J155=0),"",Settings!$B$14)</f>
        <v/>
      </c>
      <c r="J155" s="30">
        <f>IF(ISBLANK(C155),0,C155*Inventory!H155)</f>
        <v>0</v>
      </c>
      <c r="K155" s="35" t="str">
        <f>IF(OR(ISBLANK(L155),L155=0),"",Settings!$B$14)</f>
        <v/>
      </c>
      <c r="L155" s="30">
        <f>IF(ISBLANK(Inventory!A155),0,SUM(E155:G155)*Inventory!H155)</f>
        <v>0</v>
      </c>
      <c r="M155" s="35" t="str">
        <f>IF(OR(ISBLANK(N155),N155=0),"",Settings!$B$14)</f>
        <v/>
      </c>
      <c r="N155" s="30">
        <f>IF(ISBLANK(Inventory!A155),0,SUM(E155:G155)*Inventory!J155)</f>
        <v>0</v>
      </c>
      <c r="O155" s="35" t="str">
        <f>IF(OR(ISBLANK(P155),P155=0),"",Settings!$B$14)</f>
        <v/>
      </c>
      <c r="P155" s="30">
        <f>IF(ISBLANK(Inventory!A155),0,H155*Inventory!J155)</f>
        <v>0</v>
      </c>
    </row>
    <row r="156" spans="1:16" s="29" customFormat="1" ht="15" customHeight="1">
      <c r="A156" s="31" t="str">
        <f>IF(ISBLANK(Inventory!A156),"",Inventory!A156)</f>
        <v>Tango Diet</v>
      </c>
      <c r="B156" s="31" t="str">
        <f>IF(ISBLANK(Inventory!A156),"",Inventory!C156)</f>
        <v>180ml</v>
      </c>
      <c r="C156" s="187"/>
      <c r="D156" s="192"/>
      <c r="E156" s="187"/>
      <c r="F156" s="187"/>
      <c r="G156" s="187"/>
      <c r="H156" s="37">
        <f>IF(ISBLANK(Inventory!A156),0,C156+SUM('Week 4'!E156:G156)-SUM(E156:G156))</f>
        <v>0</v>
      </c>
      <c r="I156" s="35" t="str">
        <f>IF(OR(ISBLANK(J156),J156=0),"",Settings!$B$14)</f>
        <v/>
      </c>
      <c r="J156" s="30">
        <f>IF(ISBLANK(C156),0,C156*Inventory!H156)</f>
        <v>0</v>
      </c>
      <c r="K156" s="35" t="str">
        <f>IF(OR(ISBLANK(L156),L156=0),"",Settings!$B$14)</f>
        <v/>
      </c>
      <c r="L156" s="30">
        <f>IF(ISBLANK(Inventory!A156),0,SUM(E156:G156)*Inventory!H156)</f>
        <v>0</v>
      </c>
      <c r="M156" s="35" t="str">
        <f>IF(OR(ISBLANK(N156),N156=0),"",Settings!$B$14)</f>
        <v/>
      </c>
      <c r="N156" s="30">
        <f>IF(ISBLANK(Inventory!A156),0,SUM(E156:G156)*Inventory!J156)</f>
        <v>0</v>
      </c>
      <c r="O156" s="35" t="str">
        <f>IF(OR(ISBLANK(P156),P156=0),"",Settings!$B$14)</f>
        <v/>
      </c>
      <c r="P156" s="30">
        <f>IF(ISBLANK(Inventory!A156),0,H156*Inventory!J156)</f>
        <v>0</v>
      </c>
    </row>
    <row r="157" spans="1:16" s="29" customFormat="1" ht="15" customHeight="1">
      <c r="A157" s="31" t="str">
        <f>IF(ISBLANK(Inventory!A157),"",Inventory!A157)</f>
        <v>Strathmore</v>
      </c>
      <c r="B157" s="31" t="str">
        <f>IF(ISBLANK(Inventory!A157),"",Inventory!C157)</f>
        <v>1Ltr</v>
      </c>
      <c r="C157" s="187"/>
      <c r="D157" s="192"/>
      <c r="E157" s="187"/>
      <c r="F157" s="187"/>
      <c r="G157" s="187"/>
      <c r="H157" s="37">
        <f>IF(ISBLANK(Inventory!A157),0,C157+SUM('Week 4'!E157:G157)-SUM(E157:G157))</f>
        <v>0</v>
      </c>
      <c r="I157" s="35" t="str">
        <f>IF(OR(ISBLANK(J157),J157=0),"",Settings!$B$14)</f>
        <v/>
      </c>
      <c r="J157" s="30">
        <f>IF(ISBLANK(C157),0,C157*Inventory!H157)</f>
        <v>0</v>
      </c>
      <c r="K157" s="35" t="str">
        <f>IF(OR(ISBLANK(L157),L157=0),"",Settings!$B$14)</f>
        <v/>
      </c>
      <c r="L157" s="30">
        <f>IF(ISBLANK(Inventory!A157),0,SUM(E157:G157)*Inventory!H157)</f>
        <v>0</v>
      </c>
      <c r="M157" s="35" t="str">
        <f>IF(OR(ISBLANK(N157),N157=0),"",Settings!$B$14)</f>
        <v/>
      </c>
      <c r="N157" s="30">
        <f>IF(ISBLANK(Inventory!A157),0,SUM(E157:G157)*Inventory!J157)</f>
        <v>0</v>
      </c>
      <c r="O157" s="35" t="str">
        <f>IF(OR(ISBLANK(P157),P157=0),"",Settings!$B$14)</f>
        <v/>
      </c>
      <c r="P157" s="30">
        <f>IF(ISBLANK(Inventory!A157),0,H157*Inventory!J157)</f>
        <v>0</v>
      </c>
    </row>
    <row r="158" spans="1:16" s="29" customFormat="1" ht="15" customHeight="1">
      <c r="A158" s="31" t="str">
        <f>IF(ISBLANK(Inventory!A158),"",Inventory!A158)</f>
        <v>Strathmore</v>
      </c>
      <c r="B158" s="31" t="str">
        <f>IF(ISBLANK(Inventory!A158),"",Inventory!C158)</f>
        <v>330ml</v>
      </c>
      <c r="C158" s="187"/>
      <c r="D158" s="192"/>
      <c r="E158" s="187"/>
      <c r="F158" s="187"/>
      <c r="G158" s="187"/>
      <c r="H158" s="37">
        <f>IF(ISBLANK(Inventory!A158),0,C158+SUM('Week 4'!E158:G158)-SUM(E158:G158))</f>
        <v>0</v>
      </c>
      <c r="I158" s="35" t="str">
        <f>IF(OR(ISBLANK(J158),J158=0),"",Settings!$B$14)</f>
        <v/>
      </c>
      <c r="J158" s="30">
        <f>IF(ISBLANK(C158),0,C158*Inventory!H158)</f>
        <v>0</v>
      </c>
      <c r="K158" s="35" t="str">
        <f>IF(OR(ISBLANK(L158),L158=0),"",Settings!$B$14)</f>
        <v/>
      </c>
      <c r="L158" s="30">
        <f>IF(ISBLANK(Inventory!A158),0,SUM(E158:G158)*Inventory!H158)</f>
        <v>0</v>
      </c>
      <c r="M158" s="35" t="str">
        <f>IF(OR(ISBLANK(N158),N158=0),"",Settings!$B$14)</f>
        <v/>
      </c>
      <c r="N158" s="30">
        <f>IF(ISBLANK(Inventory!A158),0,SUM(E158:G158)*Inventory!J158)</f>
        <v>0</v>
      </c>
      <c r="O158" s="35" t="str">
        <f>IF(OR(ISBLANK(P158),P158=0),"",Settings!$B$14)</f>
        <v/>
      </c>
      <c r="P158" s="30">
        <f>IF(ISBLANK(Inventory!A158),0,H158*Inventory!J158)</f>
        <v>0</v>
      </c>
    </row>
    <row r="159" spans="1:16" s="29" customFormat="1" ht="15" customHeight="1">
      <c r="A159" s="31" t="str">
        <f>IF(ISBLANK(Inventory!A159),"",Inventory!A159)</f>
        <v>Red Bull</v>
      </c>
      <c r="B159" s="31" t="str">
        <f>IF(ISBLANK(Inventory!A159),"",Inventory!C159)</f>
        <v>250ml</v>
      </c>
      <c r="C159" s="187"/>
      <c r="D159" s="192"/>
      <c r="E159" s="187"/>
      <c r="F159" s="187"/>
      <c r="G159" s="187"/>
      <c r="H159" s="37">
        <f>IF(ISBLANK(Inventory!A159),0,C159+SUM('Week 4'!E159:G159)-SUM(E159:G159))</f>
        <v>0</v>
      </c>
      <c r="I159" s="35" t="str">
        <f>IF(OR(ISBLANK(J159),J159=0),"",Settings!$B$14)</f>
        <v/>
      </c>
      <c r="J159" s="30">
        <f>IF(ISBLANK(C159),0,C159*Inventory!H159)</f>
        <v>0</v>
      </c>
      <c r="K159" s="35" t="str">
        <f>IF(OR(ISBLANK(L159),L159=0),"",Settings!$B$14)</f>
        <v/>
      </c>
      <c r="L159" s="30">
        <f>IF(ISBLANK(Inventory!A159),0,SUM(E159:G159)*Inventory!H159)</f>
        <v>0</v>
      </c>
      <c r="M159" s="35" t="str">
        <f>IF(OR(ISBLANK(N159),N159=0),"",Settings!$B$14)</f>
        <v/>
      </c>
      <c r="N159" s="30">
        <f>IF(ISBLANK(Inventory!A159),0,SUM(E159:G159)*Inventory!J159)</f>
        <v>0</v>
      </c>
      <c r="O159" s="35" t="str">
        <f>IF(OR(ISBLANK(P159),P159=0),"",Settings!$B$14)</f>
        <v/>
      </c>
      <c r="P159" s="30">
        <f>IF(ISBLANK(Inventory!A159),0,H159*Inventory!J159)</f>
        <v>0</v>
      </c>
    </row>
    <row r="160" spans="1:16" s="29" customFormat="1" ht="15" customHeight="1">
      <c r="A160" s="31" t="str">
        <f>IF(ISBLANK(Inventory!A160),"",Inventory!A160)</f>
        <v>Squash/Cordial</v>
      </c>
      <c r="B160" s="31" t="str">
        <f>IF(ISBLANK(Inventory!A160),"",Inventory!C160)</f>
        <v>1Ltr</v>
      </c>
      <c r="C160" s="187"/>
      <c r="D160" s="192"/>
      <c r="E160" s="187"/>
      <c r="F160" s="187"/>
      <c r="G160" s="187"/>
      <c r="H160" s="37">
        <f>IF(ISBLANK(Inventory!A160),0,C160+SUM('Week 4'!E160:G160)-SUM(E160:G160))</f>
        <v>0</v>
      </c>
      <c r="I160" s="35" t="str">
        <f>IF(OR(ISBLANK(J160),J160=0),"",Settings!$B$14)</f>
        <v/>
      </c>
      <c r="J160" s="30">
        <f>IF(ISBLANK(C160),0,C160*Inventory!H160)</f>
        <v>0</v>
      </c>
      <c r="K160" s="35" t="str">
        <f>IF(OR(ISBLANK(L160),L160=0),"",Settings!$B$14)</f>
        <v/>
      </c>
      <c r="L160" s="30">
        <f>IF(ISBLANK(Inventory!A160),0,SUM(E160:G160)*Inventory!H160)</f>
        <v>0</v>
      </c>
      <c r="M160" s="35" t="str">
        <f>IF(OR(ISBLANK(N160),N160=0),"",Settings!$B$14)</f>
        <v/>
      </c>
      <c r="N160" s="30">
        <f>IF(ISBLANK(Inventory!A160),0,SUM(E160:G160)*Inventory!J160)</f>
        <v>0</v>
      </c>
      <c r="O160" s="35" t="str">
        <f>IF(OR(ISBLANK(P160),P160=0),"",Settings!$B$14)</f>
        <v/>
      </c>
      <c r="P160" s="30">
        <f>IF(ISBLANK(Inventory!A160),0,H160*Inventory!J160)</f>
        <v>0</v>
      </c>
    </row>
    <row r="161" spans="1:16" s="29" customFormat="1" ht="15" customHeight="1">
      <c r="A161" s="31" t="str">
        <f>IF(ISBLANK(Inventory!A161),"",Inventory!A161)</f>
        <v>Lime Cordial</v>
      </c>
      <c r="B161" s="31" t="str">
        <f>IF(ISBLANK(Inventory!A161),"",Inventory!C161)</f>
        <v>1Ltr</v>
      </c>
      <c r="C161" s="187"/>
      <c r="D161" s="192"/>
      <c r="E161" s="187"/>
      <c r="F161" s="187"/>
      <c r="G161" s="187">
        <v>0.9</v>
      </c>
      <c r="H161" s="37">
        <f>IF(ISBLANK(Inventory!A161),0,C161+SUM('Week 4'!E161:G161)-SUM(E161:G161))</f>
        <v>0</v>
      </c>
      <c r="I161" s="35" t="str">
        <f>IF(OR(ISBLANK(J161),J161=0),"",Settings!$B$14)</f>
        <v/>
      </c>
      <c r="J161" s="30">
        <f>IF(ISBLANK(C161),0,C161*Inventory!H161)</f>
        <v>0</v>
      </c>
      <c r="K161" s="35" t="str">
        <f>IF(OR(ISBLANK(L161),L161=0),"",Settings!$B$14)</f>
        <v>$</v>
      </c>
      <c r="L161" s="30">
        <f>IF(ISBLANK(Inventory!A161),0,SUM(E161:G161)*Inventory!H161)</f>
        <v>1.0912500000000001</v>
      </c>
      <c r="M161" s="35" t="str">
        <f>IF(OR(ISBLANK(N161),N161=0),"",Settings!$B$14)</f>
        <v>$</v>
      </c>
      <c r="N161" s="30">
        <f>IF(ISBLANK(Inventory!A161),0,SUM(E161:G161)*Inventory!J161)</f>
        <v>5.67</v>
      </c>
      <c r="O161" s="35" t="str">
        <f>IF(OR(ISBLANK(P161),P161=0),"",Settings!$B$14)</f>
        <v/>
      </c>
      <c r="P161" s="30">
        <f>IF(ISBLANK(Inventory!A161),0,H161*Inventory!J161)</f>
        <v>0</v>
      </c>
    </row>
    <row r="162" spans="1:16" s="29" customFormat="1" ht="15" customHeight="1">
      <c r="A162" s="31" t="str">
        <f>IF(ISBLANK(Inventory!A162),"",Inventory!A162)</f>
        <v>Coke/Diet Coke (Cans)</v>
      </c>
      <c r="B162" s="31" t="str">
        <f>IF(ISBLANK(Inventory!A162),"",Inventory!C162)</f>
        <v>330ml</v>
      </c>
      <c r="C162" s="187"/>
      <c r="D162" s="192"/>
      <c r="E162" s="187"/>
      <c r="F162" s="187"/>
      <c r="G162" s="187"/>
      <c r="H162" s="37">
        <f>IF(ISBLANK(Inventory!A162),0,C162+SUM('Week 4'!E162:G162)-SUM(E162:G162))</f>
        <v>0</v>
      </c>
      <c r="I162" s="35" t="str">
        <f>IF(OR(ISBLANK(J162),J162=0),"",Settings!$B$14)</f>
        <v/>
      </c>
      <c r="J162" s="30">
        <f>IF(ISBLANK(C162),0,C162*Inventory!H162)</f>
        <v>0</v>
      </c>
      <c r="K162" s="35" t="str">
        <f>IF(OR(ISBLANK(L162),L162=0),"",Settings!$B$14)</f>
        <v/>
      </c>
      <c r="L162" s="30">
        <f>IF(ISBLANK(Inventory!A162),0,SUM(E162:G162)*Inventory!H162)</f>
        <v>0</v>
      </c>
      <c r="M162" s="35" t="str">
        <f>IF(OR(ISBLANK(N162),N162=0),"",Settings!$B$14)</f>
        <v/>
      </c>
      <c r="N162" s="30">
        <f>IF(ISBLANK(Inventory!A162),0,SUM(E162:G162)*Inventory!J162)</f>
        <v>0</v>
      </c>
      <c r="O162" s="35" t="str">
        <f>IF(OR(ISBLANK(P162),P162=0),"",Settings!$B$14)</f>
        <v/>
      </c>
      <c r="P162" s="30">
        <f>IF(ISBLANK(Inventory!A162),0,H162*Inventory!J162)</f>
        <v>0</v>
      </c>
    </row>
    <row r="163" spans="1:16" s="29" customFormat="1" ht="15" customHeight="1">
      <c r="A163" s="31" t="str">
        <f>IF(ISBLANK(Inventory!A163),"",Inventory!A163)</f>
        <v/>
      </c>
      <c r="B163" s="31" t="str">
        <f>IF(ISBLANK(Inventory!A163),"",Inventory!C163)</f>
        <v/>
      </c>
      <c r="C163" s="187"/>
      <c r="D163" s="192"/>
      <c r="E163" s="187"/>
      <c r="F163" s="187"/>
      <c r="G163" s="187"/>
      <c r="H163" s="37">
        <f>IF(ISBLANK(Inventory!A163),0,C163+SUM('Week 4'!E163:G163)-SUM(E163:G163))</f>
        <v>0</v>
      </c>
      <c r="I163" s="35" t="str">
        <f>IF(OR(ISBLANK(J163),J163=0),"",Settings!$B$14)</f>
        <v/>
      </c>
      <c r="J163" s="30">
        <f>IF(ISBLANK(C163),0,C163*Inventory!H163)</f>
        <v>0</v>
      </c>
      <c r="K163" s="35" t="str">
        <f>IF(OR(ISBLANK(L163),L163=0),"",Settings!$B$14)</f>
        <v/>
      </c>
      <c r="L163" s="30">
        <f>IF(ISBLANK(Inventory!A163),0,SUM(E163:G163)*Inventory!H163)</f>
        <v>0</v>
      </c>
      <c r="M163" s="35" t="str">
        <f>IF(OR(ISBLANK(N163),N163=0),"",Settings!$B$14)</f>
        <v/>
      </c>
      <c r="N163" s="30">
        <f>IF(ISBLANK(Inventory!A163),0,SUM(E163:G163)*Inventory!J163)</f>
        <v>0</v>
      </c>
      <c r="O163" s="35" t="str">
        <f>IF(OR(ISBLANK(P163),P163=0),"",Settings!$B$14)</f>
        <v/>
      </c>
      <c r="P163" s="30">
        <f>IF(ISBLANK(Inventory!A163),0,H163*Inventory!J163)</f>
        <v>0</v>
      </c>
    </row>
    <row r="164" spans="1:16" s="29" customFormat="1" ht="15" customHeight="1">
      <c r="A164" s="31" t="str">
        <f>IF(ISBLANK(Inventory!A164),"",Inventory!A164)</f>
        <v/>
      </c>
      <c r="B164" s="31" t="str">
        <f>IF(ISBLANK(Inventory!A164),"",Inventory!C164)</f>
        <v/>
      </c>
      <c r="C164" s="187"/>
      <c r="D164" s="192"/>
      <c r="E164" s="187"/>
      <c r="F164" s="187"/>
      <c r="G164" s="187"/>
      <c r="H164" s="37">
        <f>IF(ISBLANK(Inventory!A164),0,C164+SUM('Week 4'!E164:G164)-SUM(E164:G164))</f>
        <v>0</v>
      </c>
      <c r="I164" s="35" t="str">
        <f>IF(OR(ISBLANK(J164),J164=0),"",Settings!$B$14)</f>
        <v/>
      </c>
      <c r="J164" s="30">
        <f>IF(ISBLANK(C164),0,C164*Inventory!H164)</f>
        <v>0</v>
      </c>
      <c r="K164" s="35" t="str">
        <f>IF(OR(ISBLANK(L164),L164=0),"",Settings!$B$14)</f>
        <v/>
      </c>
      <c r="L164" s="30">
        <f>IF(ISBLANK(Inventory!A164),0,SUM(E164:G164)*Inventory!H164)</f>
        <v>0</v>
      </c>
      <c r="M164" s="35" t="str">
        <f>IF(OR(ISBLANK(N164),N164=0),"",Settings!$B$14)</f>
        <v/>
      </c>
      <c r="N164" s="30">
        <f>IF(ISBLANK(Inventory!A164),0,SUM(E164:G164)*Inventory!J164)</f>
        <v>0</v>
      </c>
      <c r="O164" s="35" t="str">
        <f>IF(OR(ISBLANK(P164),P164=0),"",Settings!$B$14)</f>
        <v/>
      </c>
      <c r="P164" s="30">
        <f>IF(ISBLANK(Inventory!A164),0,H164*Inventory!J164)</f>
        <v>0</v>
      </c>
    </row>
    <row r="165" spans="1:16" s="29" customFormat="1" ht="15" customHeight="1">
      <c r="A165" s="31" t="str">
        <f>IF(ISBLANK(Inventory!A165),"",Inventory!A165)</f>
        <v/>
      </c>
      <c r="B165" s="31" t="str">
        <f>IF(ISBLANK(Inventory!A165),"",Inventory!C165)</f>
        <v/>
      </c>
      <c r="C165" s="187"/>
      <c r="D165" s="192"/>
      <c r="E165" s="187"/>
      <c r="F165" s="187"/>
      <c r="G165" s="187"/>
      <c r="H165" s="37">
        <f>IF(ISBLANK(Inventory!A165),0,C165+SUM('Week 4'!E165:G165)-SUM(E165:G165))</f>
        <v>0</v>
      </c>
      <c r="I165" s="35" t="str">
        <f>IF(OR(ISBLANK(J165),J165=0),"",Settings!$B$14)</f>
        <v/>
      </c>
      <c r="J165" s="30">
        <f>IF(ISBLANK(C165),0,C165*Inventory!H165)</f>
        <v>0</v>
      </c>
      <c r="K165" s="35" t="str">
        <f>IF(OR(ISBLANK(L165),L165=0),"",Settings!$B$14)</f>
        <v/>
      </c>
      <c r="L165" s="30">
        <f>IF(ISBLANK(Inventory!A165),0,SUM(E165:G165)*Inventory!H165)</f>
        <v>0</v>
      </c>
      <c r="M165" s="35" t="str">
        <f>IF(OR(ISBLANK(N165),N165=0),"",Settings!$B$14)</f>
        <v/>
      </c>
      <c r="N165" s="30">
        <f>IF(ISBLANK(Inventory!A165),0,SUM(E165:G165)*Inventory!J165)</f>
        <v>0</v>
      </c>
      <c r="O165" s="35" t="str">
        <f>IF(OR(ISBLANK(P165),P165=0),"",Settings!$B$14)</f>
        <v/>
      </c>
      <c r="P165" s="30">
        <f>IF(ISBLANK(Inventory!A165),0,H165*Inventory!J165)</f>
        <v>0</v>
      </c>
    </row>
    <row r="166" spans="1:16" s="29" customFormat="1" ht="15" customHeight="1">
      <c r="A166" s="31" t="str">
        <f>IF(ISBLANK(Inventory!A166),"",Inventory!A166)</f>
        <v/>
      </c>
      <c r="B166" s="31" t="str">
        <f>IF(ISBLANK(Inventory!A166),"",Inventory!C166)</f>
        <v/>
      </c>
      <c r="C166" s="187"/>
      <c r="D166" s="192"/>
      <c r="E166" s="187"/>
      <c r="F166" s="187"/>
      <c r="G166" s="187"/>
      <c r="H166" s="37">
        <f>IF(ISBLANK(Inventory!A166),0,C166+SUM('Week 4'!E166:G166)-SUM(E166:G166))</f>
        <v>0</v>
      </c>
      <c r="I166" s="35" t="str">
        <f>IF(OR(ISBLANK(J166),J166=0),"",Settings!$B$14)</f>
        <v/>
      </c>
      <c r="J166" s="30">
        <f>IF(ISBLANK(C166),0,C166*Inventory!H166)</f>
        <v>0</v>
      </c>
      <c r="K166" s="35" t="str">
        <f>IF(OR(ISBLANK(L166),L166=0),"",Settings!$B$14)</f>
        <v/>
      </c>
      <c r="L166" s="30">
        <f>IF(ISBLANK(Inventory!A166),0,SUM(E166:G166)*Inventory!H166)</f>
        <v>0</v>
      </c>
      <c r="M166" s="35" t="str">
        <f>IF(OR(ISBLANK(N166),N166=0),"",Settings!$B$14)</f>
        <v/>
      </c>
      <c r="N166" s="30">
        <f>IF(ISBLANK(Inventory!A166),0,SUM(E166:G166)*Inventory!J166)</f>
        <v>0</v>
      </c>
      <c r="O166" s="35" t="str">
        <f>IF(OR(ISBLANK(P166),P166=0),"",Settings!$B$14)</f>
        <v/>
      </c>
      <c r="P166" s="30">
        <f>IF(ISBLANK(Inventory!A166),0,H166*Inventory!J166)</f>
        <v>0</v>
      </c>
    </row>
    <row r="167" spans="1:16" s="29" customFormat="1" ht="15" customHeight="1">
      <c r="A167" s="31" t="str">
        <f>IF(ISBLANK(Inventory!A167),"",Inventory!A167)</f>
        <v/>
      </c>
      <c r="B167" s="31" t="str">
        <f>IF(ISBLANK(Inventory!A167),"",Inventory!C167)</f>
        <v/>
      </c>
      <c r="C167" s="187"/>
      <c r="D167" s="192"/>
      <c r="E167" s="187"/>
      <c r="F167" s="187"/>
      <c r="G167" s="187"/>
      <c r="H167" s="37">
        <f>IF(ISBLANK(Inventory!A167),0,C167+SUM('Week 4'!E167:G167)-SUM(E167:G167))</f>
        <v>0</v>
      </c>
      <c r="I167" s="35" t="str">
        <f>IF(OR(ISBLANK(J167),J167=0),"",Settings!$B$14)</f>
        <v/>
      </c>
      <c r="J167" s="30">
        <f>IF(ISBLANK(C167),0,C167*Inventory!H167)</f>
        <v>0</v>
      </c>
      <c r="K167" s="35" t="str">
        <f>IF(OR(ISBLANK(L167),L167=0),"",Settings!$B$14)</f>
        <v/>
      </c>
      <c r="L167" s="30">
        <f>IF(ISBLANK(Inventory!A167),0,SUM(E167:G167)*Inventory!H167)</f>
        <v>0</v>
      </c>
      <c r="M167" s="35" t="str">
        <f>IF(OR(ISBLANK(N167),N167=0),"",Settings!$B$14)</f>
        <v/>
      </c>
      <c r="N167" s="30">
        <f>IF(ISBLANK(Inventory!A167),0,SUM(E167:G167)*Inventory!J167)</f>
        <v>0</v>
      </c>
      <c r="O167" s="35" t="str">
        <f>IF(OR(ISBLANK(P167),P167=0),"",Settings!$B$14)</f>
        <v/>
      </c>
      <c r="P167" s="30">
        <f>IF(ISBLANK(Inventory!A167),0,H167*Inventory!J167)</f>
        <v>0</v>
      </c>
    </row>
    <row r="168" spans="1:16" s="29" customFormat="1" ht="15" customHeight="1">
      <c r="A168" s="31" t="str">
        <f>IF(ISBLANK(Inventory!A168),"",Inventory!A168)</f>
        <v/>
      </c>
      <c r="B168" s="31" t="str">
        <f>IF(ISBLANK(Inventory!A168),"",Inventory!C168)</f>
        <v/>
      </c>
      <c r="C168" s="187"/>
      <c r="D168" s="192"/>
      <c r="E168" s="187"/>
      <c r="F168" s="187"/>
      <c r="G168" s="187"/>
      <c r="H168" s="37">
        <f>IF(ISBLANK(Inventory!A168),0,C168+SUM('Week 4'!E168:G168)-SUM(E168:G168))</f>
        <v>0</v>
      </c>
      <c r="I168" s="35" t="str">
        <f>IF(OR(ISBLANK(J168),J168=0),"",Settings!$B$14)</f>
        <v/>
      </c>
      <c r="J168" s="30">
        <f>IF(ISBLANK(C168),0,C168*Inventory!H168)</f>
        <v>0</v>
      </c>
      <c r="K168" s="35" t="str">
        <f>IF(OR(ISBLANK(L168),L168=0),"",Settings!$B$14)</f>
        <v/>
      </c>
      <c r="L168" s="30">
        <f>IF(ISBLANK(Inventory!A168),0,SUM(E168:G168)*Inventory!H168)</f>
        <v>0</v>
      </c>
      <c r="M168" s="35" t="str">
        <f>IF(OR(ISBLANK(N168),N168=0),"",Settings!$B$14)</f>
        <v/>
      </c>
      <c r="N168" s="30">
        <f>IF(ISBLANK(Inventory!A168),0,SUM(E168:G168)*Inventory!J168)</f>
        <v>0</v>
      </c>
      <c r="O168" s="35" t="str">
        <f>IF(OR(ISBLANK(P168),P168=0),"",Settings!$B$14)</f>
        <v/>
      </c>
      <c r="P168" s="30">
        <f>IF(ISBLANK(Inventory!A168),0,H168*Inventory!J168)</f>
        <v>0</v>
      </c>
    </row>
    <row r="169" spans="1:16" s="29" customFormat="1" ht="15" customHeight="1">
      <c r="A169" s="31" t="str">
        <f>IF(ISBLANK(Inventory!A169),"",Inventory!A169)</f>
        <v/>
      </c>
      <c r="B169" s="31" t="str">
        <f>IF(ISBLANK(Inventory!A169),"",Inventory!C169)</f>
        <v/>
      </c>
      <c r="C169" s="187"/>
      <c r="D169" s="192"/>
      <c r="E169" s="187"/>
      <c r="F169" s="187"/>
      <c r="G169" s="187"/>
      <c r="H169" s="37">
        <f>IF(ISBLANK(Inventory!A169),0,C169+SUM('Week 4'!E169:G169)-SUM(E169:G169))</f>
        <v>0</v>
      </c>
      <c r="I169" s="35" t="str">
        <f>IF(OR(ISBLANK(J169),J169=0),"",Settings!$B$14)</f>
        <v/>
      </c>
      <c r="J169" s="30">
        <f>IF(ISBLANK(C169),0,C169*Inventory!H169)</f>
        <v>0</v>
      </c>
      <c r="K169" s="35" t="str">
        <f>IF(OR(ISBLANK(L169),L169=0),"",Settings!$B$14)</f>
        <v/>
      </c>
      <c r="L169" s="30">
        <f>IF(ISBLANK(Inventory!A169),0,SUM(E169:G169)*Inventory!H169)</f>
        <v>0</v>
      </c>
      <c r="M169" s="35" t="str">
        <f>IF(OR(ISBLANK(N169),N169=0),"",Settings!$B$14)</f>
        <v/>
      </c>
      <c r="N169" s="30">
        <f>IF(ISBLANK(Inventory!A169),0,SUM(E169:G169)*Inventory!J169)</f>
        <v>0</v>
      </c>
      <c r="O169" s="35" t="str">
        <f>IF(OR(ISBLANK(P169),P169=0),"",Settings!$B$14)</f>
        <v/>
      </c>
      <c r="P169" s="30">
        <f>IF(ISBLANK(Inventory!A169),0,H169*Inventory!J169)</f>
        <v>0</v>
      </c>
    </row>
    <row r="170" spans="1:16" ht="6.95" customHeight="1">
      <c r="A170" s="24"/>
      <c r="B170" s="24"/>
      <c r="C170" s="69"/>
      <c r="D170" s="69"/>
      <c r="E170" s="69"/>
      <c r="F170" s="69"/>
      <c r="G170" s="69"/>
      <c r="H170" s="69"/>
      <c r="I170" s="69"/>
      <c r="J170" s="69"/>
      <c r="K170" s="69"/>
      <c r="L170" s="25"/>
      <c r="M170" s="62"/>
      <c r="N170" s="160"/>
      <c r="O170" s="25"/>
      <c r="P170" s="160"/>
    </row>
    <row r="171" spans="1:16" s="45" customFormat="1" ht="18" customHeight="1" thickBot="1">
      <c r="A171" s="78" t="str">
        <f>Inventory!A171</f>
        <v>POST-MIX DRINKS</v>
      </c>
      <c r="B171" s="78" t="str">
        <f>Inventory!C171</f>
        <v>VOLUME</v>
      </c>
      <c r="C171" s="22" t="s">
        <v>187</v>
      </c>
      <c r="D171" s="22"/>
      <c r="E171" s="22" t="s">
        <v>101</v>
      </c>
      <c r="F171" s="22"/>
      <c r="G171" s="23" t="s">
        <v>108</v>
      </c>
      <c r="H171" s="79" t="s">
        <v>119</v>
      </c>
      <c r="I171" s="253" t="s">
        <v>190</v>
      </c>
      <c r="J171" s="253"/>
      <c r="K171" s="235" t="s">
        <v>30</v>
      </c>
      <c r="L171" s="235"/>
      <c r="M171" s="235" t="s">
        <v>31</v>
      </c>
      <c r="N171" s="235"/>
      <c r="O171" s="235" t="s">
        <v>189</v>
      </c>
      <c r="P171" s="235"/>
    </row>
    <row r="172" spans="1:16" ht="6.95" customHeight="1" thickTop="1">
      <c r="A172" s="193"/>
      <c r="B172" s="194"/>
      <c r="C172" s="71"/>
      <c r="D172" s="71"/>
      <c r="E172" s="67"/>
      <c r="F172" s="67"/>
      <c r="G172" s="71"/>
      <c r="H172" s="71"/>
      <c r="I172" s="71"/>
      <c r="J172" s="71"/>
      <c r="K172" s="71"/>
      <c r="L172" s="67"/>
      <c r="M172" s="62"/>
      <c r="N172" s="67"/>
      <c r="O172" s="72"/>
      <c r="P172" s="67"/>
    </row>
    <row r="173" spans="1:16" ht="15" customHeight="1">
      <c r="A173" s="31" t="str">
        <f>IF(ISBLANK(Inventory!A173),"",Inventory!A173)</f>
        <v>Post-Mix Pepsi/Diet</v>
      </c>
      <c r="B173" s="31" t="str">
        <f>IF(ISBLANK(Inventory!A173),"",Inventory!C173)</f>
        <v>20ml</v>
      </c>
      <c r="C173" s="187">
        <v>1</v>
      </c>
      <c r="D173" s="192"/>
      <c r="E173" s="187"/>
      <c r="F173" s="173"/>
      <c r="G173" s="187"/>
      <c r="H173" s="37">
        <f>IF(ISBLANK(Inventory!A173),0,C173+SUM('Week 4'!E173:G173)-SUM(E173:G173))</f>
        <v>1</v>
      </c>
      <c r="I173" s="35" t="str">
        <f>IF(OR(ISBLANK(J173),J173=0),"",Settings!$B$14)</f>
        <v>$</v>
      </c>
      <c r="J173" s="30">
        <f>IF(ISBLANK(C173),0,C173*Inventory!F173)</f>
        <v>15.25</v>
      </c>
      <c r="K173" s="35" t="str">
        <f>IF(OR(ISBLANK(L173),L173=0),"",Settings!$B$14)</f>
        <v/>
      </c>
      <c r="L173" s="30">
        <f>IF(ISBLANK(Inventory!A173),0,SUM(E173:G173)*Inventory!F173)</f>
        <v>0</v>
      </c>
      <c r="M173" s="35" t="str">
        <f>IF(OR(ISBLANK(N173),N173=0),"",Settings!$B$14)</f>
        <v/>
      </c>
      <c r="N173" s="30">
        <f>IF(ISBLANK(Inventory!A173),0,SUM(E173:G173)*Inventory!L173)</f>
        <v>0</v>
      </c>
      <c r="O173" s="35" t="str">
        <f>IF(OR(ISBLANK(P173),P173=0),"",Settings!$B$14)</f>
        <v>$</v>
      </c>
      <c r="P173" s="30">
        <f>IF(ISBLANK(Inventory!A173),0,H173*Inventory!L173)</f>
        <v>412.5</v>
      </c>
    </row>
    <row r="174" spans="1:16" ht="15" customHeight="1">
      <c r="A174" s="31" t="str">
        <f>IF(ISBLANK(Inventory!A174),"",Inventory!A174)</f>
        <v>Post-Mix Lemonade</v>
      </c>
      <c r="B174" s="31" t="str">
        <f>IF(ISBLANK(Inventory!A174),"",Inventory!C174)</f>
        <v>20ml</v>
      </c>
      <c r="C174" s="187">
        <v>1</v>
      </c>
      <c r="D174" s="192"/>
      <c r="E174" s="187"/>
      <c r="F174" s="173"/>
      <c r="G174" s="187"/>
      <c r="H174" s="37">
        <f>IF(ISBLANK(Inventory!A174),0,C174+SUM('Week 4'!E174:G174)-SUM(E174:G174))</f>
        <v>1</v>
      </c>
      <c r="I174" s="35" t="str">
        <f>IF(OR(ISBLANK(J174),J174=0),"",Settings!$B$14)</f>
        <v>$</v>
      </c>
      <c r="J174" s="30">
        <f>IF(ISBLANK(C174),0,C174*Inventory!F174)</f>
        <v>14.43</v>
      </c>
      <c r="K174" s="35" t="str">
        <f>IF(OR(ISBLANK(L174),L174=0),"",Settings!$B$14)</f>
        <v/>
      </c>
      <c r="L174" s="30">
        <f>IF(ISBLANK(Inventory!A174),0,SUM(E174:G174)*Inventory!F174)</f>
        <v>0</v>
      </c>
      <c r="M174" s="35" t="str">
        <f>IF(OR(ISBLANK(N174),N174=0),"",Settings!$B$14)</f>
        <v/>
      </c>
      <c r="N174" s="30">
        <f>IF(ISBLANK(Inventory!A174),0,SUM(E174:G174)*Inventory!L174)</f>
        <v>0</v>
      </c>
      <c r="O174" s="35" t="str">
        <f>IF(OR(ISBLANK(P174),P174=0),"",Settings!$B$14)</f>
        <v>$</v>
      </c>
      <c r="P174" s="30">
        <f>IF(ISBLANK(Inventory!A174),0,H174*Inventory!L174)</f>
        <v>412.5</v>
      </c>
    </row>
    <row r="175" spans="1:16" ht="15" customHeight="1">
      <c r="A175" s="31" t="str">
        <f>IF(ISBLANK(Inventory!A175),"",Inventory!A175)</f>
        <v>Post-Mix Tango</v>
      </c>
      <c r="B175" s="31" t="str">
        <f>IF(ISBLANK(Inventory!A175),"",Inventory!C175)</f>
        <v>20ml</v>
      </c>
      <c r="C175" s="187">
        <v>1</v>
      </c>
      <c r="D175" s="192"/>
      <c r="E175" s="187"/>
      <c r="F175" s="173"/>
      <c r="G175" s="187"/>
      <c r="H175" s="37">
        <f>IF(ISBLANK(Inventory!A175),0,C175+SUM('Week 4'!E175:G175)-SUM(E175:G175))</f>
        <v>1</v>
      </c>
      <c r="I175" s="35" t="str">
        <f>IF(OR(ISBLANK(J175),J175=0),"",Settings!$B$14)</f>
        <v>$</v>
      </c>
      <c r="J175" s="30">
        <f>IF(ISBLANK(C175),0,C175*Inventory!F175)</f>
        <v>12.3</v>
      </c>
      <c r="K175" s="35" t="str">
        <f>IF(OR(ISBLANK(L175),L175=0),"",Settings!$B$14)</f>
        <v/>
      </c>
      <c r="L175" s="30">
        <f>IF(ISBLANK(Inventory!A175),0,SUM(E175:G175)*Inventory!F175)</f>
        <v>0</v>
      </c>
      <c r="M175" s="35" t="str">
        <f>IF(OR(ISBLANK(N175),N175=0),"",Settings!$B$14)</f>
        <v/>
      </c>
      <c r="N175" s="30">
        <f>IF(ISBLANK(Inventory!A175),0,SUM(E175:G175)*Inventory!L175)</f>
        <v>0</v>
      </c>
      <c r="O175" s="35" t="str">
        <f>IF(OR(ISBLANK(P175),P175=0),"",Settings!$B$14)</f>
        <v>$</v>
      </c>
      <c r="P175" s="30">
        <f>IF(ISBLANK(Inventory!A175),0,H175*Inventory!L175)</f>
        <v>825</v>
      </c>
    </row>
    <row r="176" spans="1:16" ht="15" customHeight="1">
      <c r="A176" s="31" t="str">
        <f>IF(ISBLANK(Inventory!A176),"",Inventory!A176)</f>
        <v>Sprite</v>
      </c>
      <c r="B176" s="31" t="str">
        <f>IF(ISBLANK(Inventory!A176),"",Inventory!C176)</f>
        <v>25ml</v>
      </c>
      <c r="C176" s="187">
        <v>1</v>
      </c>
      <c r="D176" s="192"/>
      <c r="E176" s="187"/>
      <c r="F176" s="173"/>
      <c r="G176" s="187"/>
      <c r="H176" s="37">
        <f>IF(ISBLANK(Inventory!A176),0,C176+SUM('Week 4'!E176:G176)-SUM(E176:G176))</f>
        <v>1</v>
      </c>
      <c r="I176" s="35" t="str">
        <f>IF(OR(ISBLANK(J176),J176=0),"",Settings!$B$14)</f>
        <v>$</v>
      </c>
      <c r="J176" s="30">
        <f>IF(ISBLANK(C176),0,C176*Inventory!F176)</f>
        <v>15.53</v>
      </c>
      <c r="K176" s="35" t="str">
        <f>IF(OR(ISBLANK(L176),L176=0),"",Settings!$B$14)</f>
        <v/>
      </c>
      <c r="L176" s="30">
        <f>IF(ISBLANK(Inventory!A176),0,SUM(E176:G176)*Inventory!F176)</f>
        <v>0</v>
      </c>
      <c r="M176" s="35" t="str">
        <f>IF(OR(ISBLANK(N176),N176=0),"",Settings!$B$14)</f>
        <v/>
      </c>
      <c r="N176" s="30">
        <f>IF(ISBLANK(Inventory!A176),0,SUM(E176:G176)*Inventory!L176)</f>
        <v>0</v>
      </c>
      <c r="O176" s="35" t="str">
        <f>IF(OR(ISBLANK(P176),P176=0),"",Settings!$B$14)</f>
        <v>$</v>
      </c>
      <c r="P176" s="30">
        <f>IF(ISBLANK(Inventory!A176),0,H176*Inventory!L176)</f>
        <v>330</v>
      </c>
    </row>
    <row r="177" spans="1:16" ht="15" customHeight="1">
      <c r="A177" s="31" t="str">
        <f>IF(ISBLANK(Inventory!A177),"",Inventory!A177)</f>
        <v/>
      </c>
      <c r="B177" s="31" t="str">
        <f>IF(ISBLANK(Inventory!A177),"",Inventory!C177)</f>
        <v/>
      </c>
      <c r="C177" s="187"/>
      <c r="D177" s="192"/>
      <c r="E177" s="187"/>
      <c r="F177" s="173"/>
      <c r="G177" s="187"/>
      <c r="H177" s="37">
        <f>IF(ISBLANK(Inventory!A177),0,C177+SUM('Week 4'!E177:G177)-SUM(E177:G177))</f>
        <v>0</v>
      </c>
      <c r="I177" s="35" t="str">
        <f>IF(OR(ISBLANK(J177),J177=0),"",Settings!$B$14)</f>
        <v/>
      </c>
      <c r="J177" s="30">
        <f>IF(ISBLANK(C177),0,C177*Inventory!F177)</f>
        <v>0</v>
      </c>
      <c r="K177" s="35" t="str">
        <f>IF(OR(ISBLANK(L177),L177=0),"",Settings!$B$14)</f>
        <v/>
      </c>
      <c r="L177" s="30">
        <f>IF(ISBLANK(Inventory!A177),0,SUM(E177:G177)*Inventory!F177)</f>
        <v>0</v>
      </c>
      <c r="M177" s="35" t="str">
        <f>IF(OR(ISBLANK(N177),N177=0),"",Settings!$B$14)</f>
        <v/>
      </c>
      <c r="N177" s="30">
        <f>IF(ISBLANK(Inventory!A177),0,SUM(E177:G177)*Inventory!L177)</f>
        <v>0</v>
      </c>
      <c r="O177" s="35" t="str">
        <f>IF(OR(ISBLANK(P177),P177=0),"",Settings!$B$14)</f>
        <v/>
      </c>
      <c r="P177" s="30">
        <f>IF(ISBLANK(Inventory!A177),0,H177*Inventory!L177)</f>
        <v>0</v>
      </c>
    </row>
    <row r="178" spans="1:16" ht="15" customHeight="1">
      <c r="A178" s="31" t="str">
        <f>IF(ISBLANK(Inventory!A178),"",Inventory!A178)</f>
        <v/>
      </c>
      <c r="B178" s="31" t="str">
        <f>IF(ISBLANK(Inventory!A178),"",Inventory!C178)</f>
        <v/>
      </c>
      <c r="C178" s="187"/>
      <c r="D178" s="192"/>
      <c r="E178" s="187"/>
      <c r="F178" s="173"/>
      <c r="G178" s="187"/>
      <c r="H178" s="37">
        <f>IF(ISBLANK(Inventory!A178),0,C178+SUM('Week 4'!E178:G178)-SUM(E178:G178))</f>
        <v>0</v>
      </c>
      <c r="I178" s="35" t="str">
        <f>IF(OR(ISBLANK(J178),J178=0),"",Settings!$B$14)</f>
        <v/>
      </c>
      <c r="J178" s="30">
        <f>IF(ISBLANK(C178),0,C178*Inventory!F178)</f>
        <v>0</v>
      </c>
      <c r="K178" s="35" t="str">
        <f>IF(OR(ISBLANK(L178),L178=0),"",Settings!$B$14)</f>
        <v/>
      </c>
      <c r="L178" s="30">
        <f>IF(ISBLANK(Inventory!A178),0,SUM(E178:G178)*Inventory!F178)</f>
        <v>0</v>
      </c>
      <c r="M178" s="35" t="str">
        <f>IF(OR(ISBLANK(N178),N178=0),"",Settings!$B$14)</f>
        <v/>
      </c>
      <c r="N178" s="30">
        <f>IF(ISBLANK(Inventory!A178),0,SUM(E178:G178)*Inventory!L178)</f>
        <v>0</v>
      </c>
      <c r="O178" s="35" t="str">
        <f>IF(OR(ISBLANK(P178),P178=0),"",Settings!$B$14)</f>
        <v/>
      </c>
      <c r="P178" s="30">
        <f>IF(ISBLANK(Inventory!A178),0,H178*Inventory!L178)</f>
        <v>0</v>
      </c>
    </row>
    <row r="179" spans="1:16" ht="6.95" customHeight="1">
      <c r="A179" s="24"/>
      <c r="B179" s="24"/>
      <c r="C179" s="1"/>
      <c r="D179" s="1"/>
      <c r="E179" s="1"/>
      <c r="F179" s="1"/>
      <c r="G179" s="1"/>
      <c r="H179" s="1"/>
      <c r="I179" s="1"/>
      <c r="J179" s="1"/>
      <c r="K179" s="1"/>
      <c r="L179" s="25"/>
      <c r="M179" s="62"/>
      <c r="N179" s="160"/>
      <c r="O179" s="25"/>
      <c r="P179" s="160"/>
    </row>
    <row r="180" spans="1:16" s="45" customFormat="1" ht="18" customHeight="1" thickBot="1">
      <c r="A180" s="78" t="str">
        <f>Inventory!A180</f>
        <v>COMPRESSED GAS</v>
      </c>
      <c r="B180" s="78"/>
      <c r="C180" s="22" t="s">
        <v>187</v>
      </c>
      <c r="D180" s="22"/>
      <c r="E180" s="22" t="s">
        <v>101</v>
      </c>
      <c r="F180" s="22"/>
      <c r="G180" s="23" t="s">
        <v>108</v>
      </c>
      <c r="H180" s="79" t="s">
        <v>119</v>
      </c>
      <c r="I180" s="253" t="s">
        <v>190</v>
      </c>
      <c r="J180" s="253"/>
      <c r="K180" s="235" t="s">
        <v>30</v>
      </c>
      <c r="L180" s="235"/>
      <c r="M180" s="235"/>
      <c r="N180" s="235"/>
      <c r="O180" s="235"/>
      <c r="P180" s="235"/>
    </row>
    <row r="181" spans="1:16" ht="6.95" customHeight="1" thickTop="1">
      <c r="A181" s="193"/>
      <c r="B181" s="194"/>
      <c r="C181" s="1"/>
      <c r="D181" s="1"/>
      <c r="E181" s="67"/>
      <c r="F181" s="67"/>
      <c r="G181" s="71"/>
      <c r="H181" s="71"/>
      <c r="I181" s="71"/>
      <c r="J181" s="71"/>
      <c r="K181" s="1"/>
      <c r="L181" s="67"/>
      <c r="M181" s="62"/>
      <c r="N181" s="67"/>
      <c r="O181" s="72"/>
      <c r="P181" s="67"/>
    </row>
    <row r="182" spans="1:16" ht="15" customHeight="1">
      <c r="A182" s="31" t="str">
        <f>IF(ISBLANK(Inventory!A182),"",Inventory!A182)</f>
        <v>Suregas B</v>
      </c>
      <c r="B182" s="31"/>
      <c r="C182" s="187">
        <v>1</v>
      </c>
      <c r="D182" s="192"/>
      <c r="E182" s="187">
        <v>1</v>
      </c>
      <c r="F182" s="173"/>
      <c r="G182" s="187">
        <v>0.2</v>
      </c>
      <c r="H182" s="37">
        <f>IF(ISBLANK(Inventory!A182),0,C182+SUM('Week 4'!E182:G182)-SUM(E182:G182))</f>
        <v>1.0000000000000002</v>
      </c>
      <c r="I182" s="35" t="str">
        <f>IF(OR(ISBLANK(J182),J182=0),"",Settings!$B$14)</f>
        <v>$</v>
      </c>
      <c r="J182" s="30">
        <f>IF(ISBLANK(C182),0,C182*Inventory!F182)</f>
        <v>15.75</v>
      </c>
      <c r="K182" s="35" t="str">
        <f>IF(OR(ISBLANK(L182),L182=0),"",Settings!$B$14)</f>
        <v>$</v>
      </c>
      <c r="L182" s="30">
        <f>IF(ISBLANK(Inventory!A182),0,SUM(E182:G182)*Inventory!F182)</f>
        <v>18.899999999999999</v>
      </c>
      <c r="M182" s="35"/>
      <c r="N182" s="30"/>
      <c r="O182" s="35"/>
      <c r="P182" s="30"/>
    </row>
    <row r="183" spans="1:16" ht="15" customHeight="1">
      <c r="A183" s="31" t="str">
        <f>IF(ISBLANK(Inventory!A183),"",Inventory!A183)</f>
        <v>Suremix 30/50</v>
      </c>
      <c r="B183" s="31"/>
      <c r="C183" s="187">
        <v>1</v>
      </c>
      <c r="D183" s="192"/>
      <c r="E183" s="187">
        <v>1</v>
      </c>
      <c r="F183" s="173"/>
      <c r="G183" s="187">
        <v>0.1</v>
      </c>
      <c r="H183" s="37">
        <f>IF(ISBLANK(Inventory!A183),0,C183+SUM('Week 4'!E183:G183)-SUM(E183:G183))</f>
        <v>1</v>
      </c>
      <c r="I183" s="35" t="str">
        <f>IF(OR(ISBLANK(J183),J183=0),"",Settings!$B$14)</f>
        <v>$</v>
      </c>
      <c r="J183" s="30">
        <f>IF(ISBLANK(C183),0,C183*Inventory!F183)</f>
        <v>28.3</v>
      </c>
      <c r="K183" s="35" t="str">
        <f>IF(OR(ISBLANK(L183),L183=0),"",Settings!$B$14)</f>
        <v>$</v>
      </c>
      <c r="L183" s="30">
        <f>IF(ISBLANK(Inventory!A183),0,SUM(E183:G183)*Inventory!F183)</f>
        <v>31.130000000000003</v>
      </c>
      <c r="M183" s="35"/>
      <c r="N183" s="30"/>
      <c r="O183" s="35"/>
      <c r="P183" s="30"/>
    </row>
    <row r="184" spans="1:16" ht="15" customHeight="1">
      <c r="A184" s="31" t="str">
        <f>IF(ISBLANK(Inventory!A184),"",Inventory!A184)</f>
        <v/>
      </c>
      <c r="B184" s="31"/>
      <c r="C184" s="187"/>
      <c r="D184" s="192"/>
      <c r="E184" s="187"/>
      <c r="F184" s="173"/>
      <c r="G184" s="187"/>
      <c r="H184" s="37">
        <f>IF(ISBLANK(Inventory!A184),0,C184+SUM('Week 4'!E184:G184)-SUM(E184:G184))</f>
        <v>0</v>
      </c>
      <c r="I184" s="35" t="str">
        <f>IF(OR(ISBLANK(J184),J184=0),"",Settings!$B$14)</f>
        <v/>
      </c>
      <c r="J184" s="30">
        <f>IF(ISBLANK(C184),0,C184*Inventory!F184)</f>
        <v>0</v>
      </c>
      <c r="K184" s="35" t="str">
        <f>IF(OR(ISBLANK(L184),L184=0),"",Settings!$B$14)</f>
        <v/>
      </c>
      <c r="L184" s="30">
        <f>IF(ISBLANK(Inventory!A184),0,SUM(E184:G184)*Inventory!F184)</f>
        <v>0</v>
      </c>
      <c r="M184" s="35"/>
      <c r="N184" s="30"/>
      <c r="O184" s="35"/>
      <c r="P184" s="30"/>
    </row>
    <row r="185" spans="1:16" ht="15" customHeight="1">
      <c r="A185" s="31" t="str">
        <f>IF(ISBLANK(Inventory!A185),"",Inventory!A185)</f>
        <v/>
      </c>
      <c r="B185" s="31"/>
      <c r="C185" s="187"/>
      <c r="D185" s="192"/>
      <c r="E185" s="187"/>
      <c r="F185" s="173"/>
      <c r="G185" s="187"/>
      <c r="H185" s="37">
        <f>IF(ISBLANK(Inventory!A185),0,C185+SUM('Week 4'!E185:G185)-SUM(E185:G185))</f>
        <v>0</v>
      </c>
      <c r="I185" s="35" t="str">
        <f>IF(OR(ISBLANK(J185),J185=0),"",Settings!$B$14)</f>
        <v/>
      </c>
      <c r="J185" s="30">
        <f>IF(ISBLANK(C185),0,C185*Inventory!F185)</f>
        <v>0</v>
      </c>
      <c r="K185" s="35" t="str">
        <f>IF(OR(ISBLANK(L185),L185=0),"",Settings!$B$14)</f>
        <v/>
      </c>
      <c r="L185" s="30">
        <f>IF(ISBLANK(Inventory!A185),0,SUM(E185:G185)*Inventory!F185)</f>
        <v>0</v>
      </c>
      <c r="M185" s="35"/>
      <c r="N185" s="30"/>
      <c r="O185" s="35"/>
      <c r="P185" s="30"/>
    </row>
    <row r="186" spans="1:16" ht="6.95" customHeight="1">
      <c r="A186" s="24"/>
      <c r="B186" s="24"/>
      <c r="C186" s="1"/>
      <c r="D186" s="1"/>
      <c r="E186" s="1"/>
      <c r="F186" s="1"/>
      <c r="G186" s="1"/>
      <c r="H186" s="1"/>
      <c r="I186" s="1"/>
      <c r="J186" s="1"/>
      <c r="K186" s="1"/>
      <c r="L186" s="25"/>
      <c r="M186" s="62"/>
      <c r="N186" s="25"/>
      <c r="O186" s="25"/>
      <c r="P186" s="25"/>
    </row>
    <row r="187" spans="1:16" s="45" customFormat="1" ht="18" customHeight="1" thickBot="1">
      <c r="A187" s="78" t="str">
        <f>Inventory!A187</f>
        <v xml:space="preserve">REUSABLE containers and bottles </v>
      </c>
      <c r="B187" s="78"/>
      <c r="C187" s="22" t="s">
        <v>191</v>
      </c>
      <c r="D187" s="22"/>
      <c r="E187" s="22" t="s">
        <v>101</v>
      </c>
      <c r="F187" s="22" t="s">
        <v>102</v>
      </c>
      <c r="G187" s="23"/>
      <c r="H187" s="79" t="s">
        <v>119</v>
      </c>
      <c r="I187" s="253" t="s">
        <v>198</v>
      </c>
      <c r="J187" s="253"/>
      <c r="K187" s="235" t="s">
        <v>199</v>
      </c>
      <c r="L187" s="235"/>
      <c r="M187" s="235"/>
      <c r="N187" s="235"/>
      <c r="O187" s="235"/>
      <c r="P187" s="235"/>
    </row>
    <row r="188" spans="1:16" ht="6.95" customHeight="1" thickTop="1">
      <c r="A188" s="193"/>
      <c r="B188" s="194"/>
      <c r="C188" s="1"/>
      <c r="D188" s="1"/>
      <c r="E188" s="67"/>
      <c r="F188" s="67"/>
      <c r="G188" s="71"/>
      <c r="H188" s="71"/>
      <c r="I188" s="71"/>
      <c r="J188" s="71"/>
      <c r="K188" s="1"/>
      <c r="L188" s="67"/>
      <c r="M188" s="62"/>
      <c r="N188" s="67"/>
      <c r="O188" s="72"/>
      <c r="P188" s="67"/>
    </row>
    <row r="189" spans="1:16" ht="15" customHeight="1">
      <c r="A189" s="31" t="str">
        <f>IF(ISBLANK(Inventory!A189),"",Inventory!A189)</f>
        <v>Cases</v>
      </c>
      <c r="B189" s="31"/>
      <c r="C189" s="187">
        <v>3</v>
      </c>
      <c r="D189" s="192"/>
      <c r="E189" s="187">
        <v>3</v>
      </c>
      <c r="F189" s="187"/>
      <c r="G189" s="173"/>
      <c r="H189" s="37">
        <f>IF(ISBLANK(Inventory!A189),0,C189+SUM('Week 4'!E189:G189)-SUM(E189:G189))</f>
        <v>3</v>
      </c>
      <c r="I189" s="35" t="str">
        <f>IF(OR(ISBLANK(J189),J189=0),"",Settings!$B$14)</f>
        <v>$</v>
      </c>
      <c r="J189" s="30">
        <f>IF(ISBLANK(C189),0,C189*Inventory!F189)</f>
        <v>3</v>
      </c>
      <c r="K189" s="35" t="str">
        <f>IF(OR(ISBLANK(L189),L189=0),"",Settings!$B$14)</f>
        <v>$</v>
      </c>
      <c r="L189" s="30">
        <f>IF(ISBLANK(Inventory!A189),0,SUM(E189:G189)*Inventory!F189)</f>
        <v>3</v>
      </c>
      <c r="M189" s="35"/>
      <c r="N189" s="30"/>
      <c r="O189" s="35"/>
      <c r="P189" s="30"/>
    </row>
    <row r="190" spans="1:16" ht="15" customHeight="1">
      <c r="A190" s="31" t="str">
        <f>IF(ISBLANK(Inventory!A190),"",Inventory!A190)</f>
        <v>Bottles - Small</v>
      </c>
      <c r="B190" s="31"/>
      <c r="C190" s="187">
        <v>500</v>
      </c>
      <c r="D190" s="192"/>
      <c r="E190" s="187">
        <v>100</v>
      </c>
      <c r="F190" s="187"/>
      <c r="G190" s="173"/>
      <c r="H190" s="37">
        <f>IF(ISBLANK(Inventory!A190),0,C190+SUM('Week 4'!E190:G190)-SUM(E190:G190))</f>
        <v>500</v>
      </c>
      <c r="I190" s="35" t="str">
        <f>IF(OR(ISBLANK(J190),J190=0),"",Settings!$B$14)</f>
        <v>$</v>
      </c>
      <c r="J190" s="30">
        <f>IF(ISBLANK(C190),0,C190*Inventory!F190)</f>
        <v>21</v>
      </c>
      <c r="K190" s="35" t="str">
        <f>IF(OR(ISBLANK(L190),L190=0),"",Settings!$B$14)</f>
        <v>$</v>
      </c>
      <c r="L190" s="30">
        <f>IF(ISBLANK(Inventory!A190),0,SUM(E190:G190)*Inventory!F190)</f>
        <v>4.2</v>
      </c>
      <c r="M190" s="35"/>
      <c r="N190" s="30"/>
      <c r="O190" s="35"/>
      <c r="P190" s="30"/>
    </row>
    <row r="191" spans="1:16" ht="15" customHeight="1">
      <c r="A191" s="31" t="str">
        <f>IF(ISBLANK(Inventory!A191),"",Inventory!A191)</f>
        <v>Suregas B</v>
      </c>
      <c r="B191" s="31"/>
      <c r="C191" s="187">
        <v>1</v>
      </c>
      <c r="D191" s="192"/>
      <c r="E191" s="187">
        <v>1</v>
      </c>
      <c r="F191" s="187"/>
      <c r="G191" s="173"/>
      <c r="H191" s="37">
        <f>IF(ISBLANK(Inventory!A191),0,C191+SUM('Week 4'!E191:G191)-SUM(E191:G191))</f>
        <v>1</v>
      </c>
      <c r="I191" s="35" t="str">
        <f>IF(OR(ISBLANK(J191),J191=0),"",Settings!$B$14)</f>
        <v>$</v>
      </c>
      <c r="J191" s="30">
        <f>IF(ISBLANK(C191),0,C191*Inventory!F191)</f>
        <v>4.3</v>
      </c>
      <c r="K191" s="35" t="str">
        <f>IF(OR(ISBLANK(L191),L191=0),"",Settings!$B$14)</f>
        <v>$</v>
      </c>
      <c r="L191" s="30">
        <f>IF(ISBLANK(Inventory!A191),0,SUM(E191:G191)*Inventory!F191)</f>
        <v>4.3</v>
      </c>
      <c r="M191" s="35"/>
      <c r="N191" s="30"/>
      <c r="O191" s="35"/>
      <c r="P191" s="30"/>
    </row>
    <row r="192" spans="1:16" ht="15" customHeight="1">
      <c r="A192" s="31" t="str">
        <f>IF(ISBLANK(Inventory!A192),"",Inventory!A192)</f>
        <v>Suremix 30/50</v>
      </c>
      <c r="B192" s="31"/>
      <c r="C192" s="187">
        <v>1</v>
      </c>
      <c r="D192" s="192"/>
      <c r="E192" s="187">
        <v>1</v>
      </c>
      <c r="F192" s="187"/>
      <c r="G192" s="173"/>
      <c r="H192" s="37">
        <f>IF(ISBLANK(Inventory!A192),0,C192+SUM('Week 4'!E192:G192)-SUM(E192:G192))</f>
        <v>1</v>
      </c>
      <c r="I192" s="35" t="str">
        <f>IF(OR(ISBLANK(J192),J192=0),"",Settings!$B$14)</f>
        <v>$</v>
      </c>
      <c r="J192" s="30">
        <f>IF(ISBLANK(C192),0,C192*Inventory!F192)</f>
        <v>5.65</v>
      </c>
      <c r="K192" s="35" t="str">
        <f>IF(OR(ISBLANK(L192),L192=0),"",Settings!$B$14)</f>
        <v>$</v>
      </c>
      <c r="L192" s="30">
        <f>IF(ISBLANK(Inventory!A192),0,SUM(E192:G192)*Inventory!F192)</f>
        <v>5.65</v>
      </c>
      <c r="M192" s="35"/>
      <c r="N192" s="30"/>
      <c r="O192" s="35"/>
      <c r="P192" s="30"/>
    </row>
    <row r="193" spans="1:16" ht="15" customHeight="1">
      <c r="A193" s="31" t="str">
        <f>IF(ISBLANK(Inventory!A193),"",Inventory!A193)</f>
        <v/>
      </c>
      <c r="B193" s="31"/>
      <c r="C193" s="187"/>
      <c r="D193" s="192"/>
      <c r="E193" s="187"/>
      <c r="F193" s="187"/>
      <c r="G193" s="173"/>
      <c r="H193" s="37">
        <f>IF(ISBLANK(Inventory!A193),0,C193+SUM('Week 4'!E193:G193)-SUM(E193:G193))</f>
        <v>0</v>
      </c>
      <c r="I193" s="35" t="str">
        <f>IF(OR(ISBLANK(J193),J193=0),"",Settings!$B$14)</f>
        <v/>
      </c>
      <c r="J193" s="30">
        <f>IF(ISBLANK(C193),0,C193*Inventory!F193)</f>
        <v>0</v>
      </c>
      <c r="K193" s="35" t="str">
        <f>IF(OR(ISBLANK(L193),L193=0),"",Settings!$B$14)</f>
        <v/>
      </c>
      <c r="L193" s="30">
        <f>IF(ISBLANK(Inventory!A193),0,SUM(E193:G193)*Inventory!F193)</f>
        <v>0</v>
      </c>
      <c r="M193" s="35"/>
      <c r="N193" s="30"/>
      <c r="O193" s="35"/>
      <c r="P193" s="30"/>
    </row>
    <row r="194" spans="1:16" ht="15" customHeight="1">
      <c r="A194" s="31" t="str">
        <f>IF(ISBLANK(Inventory!A194),"",Inventory!A194)</f>
        <v/>
      </c>
      <c r="B194" s="31"/>
      <c r="C194" s="187"/>
      <c r="D194" s="192"/>
      <c r="E194" s="187"/>
      <c r="F194" s="187"/>
      <c r="G194" s="173"/>
      <c r="H194" s="37">
        <f>IF(ISBLANK(Inventory!A194),0,C194+SUM('Week 4'!E194:G194)-SUM(E194:G194))</f>
        <v>0</v>
      </c>
      <c r="I194" s="35" t="str">
        <f>IF(OR(ISBLANK(J194),J194=0),"",Settings!$B$14)</f>
        <v/>
      </c>
      <c r="J194" s="30">
        <f>IF(ISBLANK(C194),0,C194*Inventory!F194)</f>
        <v>0</v>
      </c>
      <c r="K194" s="35" t="str">
        <f>IF(OR(ISBLANK(L194),L194=0),"",Settings!$B$14)</f>
        <v/>
      </c>
      <c r="L194" s="30">
        <f>IF(ISBLANK(Inventory!A194),0,SUM(E194:G194)*Inventory!F194)</f>
        <v>0</v>
      </c>
      <c r="M194" s="35"/>
      <c r="N194" s="30"/>
      <c r="O194" s="35"/>
      <c r="P194" s="30"/>
    </row>
    <row r="195" spans="1:16" ht="15" customHeight="1">
      <c r="A195" s="31" t="str">
        <f>IF(ISBLANK(Inventory!A195),"",Inventory!A195)</f>
        <v/>
      </c>
      <c r="B195" s="31"/>
      <c r="C195" s="187"/>
      <c r="D195" s="192"/>
      <c r="E195" s="187"/>
      <c r="F195" s="187"/>
      <c r="G195" s="173"/>
      <c r="H195" s="37">
        <f>IF(ISBLANK(Inventory!A195),0,C195+SUM('Week 4'!E195:G195)-SUM(E195:G195))</f>
        <v>0</v>
      </c>
      <c r="I195" s="35" t="str">
        <f>IF(OR(ISBLANK(J195),J195=0),"",Settings!$B$14)</f>
        <v/>
      </c>
      <c r="J195" s="30">
        <f>IF(ISBLANK(C195),0,C195*Inventory!F195)</f>
        <v>0</v>
      </c>
      <c r="K195" s="35" t="str">
        <f>IF(OR(ISBLANK(L195),L195=0),"",Settings!$B$14)</f>
        <v/>
      </c>
      <c r="L195" s="30">
        <f>IF(ISBLANK(Inventory!A195),0,SUM(E195:G195)*Inventory!F195)</f>
        <v>0</v>
      </c>
      <c r="M195" s="35"/>
      <c r="N195" s="30"/>
      <c r="O195" s="35"/>
      <c r="P195" s="30"/>
    </row>
    <row r="196" spans="1:16" ht="15" customHeight="1">
      <c r="A196" s="31" t="str">
        <f>IF(ISBLANK(Inventory!A196),"",Inventory!A196)</f>
        <v/>
      </c>
      <c r="B196" s="31"/>
      <c r="C196" s="187"/>
      <c r="D196" s="192"/>
      <c r="E196" s="187"/>
      <c r="F196" s="187"/>
      <c r="G196" s="173"/>
      <c r="H196" s="37">
        <f>IF(ISBLANK(Inventory!A196),0,C196+SUM('Week 4'!E196:G196)-SUM(E196:G196))</f>
        <v>0</v>
      </c>
      <c r="I196" s="35" t="str">
        <f>IF(OR(ISBLANK(J196),J196=0),"",Settings!$B$14)</f>
        <v/>
      </c>
      <c r="J196" s="30">
        <f>IF(ISBLANK(C196),0,C196*Inventory!F196)</f>
        <v>0</v>
      </c>
      <c r="K196" s="35" t="str">
        <f>IF(OR(ISBLANK(L196),L196=0),"",Settings!$B$14)</f>
        <v/>
      </c>
      <c r="L196" s="30">
        <f>IF(ISBLANK(Inventory!A196),0,SUM(E196:G196)*Inventory!F196)</f>
        <v>0</v>
      </c>
      <c r="M196" s="35"/>
      <c r="N196" s="30"/>
      <c r="O196" s="35"/>
      <c r="P196" s="30"/>
    </row>
    <row r="197" spans="1:16" ht="6.95" customHeight="1" thickBot="1">
      <c r="A197" s="24"/>
      <c r="B197" s="24"/>
      <c r="C197" s="1"/>
      <c r="D197" s="1"/>
      <c r="E197" s="1"/>
      <c r="F197" s="1"/>
      <c r="G197" s="1"/>
      <c r="H197" s="1"/>
      <c r="I197" s="1"/>
      <c r="J197" s="1"/>
      <c r="K197" s="1"/>
      <c r="L197" s="25"/>
      <c r="M197" s="62"/>
      <c r="N197" s="25"/>
      <c r="O197" s="25"/>
      <c r="P197" s="25"/>
    </row>
    <row r="198" spans="1:16" s="45" customFormat="1" ht="18" customHeight="1" thickTop="1">
      <c r="A198" s="174"/>
      <c r="B198" s="174"/>
      <c r="C198" s="167"/>
      <c r="D198" s="167"/>
      <c r="E198" s="167"/>
      <c r="F198" s="167"/>
      <c r="G198" s="196"/>
      <c r="H198" s="197"/>
      <c r="I198" s="254"/>
      <c r="J198" s="254"/>
      <c r="K198" s="255"/>
      <c r="L198" s="255"/>
      <c r="M198" s="255"/>
      <c r="N198" s="255"/>
      <c r="O198" s="255"/>
      <c r="P198" s="255"/>
    </row>
    <row r="199" spans="1:16" ht="18" customHeight="1">
      <c r="A199" s="24"/>
      <c r="B199" s="24"/>
      <c r="C199" s="1"/>
      <c r="D199" s="1"/>
      <c r="E199" s="1"/>
      <c r="F199" s="1"/>
      <c r="G199" s="1"/>
      <c r="H199" s="1"/>
      <c r="I199" s="1"/>
      <c r="J199" s="1"/>
      <c r="K199" s="1"/>
      <c r="L199" s="25"/>
      <c r="M199" s="62"/>
      <c r="N199" s="25"/>
      <c r="O199" s="25"/>
      <c r="P199" s="25"/>
    </row>
    <row r="200" spans="1:16" ht="18" customHeight="1" thickBot="1">
      <c r="A200" s="78" t="str">
        <f>IF(ISBLANK('Stock Opening'!A200),"",'Stock Opening'!A200)</f>
        <v>TOTAL VALUE of STOCK</v>
      </c>
      <c r="B200" s="38"/>
      <c r="C200" s="39"/>
      <c r="D200" s="39"/>
      <c r="E200" s="39"/>
      <c r="F200" s="39"/>
      <c r="G200" s="39"/>
      <c r="H200" s="39"/>
      <c r="I200" s="235" t="s">
        <v>190</v>
      </c>
      <c r="J200" s="235"/>
      <c r="K200" s="235" t="s">
        <v>30</v>
      </c>
      <c r="L200" s="235"/>
      <c r="M200" s="235" t="s">
        <v>31</v>
      </c>
      <c r="N200" s="235"/>
      <c r="O200" s="235" t="s">
        <v>189</v>
      </c>
      <c r="P200" s="235"/>
    </row>
    <row r="201" spans="1:16" ht="6.95" customHeight="1" thickTop="1">
      <c r="A201" s="24"/>
      <c r="B201" s="24"/>
      <c r="C201" s="1"/>
      <c r="D201" s="1"/>
      <c r="E201" s="1"/>
      <c r="F201" s="1"/>
      <c r="G201" s="1"/>
      <c r="H201" s="1"/>
      <c r="I201" s="1"/>
      <c r="J201" s="1"/>
      <c r="K201" s="1"/>
      <c r="L201" s="25"/>
      <c r="M201" s="62"/>
      <c r="N201" s="25"/>
      <c r="O201" s="25"/>
      <c r="P201" s="25"/>
    </row>
    <row r="202" spans="1:16" s="45" customFormat="1" ht="15" customHeight="1">
      <c r="A202" s="50" t="str">
        <f>IF(ISBLANK('Stock Opening'!A202),"",'Stock Opening'!A202)</f>
        <v>SPIRITS</v>
      </c>
      <c r="C202" s="46"/>
      <c r="D202" s="46"/>
      <c r="E202" s="46"/>
      <c r="F202" s="46"/>
      <c r="G202" s="46"/>
      <c r="H202" s="46"/>
      <c r="I202" s="46" t="str">
        <f>IF(OR(ISBLANK(J202),J202=0),"",Settings!$B$14)</f>
        <v>$</v>
      </c>
      <c r="J202" s="32">
        <f>SUM(J12:J55)</f>
        <v>21.35</v>
      </c>
      <c r="K202" s="46" t="str">
        <f>IF(OR(ISBLANK(L202),L202=0),"",Settings!$B$14)</f>
        <v>$</v>
      </c>
      <c r="L202" s="32">
        <f>SUM(L12:L55)</f>
        <v>21.35</v>
      </c>
      <c r="M202" s="46" t="str">
        <f>IF(OR(ISBLANK(N202),N202=0),"",Settings!$B$14)</f>
        <v>$</v>
      </c>
      <c r="N202" s="32">
        <f>SUM(N12:N55)</f>
        <v>80.92</v>
      </c>
      <c r="O202" s="46" t="str">
        <f>IF(OR(ISBLANK(P202),P202=0),"",Settings!$B$14)</f>
        <v>$</v>
      </c>
      <c r="P202" s="32">
        <f>SUM(P12:P55)</f>
        <v>80.92</v>
      </c>
    </row>
    <row r="203" spans="1:16" s="45" customFormat="1" ht="15" customHeight="1">
      <c r="A203" s="50" t="str">
        <f>IF(ISBLANK('Stock Opening'!A203),"",'Stock Opening'!A203)</f>
        <v>FORTIFIED WINES</v>
      </c>
      <c r="C203" s="46"/>
      <c r="D203" s="46"/>
      <c r="E203" s="46"/>
      <c r="F203" s="46"/>
      <c r="G203" s="46"/>
      <c r="H203" s="46"/>
      <c r="I203" s="46" t="str">
        <f>IF(OR(ISBLANK(J203),J203=0),"",Settings!$B$14)</f>
        <v/>
      </c>
      <c r="J203" s="32">
        <f>SUM(J59:J72)</f>
        <v>0</v>
      </c>
      <c r="K203" s="46" t="str">
        <f>IF(OR(ISBLANK(L203),L203=0),"",Settings!$B$14)</f>
        <v>$</v>
      </c>
      <c r="L203" s="32">
        <f>SUM(L59:L72)</f>
        <v>13.44</v>
      </c>
      <c r="M203" s="46" t="str">
        <f>IF(OR(ISBLANK(N203),N203=0),"",Settings!$B$14)</f>
        <v>$</v>
      </c>
      <c r="N203" s="32">
        <f>SUM(N59:N72)</f>
        <v>28.349999999999998</v>
      </c>
      <c r="O203" s="46" t="str">
        <f>IF(OR(ISBLANK(P203),P203=0),"",Settings!$B$14)</f>
        <v>$</v>
      </c>
      <c r="P203" s="32">
        <f>SUM(P59:P72)</f>
        <v>5.6699999999999982</v>
      </c>
    </row>
    <row r="204" spans="1:16" s="45" customFormat="1" ht="15" customHeight="1">
      <c r="A204" s="50" t="str">
        <f>IF(ISBLANK('Stock Opening'!A204),"",'Stock Opening'!A204)</f>
        <v>TABLE WINES</v>
      </c>
      <c r="C204" s="46"/>
      <c r="D204" s="46"/>
      <c r="E204" s="46"/>
      <c r="F204" s="46"/>
      <c r="G204" s="46"/>
      <c r="H204" s="46"/>
      <c r="I204" s="46" t="str">
        <f>IF(OR(ISBLANK(J204),J204=0),"",Settings!$B$14)</f>
        <v/>
      </c>
      <c r="J204" s="32">
        <f>SUM(J76:J97)</f>
        <v>0</v>
      </c>
      <c r="K204" s="46" t="str">
        <f>IF(OR(ISBLANK(L204),L204=0),"",Settings!$B$14)</f>
        <v/>
      </c>
      <c r="L204" s="32">
        <f>SUM(L76:L97)</f>
        <v>0</v>
      </c>
      <c r="M204" s="46" t="str">
        <f>IF(OR(ISBLANK(N204),N204=0),"",Settings!$B$14)</f>
        <v/>
      </c>
      <c r="N204" s="32">
        <f>SUM(N76:N97)</f>
        <v>0</v>
      </c>
      <c r="O204" s="46" t="str">
        <f>IF(OR(ISBLANK(P204),P204=0),"",Settings!$B$14)</f>
        <v/>
      </c>
      <c r="P204" s="32">
        <f>SUM(P76:P97)</f>
        <v>0</v>
      </c>
    </row>
    <row r="205" spans="1:16" s="45" customFormat="1" ht="15" customHeight="1">
      <c r="A205" s="50" t="str">
        <f>IF(ISBLANK('Stock Opening'!A205),"",'Stock Opening'!A205)</f>
        <v>DRAUGHT BEER</v>
      </c>
      <c r="C205" s="46"/>
      <c r="D205" s="46"/>
      <c r="E205" s="46"/>
      <c r="F205" s="46"/>
      <c r="G205" s="46"/>
      <c r="H205" s="46"/>
      <c r="I205" s="46" t="str">
        <f>IF(OR(ISBLANK(J205),J205=0),"",Settings!$B$14)</f>
        <v>$</v>
      </c>
      <c r="J205" s="32">
        <f>SUM(J101:J106)</f>
        <v>148.63</v>
      </c>
      <c r="K205" s="46" t="str">
        <f>IF(OR(ISBLANK(L205),L205=0),"",Settings!$B$14)</f>
        <v>$</v>
      </c>
      <c r="L205" s="32">
        <f>SUM(L101:L106)</f>
        <v>201.64499999999998</v>
      </c>
      <c r="M205" s="46" t="str">
        <f>IF(OR(ISBLANK(N205),N205=0),"",Settings!$B$14)</f>
        <v>$</v>
      </c>
      <c r="N205" s="32">
        <f>SUM(N101:N106)</f>
        <v>964.48</v>
      </c>
      <c r="O205" s="46" t="str">
        <f>IF(OR(ISBLANK(P205),P205=0),"",Settings!$B$14)</f>
        <v>$</v>
      </c>
      <c r="P205" s="32">
        <f>SUM(P101:P106)</f>
        <v>705.28</v>
      </c>
    </row>
    <row r="206" spans="1:16" s="45" customFormat="1" ht="15" customHeight="1">
      <c r="A206" s="50" t="str">
        <f>IF(ISBLANK('Stock Opening'!A206),"",'Stock Opening'!A206)</f>
        <v>DRAUGHT LAGER</v>
      </c>
      <c r="C206" s="46"/>
      <c r="D206" s="46"/>
      <c r="E206" s="46"/>
      <c r="F206" s="46"/>
      <c r="G206" s="46"/>
      <c r="H206" s="46"/>
      <c r="I206" s="46" t="str">
        <f>IF(OR(ISBLANK(J206),J206=0),"",Settings!$B$14)</f>
        <v/>
      </c>
      <c r="J206" s="32">
        <f>SUM(J110:J115)</f>
        <v>0</v>
      </c>
      <c r="K206" s="46" t="str">
        <f>IF(OR(ISBLANK(L206),L206=0),"",Settings!$B$14)</f>
        <v>$</v>
      </c>
      <c r="L206" s="32">
        <f>SUM(L110:L115)</f>
        <v>63</v>
      </c>
      <c r="M206" s="46" t="str">
        <f>IF(OR(ISBLANK(N206),N206=0),"",Settings!$B$14)</f>
        <v>$</v>
      </c>
      <c r="N206" s="32">
        <f>SUM(N110:N115)</f>
        <v>260.71199999999999</v>
      </c>
      <c r="O206" s="46" t="str">
        <f>IF(OR(ISBLANK(P206),P206=0),"",Settings!$B$14)</f>
        <v/>
      </c>
      <c r="P206" s="32">
        <f>SUM(P110:P115)</f>
        <v>0</v>
      </c>
    </row>
    <row r="207" spans="1:16" s="45" customFormat="1" ht="15" customHeight="1">
      <c r="A207" s="50" t="str">
        <f>IF(ISBLANK('Stock Opening'!A207),"",'Stock Opening'!A207)</f>
        <v>BOTTLED BEER</v>
      </c>
      <c r="C207" s="46"/>
      <c r="D207" s="46"/>
      <c r="E207" s="46"/>
      <c r="F207" s="46"/>
      <c r="G207" s="46"/>
      <c r="H207" s="46"/>
      <c r="I207" s="46" t="str">
        <f>IF(OR(ISBLANK(J207),J207=0),"",Settings!$B$14)</f>
        <v/>
      </c>
      <c r="J207" s="32">
        <f>SUM(J119:J134)</f>
        <v>0</v>
      </c>
      <c r="K207" s="46" t="str">
        <f>IF(OR(ISBLANK(L207),L207=0),"",Settings!$B$14)</f>
        <v>$</v>
      </c>
      <c r="L207" s="32">
        <f>SUM(L119:L134)</f>
        <v>11.100000000000001</v>
      </c>
      <c r="M207" s="46" t="str">
        <f>IF(OR(ISBLANK(N207),N207=0),"",Settings!$B$14)</f>
        <v>$</v>
      </c>
      <c r="N207" s="32">
        <f>SUM(N119:N134)</f>
        <v>54.400000000000006</v>
      </c>
      <c r="O207" s="46" t="str">
        <f>IF(OR(ISBLANK(P207),P207=0),"",Settings!$B$14)</f>
        <v/>
      </c>
      <c r="P207" s="32">
        <f>SUM(P119:P134)</f>
        <v>0</v>
      </c>
    </row>
    <row r="208" spans="1:16" s="45" customFormat="1" ht="15" customHeight="1">
      <c r="A208" s="50" t="str">
        <f>IF(ISBLANK('Stock Opening'!A208),"",'Stock Opening'!A208)</f>
        <v>CIDER</v>
      </c>
      <c r="C208" s="46"/>
      <c r="D208" s="46"/>
      <c r="E208" s="46"/>
      <c r="F208" s="46"/>
      <c r="G208" s="46"/>
      <c r="H208" s="46"/>
      <c r="I208" s="46" t="str">
        <f>IF(OR(ISBLANK(J208),J208=0),"",Settings!$B$14)</f>
        <v/>
      </c>
      <c r="J208" s="32">
        <f>SUM(J138:J146)</f>
        <v>0</v>
      </c>
      <c r="K208" s="46" t="str">
        <f>IF(OR(ISBLANK(L208),L208=0),"",Settings!$B$14)</f>
        <v/>
      </c>
      <c r="L208" s="32">
        <f>SUM(L138:L146)</f>
        <v>0</v>
      </c>
      <c r="M208" s="46" t="str">
        <f>IF(OR(ISBLANK(N208),N208=0),"",Settings!$B$14)</f>
        <v/>
      </c>
      <c r="N208" s="32">
        <f>SUM(N138:N146)</f>
        <v>0</v>
      </c>
      <c r="O208" s="46" t="str">
        <f>IF(OR(ISBLANK(P208),P208=0),"",Settings!$B$14)</f>
        <v/>
      </c>
      <c r="P208" s="32">
        <f>SUM(P138:P146)</f>
        <v>0</v>
      </c>
    </row>
    <row r="209" spans="1:16" s="45" customFormat="1" ht="15" customHeight="1">
      <c r="A209" s="50" t="str">
        <f>IF(ISBLANK('Stock Opening'!A209),"",'Stock Opening'!A209)</f>
        <v>MINERALS/JUICES</v>
      </c>
      <c r="C209" s="46"/>
      <c r="D209" s="46"/>
      <c r="E209" s="46"/>
      <c r="F209" s="46"/>
      <c r="G209" s="46"/>
      <c r="H209" s="46"/>
      <c r="I209" s="46" t="str">
        <f>IF(OR(ISBLANK(J209),J209=0),"",Settings!$B$14)</f>
        <v/>
      </c>
      <c r="J209" s="32">
        <f>SUM(J150:J169)</f>
        <v>0</v>
      </c>
      <c r="K209" s="46" t="str">
        <f>IF(OR(ISBLANK(L209),L209=0),"",Settings!$B$14)</f>
        <v>$</v>
      </c>
      <c r="L209" s="32">
        <f>SUM(L150:L169)</f>
        <v>1.0912500000000001</v>
      </c>
      <c r="M209" s="46" t="str">
        <f>IF(OR(ISBLANK(N209),N209=0),"",Settings!$B$14)</f>
        <v>$</v>
      </c>
      <c r="N209" s="32">
        <f>SUM(N150:N169)</f>
        <v>5.67</v>
      </c>
      <c r="O209" s="46" t="str">
        <f>IF(OR(ISBLANK(P209),P209=0),"",Settings!$B$14)</f>
        <v/>
      </c>
      <c r="P209" s="32">
        <f>SUM(P150:P169)</f>
        <v>0</v>
      </c>
    </row>
    <row r="210" spans="1:16" s="45" customFormat="1" ht="15" customHeight="1">
      <c r="A210" s="50" t="str">
        <f>IF(ISBLANK('Stock Opening'!A210),"",'Stock Opening'!A210)</f>
        <v>POST-MIX DRINKS</v>
      </c>
      <c r="C210" s="46"/>
      <c r="D210" s="46"/>
      <c r="E210" s="46"/>
      <c r="F210" s="46"/>
      <c r="G210" s="46"/>
      <c r="H210" s="46"/>
      <c r="I210" s="46" t="str">
        <f>IF(OR(ISBLANK(J210),J210=0),"",Settings!$B$14)</f>
        <v>$</v>
      </c>
      <c r="J210" s="32">
        <f>SUM(J173:J178)</f>
        <v>57.510000000000005</v>
      </c>
      <c r="K210" s="46" t="str">
        <f>IF(OR(ISBLANK(L210),L210=0),"",Settings!$B$14)</f>
        <v/>
      </c>
      <c r="L210" s="32">
        <f>SUM(L173:L178)</f>
        <v>0</v>
      </c>
      <c r="M210" s="46" t="str">
        <f>IF(OR(ISBLANK(N210),N210=0),"",Settings!$B$14)</f>
        <v/>
      </c>
      <c r="N210" s="32">
        <f>SUM(N173:N178)</f>
        <v>0</v>
      </c>
      <c r="O210" s="46" t="str">
        <f>IF(OR(ISBLANK(P210),P210=0),"",Settings!$B$14)</f>
        <v>$</v>
      </c>
      <c r="P210" s="32">
        <f>SUM(P173:P178)</f>
        <v>1980</v>
      </c>
    </row>
    <row r="211" spans="1:16" s="45" customFormat="1" ht="15" customHeight="1">
      <c r="A211" s="50" t="str">
        <f>IF(ISBLANK('Stock Opening'!A211),"",'Stock Opening'!A211)</f>
        <v>COMPRESSED GAS</v>
      </c>
      <c r="C211" s="46"/>
      <c r="D211" s="46"/>
      <c r="E211" s="46"/>
      <c r="F211" s="46"/>
      <c r="G211" s="46"/>
      <c r="H211" s="46"/>
      <c r="I211" s="46" t="str">
        <f>IF(OR(ISBLANK(J211),J211=0),"",Settings!$B$14)</f>
        <v>$</v>
      </c>
      <c r="J211" s="32">
        <f>SUM(J182:J185)</f>
        <v>44.05</v>
      </c>
      <c r="K211" s="46" t="str">
        <f>IF(OR(ISBLANK(L211),L211=0),"",Settings!$B$14)</f>
        <v>$</v>
      </c>
      <c r="L211" s="32">
        <f>SUM(L182:L185)</f>
        <v>50.03</v>
      </c>
      <c r="M211" s="198"/>
      <c r="N211" s="51"/>
      <c r="O211" s="198"/>
      <c r="P211" s="51"/>
    </row>
    <row r="212" spans="1:16" s="45" customFormat="1" ht="15" customHeight="1">
      <c r="A212" s="50" t="str">
        <f>IF(ISBLANK('Stock Opening'!A212),"",'Stock Opening'!A212)</f>
        <v xml:space="preserve">REUSABLE containers and bottles </v>
      </c>
      <c r="C212" s="46"/>
      <c r="D212" s="46"/>
      <c r="E212" s="46"/>
      <c r="F212" s="46"/>
      <c r="G212" s="46"/>
      <c r="H212" s="46"/>
      <c r="I212" s="46" t="str">
        <f>IF(OR(ISBLANK(J212),J212=0),"",Settings!$B$14)</f>
        <v>$</v>
      </c>
      <c r="J212" s="32">
        <f>-SUM(J189:J196)</f>
        <v>-33.950000000000003</v>
      </c>
      <c r="K212" s="46" t="str">
        <f>IF(OR(ISBLANK(L212),L212=0),"",Settings!$B$14)</f>
        <v>$</v>
      </c>
      <c r="L212" s="32">
        <f>SUM(L189:L196)</f>
        <v>17.149999999999999</v>
      </c>
      <c r="M212" s="198"/>
      <c r="N212" s="51"/>
      <c r="O212" s="198"/>
      <c r="P212" s="51"/>
    </row>
    <row r="213" spans="1:16" ht="6.95" customHeight="1">
      <c r="C213" s="53"/>
      <c r="D213" s="53"/>
      <c r="E213" s="53"/>
      <c r="F213" s="53"/>
      <c r="G213" s="53"/>
      <c r="H213" s="53"/>
      <c r="I213" s="53"/>
      <c r="J213" s="53"/>
      <c r="K213" s="53"/>
      <c r="L213" s="26"/>
      <c r="M213" s="62"/>
      <c r="N213" s="26"/>
      <c r="O213" s="26"/>
      <c r="P213" s="26"/>
    </row>
    <row r="214" spans="1:16" ht="15" customHeight="1">
      <c r="A214" s="54" t="str">
        <f>IF(ISBLANK('Stock Opening'!A214),"",'Stock Opening'!A214)</f>
        <v>TOTAL VALUE of STOCK</v>
      </c>
      <c r="B214" s="55"/>
      <c r="C214" s="21"/>
      <c r="D214" s="21"/>
      <c r="E214" s="21"/>
      <c r="F214" s="21"/>
      <c r="G214" s="21"/>
      <c r="H214" s="21"/>
      <c r="I214" s="21" t="str">
        <f>IF(OR(ISBLANK(J214),J214=0),"",Settings!$B$14)</f>
        <v>$</v>
      </c>
      <c r="J214" s="56">
        <f>SUM(J202:J212)</f>
        <v>237.59000000000003</v>
      </c>
      <c r="K214" s="21" t="str">
        <f>IF(OR(ISBLANK(L214),L214=0),"",Settings!$B$14)</f>
        <v>$</v>
      </c>
      <c r="L214" s="56">
        <f>SUM(L202:L211)</f>
        <v>361.65625</v>
      </c>
      <c r="M214" s="21" t="str">
        <f>IF(OR(ISBLANK(N214),N214=0),"",Settings!$B$14)</f>
        <v>$</v>
      </c>
      <c r="N214" s="56">
        <f>SUM(N202:N212)</f>
        <v>1394.5320000000002</v>
      </c>
      <c r="O214" s="21" t="str">
        <f>IF(OR(ISBLANK(P214),P214=0),"",Settings!$B$14)</f>
        <v>$</v>
      </c>
      <c r="P214" s="56">
        <f>SUM(P202:P212)</f>
        <v>2771.87</v>
      </c>
    </row>
    <row r="215" spans="1:16" ht="6.95" customHeight="1" thickBot="1">
      <c r="A215" s="24"/>
      <c r="B215" s="24"/>
      <c r="C215" s="1"/>
      <c r="D215" s="1"/>
      <c r="E215" s="1"/>
      <c r="F215" s="1"/>
      <c r="G215" s="1"/>
      <c r="H215" s="1"/>
      <c r="I215" s="1"/>
      <c r="J215" s="1"/>
      <c r="K215" s="1"/>
      <c r="L215" s="25"/>
      <c r="M215" s="62"/>
      <c r="N215" s="25"/>
      <c r="O215" s="25"/>
      <c r="P215" s="25"/>
    </row>
    <row r="216" spans="1:16" ht="18" customHeight="1" thickTop="1">
      <c r="A216" s="40"/>
      <c r="B216" s="40"/>
      <c r="C216" s="41"/>
      <c r="D216" s="41"/>
      <c r="E216" s="41"/>
      <c r="F216" s="41"/>
      <c r="G216" s="41"/>
      <c r="H216" s="41"/>
      <c r="I216" s="41"/>
      <c r="J216" s="41"/>
      <c r="K216" s="41"/>
      <c r="L216" s="42"/>
      <c r="M216" s="186"/>
      <c r="N216" s="42"/>
      <c r="O216" s="42"/>
      <c r="P216" s="42"/>
    </row>
    <row r="217" spans="1:16" ht="18" customHeight="1">
      <c r="A217" s="24"/>
      <c r="B217" s="24"/>
      <c r="C217" s="1"/>
      <c r="D217" s="1"/>
      <c r="E217" s="1"/>
      <c r="F217" s="1"/>
      <c r="G217" s="1"/>
      <c r="H217" s="1"/>
      <c r="I217" s="1"/>
      <c r="J217" s="1"/>
      <c r="K217" s="1"/>
      <c r="L217" s="25"/>
      <c r="M217" s="62"/>
      <c r="N217" s="25"/>
      <c r="O217" s="25"/>
      <c r="P217" s="25"/>
    </row>
    <row r="218" spans="1:16" ht="18" customHeight="1" thickBot="1">
      <c r="A218" s="38"/>
      <c r="B218" s="38"/>
      <c r="C218" s="43"/>
      <c r="D218" s="43"/>
      <c r="E218" s="43"/>
      <c r="F218" s="43"/>
      <c r="G218" s="43"/>
      <c r="H218" s="43"/>
      <c r="I218" s="43"/>
      <c r="J218" s="43"/>
      <c r="K218" s="235" t="s">
        <v>30</v>
      </c>
      <c r="L218" s="235"/>
      <c r="M218" s="235" t="s">
        <v>31</v>
      </c>
      <c r="N218" s="235"/>
      <c r="O218" s="44"/>
      <c r="P218" s="44"/>
    </row>
    <row r="219" spans="1:16" ht="6.95" customHeight="1" thickTop="1">
      <c r="A219" s="24"/>
      <c r="B219" s="24"/>
      <c r="C219" s="1"/>
      <c r="D219" s="1"/>
      <c r="E219" s="1"/>
      <c r="F219" s="1"/>
      <c r="G219" s="1"/>
      <c r="H219" s="1"/>
      <c r="I219" s="1"/>
      <c r="J219" s="1"/>
      <c r="K219" s="1"/>
      <c r="L219" s="25"/>
      <c r="M219" s="62"/>
      <c r="N219" s="25"/>
      <c r="O219" s="25"/>
      <c r="P219" s="25"/>
    </row>
    <row r="220" spans="1:16" ht="15" customHeight="1">
      <c r="A220" s="50" t="s">
        <v>192</v>
      </c>
      <c r="B220" s="50"/>
      <c r="C220" s="46"/>
      <c r="D220" s="46"/>
      <c r="E220" s="46"/>
      <c r="F220" s="46"/>
      <c r="G220" s="46"/>
      <c r="H220" s="46"/>
      <c r="I220" s="46"/>
      <c r="J220" s="46"/>
      <c r="K220" s="46" t="str">
        <f>IF(OR(ISBLANK(L220),L220=0),"",Settings!$B$14)</f>
        <v>$</v>
      </c>
      <c r="L220" s="32">
        <f>IF(OR(ISBLANK('Week 4'!L222),'Week 4'!L222=0),0,'Week 4'!L222)</f>
        <v>364.34424999999999</v>
      </c>
      <c r="M220" s="46" t="str">
        <f>IF(OR(ISBLANK(N220),N220=0),"",Settings!$B$14)</f>
        <v>$</v>
      </c>
      <c r="N220" s="32">
        <f>IF(OR(ISBLANK('Week 4'!N222),'Week 4'!N222=0),0,'Week 4'!N222)</f>
        <v>1400.2020000000002</v>
      </c>
      <c r="O220" s="28"/>
      <c r="P220" s="28"/>
    </row>
    <row r="221" spans="1:16" ht="15" customHeight="1">
      <c r="A221" s="50" t="s">
        <v>197</v>
      </c>
      <c r="B221" s="50"/>
      <c r="C221" s="46"/>
      <c r="D221" s="46"/>
      <c r="E221" s="46"/>
      <c r="F221" s="46"/>
      <c r="G221" s="46"/>
      <c r="H221" s="46"/>
      <c r="I221" s="46"/>
      <c r="J221" s="46"/>
      <c r="K221" s="46" t="str">
        <f>IF(OR(ISBLANK(L221),L221=0),"",Settings!$B$14)</f>
        <v>$</v>
      </c>
      <c r="L221" s="32">
        <f>IF(ISBLANK(J214),0,J214)</f>
        <v>237.59000000000003</v>
      </c>
      <c r="M221" s="46"/>
      <c r="N221" s="32"/>
      <c r="O221" s="28"/>
      <c r="P221" s="28"/>
    </row>
    <row r="222" spans="1:16" ht="15" customHeight="1">
      <c r="A222" s="50" t="s">
        <v>193</v>
      </c>
      <c r="B222" s="50"/>
      <c r="C222" s="46"/>
      <c r="D222" s="46"/>
      <c r="E222" s="46"/>
      <c r="F222" s="46"/>
      <c r="G222" s="46"/>
      <c r="H222" s="46"/>
      <c r="I222" s="46"/>
      <c r="J222" s="46"/>
      <c r="K222" s="46" t="str">
        <f>IF(OR(ISBLANK(L222),L222=0),"",Settings!$B$14)</f>
        <v>$</v>
      </c>
      <c r="L222" s="32">
        <f>IF(ISBLANK(L214),0,L214)</f>
        <v>361.65625</v>
      </c>
      <c r="M222" s="46" t="str">
        <f>IF(OR(ISBLANK(N222),N222=0),"",Settings!$B$14)</f>
        <v>$</v>
      </c>
      <c r="N222" s="32">
        <f>IF(ISBLANK(N214),0,N214)</f>
        <v>1394.5320000000002</v>
      </c>
      <c r="O222" s="28"/>
      <c r="P222" s="28"/>
    </row>
    <row r="223" spans="1:16" ht="15" customHeight="1">
      <c r="A223" s="50" t="s">
        <v>194</v>
      </c>
      <c r="B223" s="50"/>
      <c r="C223" s="46"/>
      <c r="D223" s="46"/>
      <c r="E223" s="46"/>
      <c r="F223" s="46"/>
      <c r="G223" s="46"/>
      <c r="H223" s="46"/>
      <c r="I223" s="46"/>
      <c r="J223" s="46"/>
      <c r="K223" s="46" t="str">
        <f>IF(OR(ISBLANK(L223),L223=0),"",Settings!$B$14)</f>
        <v/>
      </c>
      <c r="L223" s="32"/>
      <c r="M223" s="46" t="str">
        <f>IF(OR(ISBLANK(N223),N223=0),"",Settings!$B$14)</f>
        <v>$</v>
      </c>
      <c r="N223" s="32">
        <f>IF(ISBLANK(P214),0,P214)</f>
        <v>2771.87</v>
      </c>
      <c r="O223" s="28"/>
      <c r="P223" s="28"/>
    </row>
    <row r="224" spans="1:16" ht="15" customHeight="1">
      <c r="A224" s="50" t="str">
        <f>"WEEKLY SALES from POS inc "&amp;UPPER(Settings!B10)</f>
        <v>WEEKLY SALES from POS inc SALES TAX</v>
      </c>
      <c r="B224" s="50"/>
      <c r="C224" s="46"/>
      <c r="D224" s="46"/>
      <c r="E224" s="46"/>
      <c r="F224" s="46"/>
      <c r="G224" s="46"/>
      <c r="H224" s="46"/>
      <c r="I224" s="46"/>
      <c r="J224" s="46"/>
      <c r="K224" s="46" t="str">
        <f>IF(OR(ISBLANK(L224),L224=0),"",Settings!$B$14)</f>
        <v/>
      </c>
      <c r="L224" s="32"/>
      <c r="M224" s="46" t="str">
        <f>IF(OR(ISBLANK(N224),N224=0),"",Settings!$B$14)</f>
        <v/>
      </c>
      <c r="N224" s="32">
        <f>Budget!$K$22</f>
        <v>0</v>
      </c>
      <c r="O224" s="28"/>
      <c r="P224" s="28"/>
    </row>
    <row r="225" spans="1:16" ht="15" customHeight="1">
      <c r="A225" s="50" t="s">
        <v>195</v>
      </c>
      <c r="B225" s="50"/>
      <c r="C225" s="46"/>
      <c r="D225" s="46"/>
      <c r="E225" s="46"/>
      <c r="F225" s="46"/>
      <c r="G225" s="46"/>
      <c r="H225" s="46"/>
      <c r="I225" s="46"/>
      <c r="J225" s="46"/>
      <c r="K225" s="46" t="str">
        <f>IF(OR(ISBLANK(L225),L225=0),"",Settings!$B$14)</f>
        <v/>
      </c>
      <c r="L225" s="32"/>
      <c r="M225" s="46" t="str">
        <f>IF(OR(ISBLANK(N225),N225=0),"",Settings!$B$14)</f>
        <v/>
      </c>
      <c r="N225" s="32">
        <f>N224/(1+Settings!$B$12/1)</f>
        <v>0</v>
      </c>
      <c r="O225" s="28"/>
      <c r="P225" s="28"/>
    </row>
    <row r="226" spans="1:16" ht="6.95" customHeight="1">
      <c r="A226" s="50"/>
      <c r="B226" s="50"/>
      <c r="C226" s="46"/>
      <c r="D226" s="46"/>
      <c r="E226" s="46"/>
      <c r="F226" s="46"/>
      <c r="G226" s="46"/>
      <c r="H226" s="46"/>
      <c r="I226" s="46"/>
      <c r="J226" s="46"/>
      <c r="K226" s="46"/>
      <c r="L226" s="32"/>
      <c r="M226" s="46"/>
      <c r="N226" s="32"/>
      <c r="O226" s="28"/>
      <c r="P226" s="28"/>
    </row>
    <row r="227" spans="1:16" ht="15" customHeight="1">
      <c r="A227" s="181" t="s">
        <v>196</v>
      </c>
      <c r="B227" s="181"/>
      <c r="C227" s="199"/>
      <c r="D227" s="199"/>
      <c r="E227" s="199"/>
      <c r="F227" s="199"/>
      <c r="G227" s="199"/>
      <c r="H227" s="199"/>
      <c r="I227" s="199"/>
      <c r="J227" s="199"/>
      <c r="K227" s="199"/>
      <c r="L227" s="34"/>
      <c r="M227" s="256" t="str">
        <f>IF(N224=0,"",1-((L220+L221-L222)/N225))</f>
        <v/>
      </c>
      <c r="N227" s="256"/>
      <c r="O227" s="200"/>
      <c r="P227" s="200"/>
    </row>
    <row r="228" spans="1:16" ht="6.95" customHeight="1" thickBot="1">
      <c r="A228" s="24"/>
      <c r="B228" s="24"/>
      <c r="C228" s="1"/>
      <c r="D228" s="1"/>
      <c r="E228" s="1"/>
      <c r="F228" s="1"/>
      <c r="G228" s="1"/>
      <c r="H228" s="1"/>
      <c r="I228" s="1"/>
      <c r="J228" s="1"/>
      <c r="K228" s="1"/>
      <c r="L228" s="25"/>
      <c r="M228" s="62"/>
      <c r="N228" s="25"/>
      <c r="O228" s="25"/>
      <c r="P228" s="25"/>
    </row>
    <row r="229" spans="1:16" ht="18" customHeight="1" thickTop="1">
      <c r="A229" s="174"/>
      <c r="B229" s="174"/>
      <c r="C229" s="167"/>
      <c r="D229" s="167"/>
      <c r="E229" s="167"/>
      <c r="F229" s="167"/>
      <c r="G229" s="167"/>
      <c r="H229" s="167"/>
      <c r="I229" s="167"/>
      <c r="J229" s="167"/>
      <c r="K229" s="167"/>
      <c r="L229" s="175"/>
      <c r="M229" s="167"/>
      <c r="N229" s="167"/>
      <c r="O229" s="167"/>
      <c r="P229" s="167"/>
    </row>
    <row r="230" spans="1:16" ht="5.0999999999999996" customHeight="1">
      <c r="C230" s="72"/>
      <c r="D230" s="72"/>
      <c r="E230" s="53"/>
      <c r="F230" s="53"/>
      <c r="G230" s="53"/>
      <c r="H230" s="53"/>
      <c r="I230" s="53"/>
      <c r="J230" s="53"/>
      <c r="K230" s="53"/>
      <c r="L230" s="62"/>
      <c r="M230" s="62"/>
      <c r="N230" s="62"/>
      <c r="O230" s="62"/>
      <c r="P230" s="62"/>
    </row>
  </sheetData>
  <sheetProtection password="F349" sheet="1" objects="1" scenarios="1" selectLockedCells="1"/>
  <protectedRanges>
    <protectedRange sqref="E12:G55" name="Spirits"/>
    <protectedRange sqref="E59:G72" name="Fortified Wines"/>
    <protectedRange sqref="E76:G97" name="Table Wines"/>
    <protectedRange sqref="E101:G106" name="Draught Beer"/>
    <protectedRange sqref="E110:G115" name="Draught Lager"/>
    <protectedRange sqref="E138:G146 E119:G134" name="Bottled Beer"/>
    <protectedRange sqref="E189:G196 E150:G169 E173:G178 E182:G185" name="Minerals"/>
    <protectedRange sqref="E186:G186 E197:G197 E199:G223" name="Containers"/>
  </protectedRanges>
  <mergeCells count="57">
    <mergeCell ref="K218:L218"/>
    <mergeCell ref="M218:N218"/>
    <mergeCell ref="M227:N227"/>
    <mergeCell ref="K200:L200"/>
    <mergeCell ref="M200:N200"/>
    <mergeCell ref="I187:J187"/>
    <mergeCell ref="K187:L187"/>
    <mergeCell ref="M187:N187"/>
    <mergeCell ref="O187:P187"/>
    <mergeCell ref="O200:P200"/>
    <mergeCell ref="I200:J200"/>
    <mergeCell ref="I198:J198"/>
    <mergeCell ref="K198:L198"/>
    <mergeCell ref="M198:N198"/>
    <mergeCell ref="O198:P198"/>
    <mergeCell ref="I171:J171"/>
    <mergeCell ref="K171:L171"/>
    <mergeCell ref="M171:N171"/>
    <mergeCell ref="O171:P171"/>
    <mergeCell ref="I180:J180"/>
    <mergeCell ref="K180:L180"/>
    <mergeCell ref="M180:N180"/>
    <mergeCell ref="O180:P180"/>
    <mergeCell ref="I136:J136"/>
    <mergeCell ref="K136:L136"/>
    <mergeCell ref="M136:N136"/>
    <mergeCell ref="O136:P136"/>
    <mergeCell ref="I148:J148"/>
    <mergeCell ref="K148:L148"/>
    <mergeCell ref="M148:N148"/>
    <mergeCell ref="O148:P148"/>
    <mergeCell ref="I108:J108"/>
    <mergeCell ref="K108:L108"/>
    <mergeCell ref="M108:N108"/>
    <mergeCell ref="O108:P108"/>
    <mergeCell ref="I117:J117"/>
    <mergeCell ref="K117:L117"/>
    <mergeCell ref="M117:N117"/>
    <mergeCell ref="O117:P117"/>
    <mergeCell ref="I74:J74"/>
    <mergeCell ref="K74:L74"/>
    <mergeCell ref="M74:N74"/>
    <mergeCell ref="O74:P74"/>
    <mergeCell ref="I99:J99"/>
    <mergeCell ref="K99:L99"/>
    <mergeCell ref="M99:N99"/>
    <mergeCell ref="O99:P99"/>
    <mergeCell ref="C8:H8"/>
    <mergeCell ref="K10:L10"/>
    <mergeCell ref="M10:N10"/>
    <mergeCell ref="O10:P10"/>
    <mergeCell ref="K57:L57"/>
    <mergeCell ref="M57:N57"/>
    <mergeCell ref="O57:P57"/>
    <mergeCell ref="I8:P8"/>
    <mergeCell ref="I10:J10"/>
    <mergeCell ref="I57:J57"/>
  </mergeCells>
  <phoneticPr fontId="5" type="noConversion"/>
  <pageMargins left="0.15748031496062992" right="0.15748031496062992" top="0.19685039370078741" bottom="0.19685039370078741" header="0.51181102362204722" footer="0.51181102362204722"/>
  <pageSetup paperSize="9" scale="9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18</vt:i4>
      </vt:variant>
    </vt:vector>
  </HeadingPairs>
  <TitlesOfParts>
    <vt:vector size="30" baseType="lpstr">
      <vt:lpstr>Settings</vt:lpstr>
      <vt:lpstr>Inventory</vt:lpstr>
      <vt:lpstr>Budget</vt:lpstr>
      <vt:lpstr>Stock Opening</vt:lpstr>
      <vt:lpstr>Week 1</vt:lpstr>
      <vt:lpstr>Week 2</vt:lpstr>
      <vt:lpstr>Week 3</vt:lpstr>
      <vt:lpstr>Week 4</vt:lpstr>
      <vt:lpstr>Week 5</vt:lpstr>
      <vt:lpstr>Key Lines</vt:lpstr>
      <vt:lpstr>HELP</vt:lpstr>
      <vt:lpstr>EULA</vt:lpstr>
      <vt:lpstr>bb_size</vt:lpstr>
      <vt:lpstr>case</vt:lpstr>
      <vt:lpstr>case_size</vt:lpstr>
      <vt:lpstr>draught_beer</vt:lpstr>
      <vt:lpstr>draught_beer_size</vt:lpstr>
      <vt:lpstr>min_port</vt:lpstr>
      <vt:lpstr>min_size</vt:lpstr>
      <vt:lpstr>Budget!Print_Area</vt:lpstr>
      <vt:lpstr>Inventory!Print_Area</vt:lpstr>
      <vt:lpstr>'Key Lines'!Print_Area</vt:lpstr>
      <vt:lpstr>'Stock Opening'!Print_Area</vt:lpstr>
      <vt:lpstr>'Week 1'!Print_Area</vt:lpstr>
      <vt:lpstr>'Week 2'!Print_Area</vt:lpstr>
      <vt:lpstr>'Week 3'!Print_Area</vt:lpstr>
      <vt:lpstr>'Week 4'!Print_Area</vt:lpstr>
      <vt:lpstr>'Week 5'!Print_Area</vt:lpstr>
      <vt:lpstr>spirit_size</vt:lpstr>
      <vt:lpstr>spirits</vt:lpstr>
    </vt:vector>
  </TitlesOfParts>
  <Company>Spreadsheet123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Beverage Stocktake</dc:title>
  <dc:creator>Spreadsheet123.com</dc:creator>
  <dc:description>© 2019 Spreadsheet123 LTD. All rights reserved</dc:description>
  <cp:lastModifiedBy>Alex Bejanishvili</cp:lastModifiedBy>
  <cp:lastPrinted>2013-10-07T19:38:34Z</cp:lastPrinted>
  <dcterms:created xsi:type="dcterms:W3CDTF">2009-05-16T19:32:06Z</dcterms:created>
  <dcterms:modified xsi:type="dcterms:W3CDTF">2019-04-04T12:31:29Z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 2019 Spreadsheet123 LTD</vt:lpwstr>
  </property>
  <property fmtid="{D5CDD505-2E9C-101B-9397-08002B2CF9AE}" pid="3" name="Version">
    <vt:lpwstr>1.0.4</vt:lpwstr>
  </property>
</Properties>
</file>