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activeTab="1"/>
  </bookViews>
  <sheets>
    <sheet name="AutoLoanCalculator" sheetId="3" r:id="rId1"/>
    <sheet name="PaymentCalculator" sheetId="1" r:id="rId2"/>
    <sheet name="LoanComparisons" sheetId="5" r:id="rId3"/>
  </sheets>
  <definedNames>
    <definedName name="fpdate">PaymentCalculator!$D$8</definedName>
    <definedName name="loan_amount">PaymentCalculator!$D$5</definedName>
    <definedName name="months_per_period">PaymentCalculator!$O$13</definedName>
    <definedName name="nper">PaymentCalculator!$D$12</definedName>
    <definedName name="payment">PaymentCalculator!$D$14</definedName>
    <definedName name="periods_per_year">PaymentCalculator!$N$13</definedName>
    <definedName name="_xlnm.Print_Area" localSheetId="0">AutoLoanCalculator!$A$1:$F$39</definedName>
    <definedName name="_xlnm.Print_Area" localSheetId="2">LoanComparisons!$A$1:$H$57</definedName>
    <definedName name="_xlnm.Print_Area" localSheetId="1">OFFSET(PaymentCalculator!$A$1,0,0,ROW(PaymentCalculator!$A$19)+1+PaymentCalculator!$H$8,COLUMN(PaymentCalculator!$H$5)+1)</definedName>
    <definedName name="_xlnm.Print_Titles" localSheetId="1">PaymentCalculator!$19:$19</definedName>
    <definedName name="rate">PaymentCalculator!$D$13</definedName>
    <definedName name="term">PaymentCalculator!$D$7</definedName>
    <definedName name="valuevx">42.314159</definedName>
    <definedName name="vertex42_copyright" hidden="1">"© 2007-2019 Vertex42 LLC"</definedName>
    <definedName name="vertex42_id" hidden="1">"auto-loan-calculator.xlsx"</definedName>
    <definedName name="vertex42_title" hidden="1">"Auto Loan Calculator"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7" i="5" l="1"/>
  <c r="D38" i="5"/>
  <c r="D39" i="5"/>
  <c r="D40" i="5"/>
  <c r="D41" i="5"/>
  <c r="D36" i="5"/>
  <c r="C37" i="5"/>
  <c r="C38" i="5"/>
  <c r="C39" i="5"/>
  <c r="C40" i="5"/>
  <c r="C41" i="5"/>
  <c r="C36" i="5"/>
  <c r="C22" i="5"/>
  <c r="C23" i="5"/>
  <c r="C24" i="5"/>
  <c r="C25" i="5"/>
  <c r="C26" i="5"/>
  <c r="C27" i="5"/>
  <c r="C28" i="5"/>
  <c r="C29" i="5"/>
  <c r="C30" i="5"/>
  <c r="C31" i="5"/>
  <c r="C32" i="5"/>
  <c r="C21" i="5"/>
  <c r="C10" i="5"/>
  <c r="C11" i="5"/>
  <c r="B11" i="5" s="1"/>
  <c r="C12" i="5"/>
  <c r="C13" i="5"/>
  <c r="C14" i="5"/>
  <c r="C15" i="5"/>
  <c r="B15" i="5" s="1"/>
  <c r="C16" i="5"/>
  <c r="C17" i="5"/>
  <c r="B17" i="5" s="1"/>
  <c r="C9" i="5"/>
  <c r="B9" i="5" s="1"/>
  <c r="B10" i="5"/>
  <c r="B12" i="5"/>
  <c r="B13" i="5"/>
  <c r="B14" i="5"/>
  <c r="B16" i="5"/>
  <c r="D13" i="1" l="1"/>
  <c r="D14" i="1"/>
  <c r="D16" i="1"/>
  <c r="O20" i="1" l="1"/>
  <c r="N13" i="1"/>
  <c r="D12" i="1" s="1"/>
  <c r="M21" i="1" s="1"/>
  <c r="O13" i="1"/>
  <c r="M22" i="1" l="1"/>
  <c r="N21" i="1"/>
  <c r="M23" i="1" l="1"/>
  <c r="N22" i="1"/>
  <c r="D10" i="5"/>
  <c r="D11" i="5"/>
  <c r="D12" i="5"/>
  <c r="D13" i="5"/>
  <c r="D14" i="5"/>
  <c r="D15" i="5"/>
  <c r="D16" i="5"/>
  <c r="D17" i="5"/>
  <c r="D9" i="5"/>
  <c r="C4" i="5"/>
  <c r="C5" i="5"/>
  <c r="F4" i="5"/>
  <c r="F5" i="5"/>
  <c r="B48" i="5"/>
  <c r="C48" i="5"/>
  <c r="B49" i="5"/>
  <c r="C49" i="5"/>
  <c r="B50" i="5"/>
  <c r="C50" i="5"/>
  <c r="D50" i="5" s="1"/>
  <c r="B51" i="5"/>
  <c r="C51" i="5"/>
  <c r="B52" i="5"/>
  <c r="C52" i="5"/>
  <c r="B53" i="5"/>
  <c r="C53" i="5"/>
  <c r="B54" i="5"/>
  <c r="C54" i="5"/>
  <c r="D54" i="5" s="1"/>
  <c r="B21" i="5"/>
  <c r="D21" i="5" s="1"/>
  <c r="A22" i="5"/>
  <c r="B22" i="5" s="1"/>
  <c r="D22" i="5" s="1"/>
  <c r="B36" i="5"/>
  <c r="A37" i="5"/>
  <c r="B37" i="5" s="1"/>
  <c r="A38" i="5"/>
  <c r="B38" i="5" s="1"/>
  <c r="A39" i="5"/>
  <c r="A40" i="5"/>
  <c r="B40" i="5" s="1"/>
  <c r="A41" i="5"/>
  <c r="B41" i="5" s="1"/>
  <c r="D9" i="3"/>
  <c r="D15" i="3" s="1"/>
  <c r="D16" i="3" s="1"/>
  <c r="D28" i="3"/>
  <c r="H20" i="1"/>
  <c r="A21" i="1" s="1"/>
  <c r="B21" i="1" s="1"/>
  <c r="M24" i="1" l="1"/>
  <c r="N23" i="1"/>
  <c r="O22" i="1"/>
  <c r="O24" i="1"/>
  <c r="O23" i="1"/>
  <c r="O21" i="1"/>
  <c r="C21" i="1"/>
  <c r="D15" i="1"/>
  <c r="D38" i="3"/>
  <c r="F21" i="1"/>
  <c r="B39" i="5"/>
  <c r="D51" i="5"/>
  <c r="D53" i="5"/>
  <c r="A23" i="5"/>
  <c r="D52" i="5"/>
  <c r="D49" i="5"/>
  <c r="D48" i="5"/>
  <c r="M25" i="1" l="1"/>
  <c r="N24" i="1"/>
  <c r="G21" i="1"/>
  <c r="H21" i="1" s="1"/>
  <c r="A22" i="1" s="1"/>
  <c r="B22" i="1" s="1"/>
  <c r="A24" i="5"/>
  <c r="B23" i="5"/>
  <c r="D23" i="5" s="1"/>
  <c r="M26" i="1" l="1"/>
  <c r="N25" i="1"/>
  <c r="O25" i="1"/>
  <c r="F22" i="1"/>
  <c r="C22" i="1"/>
  <c r="G22" i="1" s="1"/>
  <c r="H22" i="1" s="1"/>
  <c r="B24" i="5"/>
  <c r="D24" i="5" s="1"/>
  <c r="A25" i="5"/>
  <c r="M27" i="1" l="1"/>
  <c r="N26" i="1"/>
  <c r="O26" i="1"/>
  <c r="A23" i="1"/>
  <c r="C23" i="1" s="1"/>
  <c r="A26" i="5"/>
  <c r="B25" i="5"/>
  <c r="D25" i="5" s="1"/>
  <c r="M28" i="1" l="1"/>
  <c r="N27" i="1"/>
  <c r="O27" i="1"/>
  <c r="F23" i="1"/>
  <c r="G23" i="1" s="1"/>
  <c r="H23" i="1" s="1"/>
  <c r="B23" i="1"/>
  <c r="B26" i="5"/>
  <c r="D26" i="5" s="1"/>
  <c r="A27" i="5"/>
  <c r="M29" i="1" l="1"/>
  <c r="N28" i="1"/>
  <c r="O28" i="1"/>
  <c r="A24" i="1"/>
  <c r="A28" i="5"/>
  <c r="B27" i="5"/>
  <c r="D27" i="5" s="1"/>
  <c r="M30" i="1" l="1"/>
  <c r="N29" i="1"/>
  <c r="O29" i="1"/>
  <c r="B24" i="1"/>
  <c r="C24" i="1"/>
  <c r="F24" i="1"/>
  <c r="B28" i="5"/>
  <c r="D28" i="5" s="1"/>
  <c r="A29" i="5"/>
  <c r="M31" i="1" l="1"/>
  <c r="N30" i="1"/>
  <c r="O30" i="1"/>
  <c r="G24" i="1"/>
  <c r="H24" i="1" s="1"/>
  <c r="A25" i="1" s="1"/>
  <c r="A30" i="5"/>
  <c r="B29" i="5"/>
  <c r="D29" i="5" s="1"/>
  <c r="M32" i="1" l="1"/>
  <c r="N31" i="1"/>
  <c r="O31" i="1"/>
  <c r="B25" i="1"/>
  <c r="C25" i="1"/>
  <c r="F25" i="1"/>
  <c r="B30" i="5"/>
  <c r="D30" i="5" s="1"/>
  <c r="A31" i="5"/>
  <c r="G25" i="1" l="1"/>
  <c r="H25" i="1" s="1"/>
  <c r="A26" i="1" s="1"/>
  <c r="M33" i="1"/>
  <c r="N32" i="1"/>
  <c r="O32" i="1"/>
  <c r="A32" i="5"/>
  <c r="B32" i="5" s="1"/>
  <c r="D32" i="5" s="1"/>
  <c r="B31" i="5"/>
  <c r="D31" i="5" s="1"/>
  <c r="M34" i="1" l="1"/>
  <c r="N33" i="1"/>
  <c r="O33" i="1"/>
  <c r="B26" i="1"/>
  <c r="C26" i="1"/>
  <c r="F26" i="1"/>
  <c r="M35" i="1" l="1"/>
  <c r="N34" i="1"/>
  <c r="O34" i="1"/>
  <c r="G26" i="1"/>
  <c r="H26" i="1" s="1"/>
  <c r="M36" i="1" l="1"/>
  <c r="N35" i="1"/>
  <c r="O35" i="1"/>
  <c r="A27" i="1"/>
  <c r="M37" i="1" l="1"/>
  <c r="N36" i="1"/>
  <c r="O36" i="1"/>
  <c r="B27" i="1"/>
  <c r="C27" i="1"/>
  <c r="F27" i="1"/>
  <c r="M38" i="1" l="1"/>
  <c r="N37" i="1"/>
  <c r="O37" i="1"/>
  <c r="G27" i="1"/>
  <c r="H27" i="1" s="1"/>
  <c r="A28" i="1" s="1"/>
  <c r="M39" i="1" l="1"/>
  <c r="N38" i="1"/>
  <c r="O38" i="1"/>
  <c r="B28" i="1"/>
  <c r="C28" i="1"/>
  <c r="F28" i="1"/>
  <c r="M40" i="1" l="1"/>
  <c r="N39" i="1"/>
  <c r="O39" i="1"/>
  <c r="G28" i="1"/>
  <c r="H28" i="1" s="1"/>
  <c r="M41" i="1" l="1"/>
  <c r="N40" i="1"/>
  <c r="O40" i="1"/>
  <c r="A29" i="1"/>
  <c r="M42" i="1" l="1"/>
  <c r="N41" i="1"/>
  <c r="O41" i="1"/>
  <c r="B29" i="1"/>
  <c r="C29" i="1"/>
  <c r="F29" i="1"/>
  <c r="M43" i="1" l="1"/>
  <c r="N42" i="1"/>
  <c r="O42" i="1"/>
  <c r="G29" i="1"/>
  <c r="H29" i="1" s="1"/>
  <c r="A30" i="1" s="1"/>
  <c r="M44" i="1" l="1"/>
  <c r="N43" i="1"/>
  <c r="O43" i="1"/>
  <c r="B30" i="1"/>
  <c r="C30" i="1"/>
  <c r="F30" i="1"/>
  <c r="M45" i="1" l="1"/>
  <c r="N44" i="1"/>
  <c r="O44" i="1"/>
  <c r="G30" i="1"/>
  <c r="H30" i="1" s="1"/>
  <c r="A31" i="1" s="1"/>
  <c r="M46" i="1" l="1"/>
  <c r="N45" i="1"/>
  <c r="O45" i="1"/>
  <c r="B31" i="1"/>
  <c r="C31" i="1"/>
  <c r="F31" i="1"/>
  <c r="M47" i="1" l="1"/>
  <c r="N46" i="1"/>
  <c r="O46" i="1"/>
  <c r="G31" i="1"/>
  <c r="H31" i="1" s="1"/>
  <c r="M48" i="1" l="1"/>
  <c r="N47" i="1"/>
  <c r="O47" i="1"/>
  <c r="A32" i="1"/>
  <c r="M49" i="1" l="1"/>
  <c r="N48" i="1"/>
  <c r="O48" i="1"/>
  <c r="B32" i="1"/>
  <c r="C32" i="1"/>
  <c r="F32" i="1"/>
  <c r="M50" i="1" l="1"/>
  <c r="N49" i="1"/>
  <c r="O49" i="1"/>
  <c r="G32" i="1"/>
  <c r="H32" i="1" s="1"/>
  <c r="A33" i="1" s="1"/>
  <c r="M51" i="1" l="1"/>
  <c r="N50" i="1"/>
  <c r="O50" i="1"/>
  <c r="B33" i="1"/>
  <c r="C33" i="1"/>
  <c r="F33" i="1"/>
  <c r="M52" i="1" l="1"/>
  <c r="N51" i="1"/>
  <c r="O51" i="1"/>
  <c r="G33" i="1"/>
  <c r="H33" i="1" s="1"/>
  <c r="M53" i="1" l="1"/>
  <c r="N52" i="1"/>
  <c r="O52" i="1"/>
  <c r="A34" i="1"/>
  <c r="M54" i="1" l="1"/>
  <c r="N53" i="1"/>
  <c r="O53" i="1"/>
  <c r="B34" i="1"/>
  <c r="C34" i="1"/>
  <c r="F34" i="1"/>
  <c r="M55" i="1" l="1"/>
  <c r="N54" i="1"/>
  <c r="O54" i="1"/>
  <c r="G34" i="1"/>
  <c r="H34" i="1" s="1"/>
  <c r="A35" i="1" s="1"/>
  <c r="M56" i="1" l="1"/>
  <c r="N55" i="1"/>
  <c r="O55" i="1"/>
  <c r="B35" i="1"/>
  <c r="C35" i="1"/>
  <c r="F35" i="1"/>
  <c r="M57" i="1" l="1"/>
  <c r="N56" i="1"/>
  <c r="O56" i="1"/>
  <c r="G35" i="1"/>
  <c r="H35" i="1" s="1"/>
  <c r="M58" i="1" l="1"/>
  <c r="N57" i="1"/>
  <c r="O57" i="1"/>
  <c r="A36" i="1"/>
  <c r="M59" i="1" l="1"/>
  <c r="N58" i="1"/>
  <c r="O58" i="1"/>
  <c r="B36" i="1"/>
  <c r="C36" i="1"/>
  <c r="F36" i="1"/>
  <c r="M60" i="1" l="1"/>
  <c r="N59" i="1"/>
  <c r="O59" i="1"/>
  <c r="G36" i="1"/>
  <c r="H36" i="1" s="1"/>
  <c r="M61" i="1" l="1"/>
  <c r="N60" i="1"/>
  <c r="O60" i="1"/>
  <c r="A37" i="1"/>
  <c r="M62" i="1" l="1"/>
  <c r="N61" i="1"/>
  <c r="O61" i="1"/>
  <c r="B37" i="1"/>
  <c r="C37" i="1"/>
  <c r="F37" i="1"/>
  <c r="M63" i="1" l="1"/>
  <c r="N62" i="1"/>
  <c r="O62" i="1"/>
  <c r="G37" i="1"/>
  <c r="H37" i="1" s="1"/>
  <c r="A38" i="1" s="1"/>
  <c r="M64" i="1" l="1"/>
  <c r="N63" i="1"/>
  <c r="O63" i="1"/>
  <c r="B38" i="1"/>
  <c r="C38" i="1"/>
  <c r="F38" i="1"/>
  <c r="M65" i="1" l="1"/>
  <c r="N64" i="1"/>
  <c r="O64" i="1"/>
  <c r="G38" i="1"/>
  <c r="H38" i="1" s="1"/>
  <c r="M66" i="1" l="1"/>
  <c r="N65" i="1"/>
  <c r="O65" i="1"/>
  <c r="A39" i="1"/>
  <c r="M67" i="1" l="1"/>
  <c r="N66" i="1"/>
  <c r="O66" i="1"/>
  <c r="B39" i="1"/>
  <c r="C39" i="1"/>
  <c r="F39" i="1"/>
  <c r="M68" i="1" l="1"/>
  <c r="N67" i="1"/>
  <c r="O67" i="1"/>
  <c r="G39" i="1"/>
  <c r="H39" i="1" s="1"/>
  <c r="A40" i="1" s="1"/>
  <c r="M69" i="1" l="1"/>
  <c r="N68" i="1"/>
  <c r="O68" i="1"/>
  <c r="B40" i="1"/>
  <c r="C40" i="1"/>
  <c r="F40" i="1"/>
  <c r="M70" i="1" l="1"/>
  <c r="N69" i="1"/>
  <c r="O69" i="1"/>
  <c r="G40" i="1"/>
  <c r="H40" i="1" s="1"/>
  <c r="A41" i="1" s="1"/>
  <c r="M71" i="1" l="1"/>
  <c r="N70" i="1"/>
  <c r="O70" i="1"/>
  <c r="B41" i="1"/>
  <c r="C41" i="1"/>
  <c r="F41" i="1"/>
  <c r="M72" i="1" l="1"/>
  <c r="N71" i="1"/>
  <c r="O71" i="1"/>
  <c r="G41" i="1"/>
  <c r="H41" i="1" s="1"/>
  <c r="A42" i="1" s="1"/>
  <c r="M73" i="1" l="1"/>
  <c r="N72" i="1"/>
  <c r="O72" i="1"/>
  <c r="B42" i="1"/>
  <c r="C42" i="1"/>
  <c r="F42" i="1"/>
  <c r="M74" i="1" l="1"/>
  <c r="N73" i="1"/>
  <c r="O73" i="1"/>
  <c r="G42" i="1"/>
  <c r="H42" i="1" s="1"/>
  <c r="A43" i="1" s="1"/>
  <c r="M75" i="1" l="1"/>
  <c r="N74" i="1"/>
  <c r="O74" i="1"/>
  <c r="B43" i="1"/>
  <c r="C43" i="1"/>
  <c r="F43" i="1"/>
  <c r="M76" i="1" l="1"/>
  <c r="N75" i="1"/>
  <c r="O75" i="1"/>
  <c r="G43" i="1"/>
  <c r="H43" i="1" s="1"/>
  <c r="M77" i="1" l="1"/>
  <c r="N76" i="1"/>
  <c r="O76" i="1"/>
  <c r="A44" i="1"/>
  <c r="M78" i="1" l="1"/>
  <c r="N77" i="1"/>
  <c r="O77" i="1"/>
  <c r="B44" i="1"/>
  <c r="C44" i="1"/>
  <c r="F44" i="1"/>
  <c r="M79" i="1" l="1"/>
  <c r="N78" i="1"/>
  <c r="O78" i="1"/>
  <c r="G44" i="1"/>
  <c r="H44" i="1" s="1"/>
  <c r="A45" i="1" s="1"/>
  <c r="M80" i="1" l="1"/>
  <c r="N79" i="1"/>
  <c r="O79" i="1"/>
  <c r="B45" i="1"/>
  <c r="C45" i="1"/>
  <c r="F45" i="1"/>
  <c r="M81" i="1" l="1"/>
  <c r="N80" i="1"/>
  <c r="O80" i="1"/>
  <c r="G45" i="1"/>
  <c r="H45" i="1" s="1"/>
  <c r="A46" i="1" s="1"/>
  <c r="M82" i="1" l="1"/>
  <c r="N81" i="1"/>
  <c r="O81" i="1"/>
  <c r="B46" i="1"/>
  <c r="C46" i="1"/>
  <c r="F46" i="1"/>
  <c r="M83" i="1" l="1"/>
  <c r="N82" i="1"/>
  <c r="O82" i="1"/>
  <c r="G46" i="1"/>
  <c r="H46" i="1" s="1"/>
  <c r="A47" i="1" s="1"/>
  <c r="M84" i="1" l="1"/>
  <c r="N83" i="1"/>
  <c r="O83" i="1"/>
  <c r="B47" i="1"/>
  <c r="C47" i="1"/>
  <c r="F47" i="1"/>
  <c r="M85" i="1" l="1"/>
  <c r="N84" i="1"/>
  <c r="O84" i="1"/>
  <c r="G47" i="1"/>
  <c r="H47" i="1" s="1"/>
  <c r="A48" i="1" s="1"/>
  <c r="M86" i="1" l="1"/>
  <c r="N85" i="1"/>
  <c r="O85" i="1"/>
  <c r="B48" i="1"/>
  <c r="C48" i="1"/>
  <c r="F48" i="1"/>
  <c r="M87" i="1" l="1"/>
  <c r="N86" i="1"/>
  <c r="O86" i="1"/>
  <c r="G48" i="1"/>
  <c r="H48" i="1" s="1"/>
  <c r="A49" i="1" s="1"/>
  <c r="M88" i="1" l="1"/>
  <c r="N87" i="1"/>
  <c r="O87" i="1"/>
  <c r="B49" i="1"/>
  <c r="C49" i="1"/>
  <c r="F49" i="1"/>
  <c r="M89" i="1" l="1"/>
  <c r="N88" i="1"/>
  <c r="O88" i="1"/>
  <c r="G49" i="1"/>
  <c r="H49" i="1" s="1"/>
  <c r="A50" i="1" s="1"/>
  <c r="M90" i="1" l="1"/>
  <c r="N89" i="1"/>
  <c r="O89" i="1"/>
  <c r="B50" i="1"/>
  <c r="C50" i="1"/>
  <c r="F50" i="1"/>
  <c r="M91" i="1" l="1"/>
  <c r="N90" i="1"/>
  <c r="O90" i="1"/>
  <c r="G50" i="1"/>
  <c r="H50" i="1" s="1"/>
  <c r="A51" i="1" s="1"/>
  <c r="M92" i="1" l="1"/>
  <c r="N91" i="1"/>
  <c r="O91" i="1"/>
  <c r="B51" i="1"/>
  <c r="C51" i="1"/>
  <c r="F51" i="1"/>
  <c r="M93" i="1" l="1"/>
  <c r="N92" i="1"/>
  <c r="O92" i="1"/>
  <c r="G51" i="1"/>
  <c r="H51" i="1" s="1"/>
  <c r="A52" i="1" s="1"/>
  <c r="M94" i="1" l="1"/>
  <c r="N93" i="1"/>
  <c r="O93" i="1"/>
  <c r="B52" i="1"/>
  <c r="C52" i="1"/>
  <c r="F52" i="1"/>
  <c r="M95" i="1" l="1"/>
  <c r="N94" i="1"/>
  <c r="O94" i="1"/>
  <c r="G52" i="1"/>
  <c r="H52" i="1" s="1"/>
  <c r="A53" i="1" s="1"/>
  <c r="M96" i="1" l="1"/>
  <c r="N95" i="1"/>
  <c r="O95" i="1"/>
  <c r="B53" i="1"/>
  <c r="C53" i="1"/>
  <c r="F53" i="1"/>
  <c r="M97" i="1" l="1"/>
  <c r="N96" i="1"/>
  <c r="O96" i="1"/>
  <c r="G53" i="1"/>
  <c r="H53" i="1" s="1"/>
  <c r="A54" i="1" s="1"/>
  <c r="M98" i="1" l="1"/>
  <c r="N97" i="1"/>
  <c r="O97" i="1"/>
  <c r="B54" i="1"/>
  <c r="C54" i="1"/>
  <c r="F54" i="1"/>
  <c r="M99" i="1" l="1"/>
  <c r="N98" i="1"/>
  <c r="O98" i="1"/>
  <c r="G54" i="1"/>
  <c r="H54" i="1" s="1"/>
  <c r="A55" i="1" s="1"/>
  <c r="M100" i="1" l="1"/>
  <c r="N99" i="1"/>
  <c r="O99" i="1"/>
  <c r="B55" i="1"/>
  <c r="C55" i="1"/>
  <c r="F55" i="1"/>
  <c r="M101" i="1" l="1"/>
  <c r="N100" i="1"/>
  <c r="O100" i="1"/>
  <c r="G55" i="1"/>
  <c r="H55" i="1" s="1"/>
  <c r="A56" i="1" s="1"/>
  <c r="M102" i="1" l="1"/>
  <c r="N101" i="1"/>
  <c r="O101" i="1"/>
  <c r="B56" i="1"/>
  <c r="C56" i="1"/>
  <c r="F56" i="1"/>
  <c r="M103" i="1" l="1"/>
  <c r="N102" i="1"/>
  <c r="O102" i="1"/>
  <c r="G56" i="1"/>
  <c r="H56" i="1" s="1"/>
  <c r="A57" i="1" s="1"/>
  <c r="M104" i="1" l="1"/>
  <c r="N103" i="1"/>
  <c r="O103" i="1"/>
  <c r="B57" i="1"/>
  <c r="C57" i="1"/>
  <c r="F57" i="1"/>
  <c r="G57" i="1"/>
  <c r="H57" i="1"/>
  <c r="A58" i="1" s="1"/>
  <c r="M105" i="1" l="1"/>
  <c r="N104" i="1"/>
  <c r="O104" i="1"/>
  <c r="B58" i="1"/>
  <c r="C58" i="1"/>
  <c r="H58" i="1"/>
  <c r="A59" i="1" s="1"/>
  <c r="G58" i="1"/>
  <c r="F58" i="1"/>
  <c r="M106" i="1" l="1"/>
  <c r="N105" i="1"/>
  <c r="O105" i="1"/>
  <c r="B59" i="1"/>
  <c r="C59" i="1"/>
  <c r="G59" i="1"/>
  <c r="F59" i="1"/>
  <c r="H59" i="1"/>
  <c r="A60" i="1" s="1"/>
  <c r="M107" i="1" l="1"/>
  <c r="N106" i="1"/>
  <c r="O106" i="1"/>
  <c r="B60" i="1"/>
  <c r="C60" i="1"/>
  <c r="F60" i="1"/>
  <c r="H60" i="1"/>
  <c r="A61" i="1" s="1"/>
  <c r="G60" i="1"/>
  <c r="M108" i="1" l="1"/>
  <c r="N107" i="1"/>
  <c r="O107" i="1"/>
  <c r="B61" i="1"/>
  <c r="C61" i="1"/>
  <c r="G61" i="1"/>
  <c r="F61" i="1"/>
  <c r="H61" i="1"/>
  <c r="A62" i="1" s="1"/>
  <c r="M109" i="1" l="1"/>
  <c r="N108" i="1"/>
  <c r="O108" i="1"/>
  <c r="B62" i="1"/>
  <c r="C62" i="1"/>
  <c r="F62" i="1"/>
  <c r="H62" i="1"/>
  <c r="A63" i="1" s="1"/>
  <c r="G62" i="1"/>
  <c r="M110" i="1" l="1"/>
  <c r="N109" i="1"/>
  <c r="O109" i="1"/>
  <c r="B63" i="1"/>
  <c r="C63" i="1"/>
  <c r="F63" i="1"/>
  <c r="H63" i="1"/>
  <c r="A64" i="1" s="1"/>
  <c r="G63" i="1"/>
  <c r="M111" i="1" l="1"/>
  <c r="N110" i="1"/>
  <c r="O110" i="1"/>
  <c r="B64" i="1"/>
  <c r="C64" i="1"/>
  <c r="F64" i="1"/>
  <c r="G64" i="1"/>
  <c r="H64" i="1"/>
  <c r="A65" i="1" s="1"/>
  <c r="M112" i="1" l="1"/>
  <c r="N111" i="1"/>
  <c r="O111" i="1"/>
  <c r="B65" i="1"/>
  <c r="C65" i="1"/>
  <c r="F65" i="1"/>
  <c r="H65" i="1"/>
  <c r="A66" i="1" s="1"/>
  <c r="G65" i="1"/>
  <c r="M113" i="1" l="1"/>
  <c r="N112" i="1"/>
  <c r="O112" i="1"/>
  <c r="B66" i="1"/>
  <c r="C66" i="1"/>
  <c r="G66" i="1"/>
  <c r="F66" i="1"/>
  <c r="H66" i="1"/>
  <c r="A67" i="1" s="1"/>
  <c r="M114" i="1" l="1"/>
  <c r="N113" i="1"/>
  <c r="O113" i="1"/>
  <c r="B67" i="1"/>
  <c r="C67" i="1"/>
  <c r="H67" i="1"/>
  <c r="A68" i="1" s="1"/>
  <c r="G67" i="1"/>
  <c r="F67" i="1"/>
  <c r="M115" i="1" l="1"/>
  <c r="N114" i="1"/>
  <c r="O114" i="1"/>
  <c r="B68" i="1"/>
  <c r="C68" i="1"/>
  <c r="F68" i="1"/>
  <c r="G68" i="1"/>
  <c r="H68" i="1"/>
  <c r="A69" i="1" s="1"/>
  <c r="M116" i="1" l="1"/>
  <c r="N115" i="1"/>
  <c r="O115" i="1"/>
  <c r="B69" i="1"/>
  <c r="C69" i="1"/>
  <c r="G69" i="1"/>
  <c r="F69" i="1"/>
  <c r="H69" i="1"/>
  <c r="A70" i="1" s="1"/>
  <c r="M117" i="1" l="1"/>
  <c r="N116" i="1"/>
  <c r="O116" i="1"/>
  <c r="B70" i="1"/>
  <c r="C70" i="1"/>
  <c r="F70" i="1"/>
  <c r="H70" i="1"/>
  <c r="A71" i="1" s="1"/>
  <c r="G70" i="1"/>
  <c r="M118" i="1" l="1"/>
  <c r="N117" i="1"/>
  <c r="O117" i="1"/>
  <c r="B71" i="1"/>
  <c r="C71" i="1"/>
  <c r="F71" i="1"/>
  <c r="H71" i="1"/>
  <c r="A72" i="1" s="1"/>
  <c r="G71" i="1"/>
  <c r="M119" i="1" l="1"/>
  <c r="N118" i="1"/>
  <c r="O118" i="1"/>
  <c r="B72" i="1"/>
  <c r="C72" i="1"/>
  <c r="F72" i="1"/>
  <c r="G72" i="1"/>
  <c r="H72" i="1"/>
  <c r="A73" i="1" s="1"/>
  <c r="M120" i="1" l="1"/>
  <c r="N119" i="1"/>
  <c r="O119" i="1"/>
  <c r="B73" i="1"/>
  <c r="C73" i="1"/>
  <c r="H73" i="1"/>
  <c r="A74" i="1" s="1"/>
  <c r="G73" i="1"/>
  <c r="F73" i="1"/>
  <c r="M121" i="1" l="1"/>
  <c r="N120" i="1"/>
  <c r="O120" i="1"/>
  <c r="B74" i="1"/>
  <c r="C74" i="1"/>
  <c r="G74" i="1"/>
  <c r="F74" i="1"/>
  <c r="H74" i="1"/>
  <c r="A75" i="1" s="1"/>
  <c r="M122" i="1" l="1"/>
  <c r="N121" i="1"/>
  <c r="O121" i="1"/>
  <c r="B75" i="1"/>
  <c r="C75" i="1"/>
  <c r="H75" i="1"/>
  <c r="A76" i="1" s="1"/>
  <c r="F75" i="1"/>
  <c r="G75" i="1"/>
  <c r="M123" i="1" l="1"/>
  <c r="N122" i="1"/>
  <c r="O122" i="1"/>
  <c r="B76" i="1"/>
  <c r="C76" i="1"/>
  <c r="F76" i="1"/>
  <c r="H76" i="1"/>
  <c r="A77" i="1" s="1"/>
  <c r="G76" i="1"/>
  <c r="M124" i="1" l="1"/>
  <c r="N123" i="1"/>
  <c r="O123" i="1"/>
  <c r="B77" i="1"/>
  <c r="C77" i="1"/>
  <c r="G77" i="1"/>
  <c r="H77" i="1"/>
  <c r="A78" i="1" s="1"/>
  <c r="F77" i="1"/>
  <c r="M125" i="1" l="1"/>
  <c r="N124" i="1"/>
  <c r="O124" i="1"/>
  <c r="B78" i="1"/>
  <c r="C78" i="1"/>
  <c r="F78" i="1"/>
  <c r="H78" i="1"/>
  <c r="A79" i="1" s="1"/>
  <c r="G78" i="1"/>
  <c r="M126" i="1" l="1"/>
  <c r="N125" i="1"/>
  <c r="O125" i="1"/>
  <c r="B79" i="1"/>
  <c r="C79" i="1"/>
  <c r="F79" i="1"/>
  <c r="G79" i="1"/>
  <c r="H79" i="1"/>
  <c r="A80" i="1" s="1"/>
  <c r="M127" i="1" l="1"/>
  <c r="N126" i="1"/>
  <c r="O126" i="1"/>
  <c r="B80" i="1"/>
  <c r="C80" i="1"/>
  <c r="F80" i="1"/>
  <c r="G80" i="1"/>
  <c r="H80" i="1"/>
  <c r="A81" i="1" s="1"/>
  <c r="M128" i="1" l="1"/>
  <c r="N127" i="1"/>
  <c r="O127" i="1"/>
  <c r="B81" i="1"/>
  <c r="C81" i="1"/>
  <c r="F81" i="1"/>
  <c r="H81" i="1"/>
  <c r="A82" i="1" s="1"/>
  <c r="G81" i="1"/>
  <c r="M129" i="1" l="1"/>
  <c r="N128" i="1"/>
  <c r="O128" i="1"/>
  <c r="B82" i="1"/>
  <c r="C82" i="1"/>
  <c r="G82" i="1"/>
  <c r="F82" i="1"/>
  <c r="H82" i="1"/>
  <c r="A83" i="1" s="1"/>
  <c r="M130" i="1" l="1"/>
  <c r="N129" i="1"/>
  <c r="O129" i="1"/>
  <c r="B83" i="1"/>
  <c r="C83" i="1"/>
  <c r="H83" i="1"/>
  <c r="A84" i="1" s="1"/>
  <c r="G83" i="1"/>
  <c r="F83" i="1"/>
  <c r="M131" i="1" l="1"/>
  <c r="N130" i="1"/>
  <c r="O130" i="1"/>
  <c r="B84" i="1"/>
  <c r="C84" i="1"/>
  <c r="F84" i="1"/>
  <c r="H84" i="1"/>
  <c r="A85" i="1" s="1"/>
  <c r="G84" i="1"/>
  <c r="M132" i="1" l="1"/>
  <c r="N131" i="1"/>
  <c r="O131" i="1"/>
  <c r="B85" i="1"/>
  <c r="C85" i="1"/>
  <c r="G85" i="1"/>
  <c r="H85" i="1"/>
  <c r="A86" i="1" s="1"/>
  <c r="F85" i="1"/>
  <c r="M133" i="1" l="1"/>
  <c r="N132" i="1"/>
  <c r="O132" i="1"/>
  <c r="B86" i="1"/>
  <c r="C86" i="1"/>
  <c r="F86" i="1"/>
  <c r="H86" i="1"/>
  <c r="A87" i="1" s="1"/>
  <c r="G86" i="1"/>
  <c r="M134" i="1" l="1"/>
  <c r="N133" i="1"/>
  <c r="O133" i="1"/>
  <c r="B87" i="1"/>
  <c r="C87" i="1"/>
  <c r="H87" i="1"/>
  <c r="A88" i="1" s="1"/>
  <c r="G87" i="1"/>
  <c r="F87" i="1"/>
  <c r="M135" i="1" l="1"/>
  <c r="N134" i="1"/>
  <c r="O134" i="1"/>
  <c r="B88" i="1"/>
  <c r="C88" i="1"/>
  <c r="F88" i="1"/>
  <c r="G88" i="1"/>
  <c r="H88" i="1"/>
  <c r="A89" i="1" s="1"/>
  <c r="M136" i="1" l="1"/>
  <c r="N135" i="1"/>
  <c r="O135" i="1"/>
  <c r="B89" i="1"/>
  <c r="C89" i="1"/>
  <c r="F89" i="1"/>
  <c r="H89" i="1"/>
  <c r="A90" i="1" s="1"/>
  <c r="G89" i="1"/>
  <c r="M137" i="1" l="1"/>
  <c r="N136" i="1"/>
  <c r="O136" i="1"/>
  <c r="B90" i="1"/>
  <c r="C90" i="1"/>
  <c r="G90" i="1"/>
  <c r="F90" i="1"/>
  <c r="H90" i="1"/>
  <c r="A91" i="1" s="1"/>
  <c r="M138" i="1" l="1"/>
  <c r="N137" i="1"/>
  <c r="O137" i="1"/>
  <c r="B91" i="1"/>
  <c r="C91" i="1"/>
  <c r="H91" i="1"/>
  <c r="A92" i="1" s="1"/>
  <c r="G91" i="1"/>
  <c r="F91" i="1"/>
  <c r="M139" i="1" l="1"/>
  <c r="N138" i="1"/>
  <c r="O138" i="1"/>
  <c r="B92" i="1"/>
  <c r="C92" i="1"/>
  <c r="F92" i="1"/>
  <c r="H92" i="1"/>
  <c r="A93" i="1" s="1"/>
  <c r="G92" i="1"/>
  <c r="M140" i="1" l="1"/>
  <c r="N139" i="1"/>
  <c r="O139" i="1"/>
  <c r="B93" i="1"/>
  <c r="C93" i="1"/>
  <c r="G93" i="1"/>
  <c r="F93" i="1"/>
  <c r="H93" i="1"/>
  <c r="A94" i="1" s="1"/>
  <c r="M141" i="1" l="1"/>
  <c r="N140" i="1"/>
  <c r="O140" i="1"/>
  <c r="B94" i="1"/>
  <c r="C94" i="1"/>
  <c r="F94" i="1"/>
  <c r="H94" i="1"/>
  <c r="A95" i="1" s="1"/>
  <c r="G94" i="1"/>
  <c r="M142" i="1" l="1"/>
  <c r="N141" i="1"/>
  <c r="O141" i="1"/>
  <c r="B95" i="1"/>
  <c r="C95" i="1"/>
  <c r="F95" i="1"/>
  <c r="G95" i="1"/>
  <c r="H95" i="1"/>
  <c r="A96" i="1" s="1"/>
  <c r="M143" i="1" l="1"/>
  <c r="N142" i="1"/>
  <c r="O142" i="1"/>
  <c r="B96" i="1"/>
  <c r="C96" i="1"/>
  <c r="F96" i="1"/>
  <c r="G96" i="1"/>
  <c r="H96" i="1"/>
  <c r="A97" i="1" s="1"/>
  <c r="M144" i="1" l="1"/>
  <c r="N143" i="1"/>
  <c r="O143" i="1"/>
  <c r="B97" i="1"/>
  <c r="C97" i="1"/>
  <c r="F97" i="1"/>
  <c r="H97" i="1"/>
  <c r="A98" i="1" s="1"/>
  <c r="G97" i="1"/>
  <c r="M145" i="1" l="1"/>
  <c r="N144" i="1"/>
  <c r="O144" i="1"/>
  <c r="B98" i="1"/>
  <c r="C98" i="1"/>
  <c r="G98" i="1"/>
  <c r="H98" i="1"/>
  <c r="A99" i="1" s="1"/>
  <c r="F98" i="1"/>
  <c r="M146" i="1" l="1"/>
  <c r="N145" i="1"/>
  <c r="O145" i="1"/>
  <c r="B99" i="1"/>
  <c r="C99" i="1"/>
  <c r="H99" i="1"/>
  <c r="A100" i="1" s="1"/>
  <c r="G99" i="1"/>
  <c r="F99" i="1"/>
  <c r="M147" i="1" l="1"/>
  <c r="N146" i="1"/>
  <c r="O146" i="1"/>
  <c r="B100" i="1"/>
  <c r="C100" i="1"/>
  <c r="F100" i="1"/>
  <c r="H100" i="1"/>
  <c r="A101" i="1" s="1"/>
  <c r="G100" i="1"/>
  <c r="M148" i="1" l="1"/>
  <c r="N147" i="1"/>
  <c r="O147" i="1"/>
  <c r="B101" i="1"/>
  <c r="C101" i="1"/>
  <c r="G101" i="1"/>
  <c r="H101" i="1"/>
  <c r="A102" i="1" s="1"/>
  <c r="F101" i="1"/>
  <c r="M149" i="1" l="1"/>
  <c r="N148" i="1"/>
  <c r="O148" i="1"/>
  <c r="B102" i="1"/>
  <c r="C102" i="1"/>
  <c r="G102" i="1"/>
  <c r="F102" i="1"/>
  <c r="H102" i="1"/>
  <c r="A103" i="1" s="1"/>
  <c r="M150" i="1" l="1"/>
  <c r="N149" i="1"/>
  <c r="O149" i="1"/>
  <c r="B103" i="1"/>
  <c r="C103" i="1"/>
  <c r="H103" i="1"/>
  <c r="A104" i="1" s="1"/>
  <c r="F103" i="1"/>
  <c r="G103" i="1"/>
  <c r="M151" i="1" l="1"/>
  <c r="N150" i="1"/>
  <c r="O150" i="1"/>
  <c r="B104" i="1"/>
  <c r="C104" i="1"/>
  <c r="H104" i="1"/>
  <c r="A105" i="1" s="1"/>
  <c r="G104" i="1"/>
  <c r="F104" i="1"/>
  <c r="M152" i="1" l="1"/>
  <c r="N151" i="1"/>
  <c r="O151" i="1"/>
  <c r="B105" i="1"/>
  <c r="C105" i="1"/>
  <c r="G105" i="1"/>
  <c r="F105" i="1"/>
  <c r="H105" i="1"/>
  <c r="A106" i="1" s="1"/>
  <c r="M153" i="1" l="1"/>
  <c r="N152" i="1"/>
  <c r="O152" i="1"/>
  <c r="B106" i="1"/>
  <c r="C106" i="1"/>
  <c r="F106" i="1"/>
  <c r="G106" i="1"/>
  <c r="H106" i="1"/>
  <c r="A107" i="1" s="1"/>
  <c r="M154" i="1" l="1"/>
  <c r="N153" i="1"/>
  <c r="O153" i="1"/>
  <c r="B107" i="1"/>
  <c r="C107" i="1"/>
  <c r="G107" i="1"/>
  <c r="H107" i="1"/>
  <c r="A108" i="1" s="1"/>
  <c r="F107" i="1"/>
  <c r="M155" i="1" l="1"/>
  <c r="N154" i="1"/>
  <c r="O154" i="1"/>
  <c r="B108" i="1"/>
  <c r="C108" i="1"/>
  <c r="F108" i="1"/>
  <c r="H108" i="1"/>
  <c r="A109" i="1" s="1"/>
  <c r="G108" i="1"/>
  <c r="M156" i="1" l="1"/>
  <c r="N155" i="1"/>
  <c r="O155" i="1"/>
  <c r="B109" i="1"/>
  <c r="C109" i="1"/>
  <c r="F109" i="1"/>
  <c r="H109" i="1"/>
  <c r="A110" i="1" s="1"/>
  <c r="G109" i="1"/>
  <c r="M157" i="1" l="1"/>
  <c r="N156" i="1"/>
  <c r="O156" i="1"/>
  <c r="B110" i="1"/>
  <c r="C110" i="1"/>
  <c r="G110" i="1"/>
  <c r="H110" i="1"/>
  <c r="A111" i="1" s="1"/>
  <c r="F110" i="1"/>
  <c r="M158" i="1" l="1"/>
  <c r="N157" i="1"/>
  <c r="O157" i="1"/>
  <c r="B111" i="1"/>
  <c r="C111" i="1"/>
  <c r="F111" i="1"/>
  <c r="H111" i="1"/>
  <c r="A112" i="1" s="1"/>
  <c r="G111" i="1"/>
  <c r="M159" i="1" l="1"/>
  <c r="N158" i="1"/>
  <c r="O158" i="1"/>
  <c r="B112" i="1"/>
  <c r="C112" i="1"/>
  <c r="H112" i="1"/>
  <c r="A113" i="1" s="1"/>
  <c r="F112" i="1"/>
  <c r="G112" i="1"/>
  <c r="M160" i="1" l="1"/>
  <c r="N159" i="1"/>
  <c r="O159" i="1"/>
  <c r="B113" i="1"/>
  <c r="C113" i="1"/>
  <c r="G113" i="1"/>
  <c r="F113" i="1"/>
  <c r="H113" i="1"/>
  <c r="A114" i="1" s="1"/>
  <c r="M161" i="1" l="1"/>
  <c r="N160" i="1"/>
  <c r="O160" i="1"/>
  <c r="B114" i="1"/>
  <c r="C114" i="1"/>
  <c r="F114" i="1"/>
  <c r="G114" i="1"/>
  <c r="H114" i="1"/>
  <c r="A115" i="1" s="1"/>
  <c r="M162" i="1" l="1"/>
  <c r="N161" i="1"/>
  <c r="O161" i="1"/>
  <c r="B115" i="1"/>
  <c r="C115" i="1"/>
  <c r="G115" i="1"/>
  <c r="F115" i="1"/>
  <c r="H115" i="1"/>
  <c r="A116" i="1" s="1"/>
  <c r="M163" i="1" l="1"/>
  <c r="N162" i="1"/>
  <c r="O162" i="1"/>
  <c r="B116" i="1"/>
  <c r="C116" i="1"/>
  <c r="H116" i="1"/>
  <c r="A117" i="1" s="1"/>
  <c r="G116" i="1"/>
  <c r="F116" i="1"/>
  <c r="M164" i="1" l="1"/>
  <c r="N163" i="1"/>
  <c r="O163" i="1"/>
  <c r="B117" i="1"/>
  <c r="C117" i="1"/>
  <c r="G117" i="1"/>
  <c r="F117" i="1"/>
  <c r="H117" i="1"/>
  <c r="A118" i="1" s="1"/>
  <c r="M165" i="1" l="1"/>
  <c r="N164" i="1"/>
  <c r="O164" i="1"/>
  <c r="B118" i="1"/>
  <c r="C118" i="1"/>
  <c r="F118" i="1"/>
  <c r="G118" i="1"/>
  <c r="H118" i="1"/>
  <c r="A119" i="1" s="1"/>
  <c r="M166" i="1" l="1"/>
  <c r="N165" i="1"/>
  <c r="O165" i="1"/>
  <c r="B119" i="1"/>
  <c r="C119" i="1"/>
  <c r="F119" i="1"/>
  <c r="H119" i="1"/>
  <c r="A120" i="1" s="1"/>
  <c r="G119" i="1"/>
  <c r="M167" i="1" l="1"/>
  <c r="N166" i="1"/>
  <c r="O166" i="1"/>
  <c r="B120" i="1"/>
  <c r="C120" i="1"/>
  <c r="H120" i="1"/>
  <c r="A121" i="1" s="1"/>
  <c r="G120" i="1"/>
  <c r="F120" i="1"/>
  <c r="M168" i="1" l="1"/>
  <c r="N167" i="1"/>
  <c r="O167" i="1"/>
  <c r="B121" i="1"/>
  <c r="C121" i="1"/>
  <c r="H121" i="1"/>
  <c r="A122" i="1" s="1"/>
  <c r="F121" i="1"/>
  <c r="G121" i="1"/>
  <c r="M169" i="1" l="1"/>
  <c r="N168" i="1"/>
  <c r="O168" i="1"/>
  <c r="B122" i="1"/>
  <c r="C122" i="1"/>
  <c r="G122" i="1"/>
  <c r="H122" i="1"/>
  <c r="A123" i="1" s="1"/>
  <c r="F122" i="1"/>
  <c r="M170" i="1" l="1"/>
  <c r="N169" i="1"/>
  <c r="O169" i="1"/>
  <c r="B123" i="1"/>
  <c r="C123" i="1"/>
  <c r="F123" i="1"/>
  <c r="H123" i="1"/>
  <c r="A124" i="1" s="1"/>
  <c r="G123" i="1"/>
  <c r="M171" i="1" l="1"/>
  <c r="N170" i="1"/>
  <c r="O170" i="1"/>
  <c r="B124" i="1"/>
  <c r="C124" i="1"/>
  <c r="F124" i="1"/>
  <c r="H124" i="1"/>
  <c r="A125" i="1" s="1"/>
  <c r="G124" i="1"/>
  <c r="M172" i="1" l="1"/>
  <c r="N171" i="1"/>
  <c r="O171" i="1"/>
  <c r="B125" i="1"/>
  <c r="C125" i="1"/>
  <c r="F125" i="1"/>
  <c r="G125" i="1"/>
  <c r="H125" i="1"/>
  <c r="A126" i="1" s="1"/>
  <c r="M173" i="1" l="1"/>
  <c r="N172" i="1"/>
  <c r="O172" i="1"/>
  <c r="B126" i="1"/>
  <c r="C126" i="1"/>
  <c r="G126" i="1"/>
  <c r="H126" i="1"/>
  <c r="A127" i="1" s="1"/>
  <c r="F126" i="1"/>
  <c r="M174" i="1" l="1"/>
  <c r="N173" i="1"/>
  <c r="O173" i="1"/>
  <c r="B127" i="1"/>
  <c r="C127" i="1"/>
  <c r="H127" i="1"/>
  <c r="A128" i="1" s="1"/>
  <c r="G127" i="1"/>
  <c r="F127" i="1"/>
  <c r="M175" i="1" l="1"/>
  <c r="N174" i="1"/>
  <c r="O174" i="1"/>
  <c r="B128" i="1"/>
  <c r="C128" i="1"/>
  <c r="H128" i="1"/>
  <c r="A129" i="1" s="1"/>
  <c r="F128" i="1"/>
  <c r="G128" i="1"/>
  <c r="M176" i="1" l="1"/>
  <c r="N175" i="1"/>
  <c r="O175" i="1"/>
  <c r="B129" i="1"/>
  <c r="C129" i="1"/>
  <c r="G129" i="1"/>
  <c r="H129" i="1"/>
  <c r="A130" i="1" s="1"/>
  <c r="F129" i="1"/>
  <c r="O176" i="1" l="1"/>
  <c r="N176" i="1"/>
  <c r="B130" i="1"/>
  <c r="C130" i="1"/>
  <c r="F130" i="1"/>
  <c r="G130" i="1"/>
  <c r="H130" i="1"/>
  <c r="A131" i="1" s="1"/>
  <c r="B131" i="1" l="1"/>
  <c r="C131" i="1"/>
  <c r="F131" i="1"/>
  <c r="H131" i="1"/>
  <c r="A132" i="1" s="1"/>
  <c r="G131" i="1"/>
  <c r="B132" i="1" l="1"/>
  <c r="C132" i="1"/>
  <c r="H132" i="1"/>
  <c r="A133" i="1" s="1"/>
  <c r="F132" i="1"/>
  <c r="G132" i="1"/>
  <c r="B133" i="1" l="1"/>
  <c r="C133" i="1"/>
  <c r="G133" i="1"/>
  <c r="F133" i="1"/>
  <c r="H133" i="1"/>
  <c r="A134" i="1" s="1"/>
  <c r="B134" i="1" l="1"/>
  <c r="C134" i="1"/>
  <c r="G134" i="1"/>
  <c r="F134" i="1"/>
  <c r="H134" i="1"/>
  <c r="A135" i="1" s="1"/>
  <c r="B135" i="1" l="1"/>
  <c r="C135" i="1"/>
  <c r="H135" i="1"/>
  <c r="A136" i="1" s="1"/>
  <c r="G135" i="1"/>
  <c r="F135" i="1"/>
  <c r="B136" i="1" l="1"/>
  <c r="C136" i="1"/>
  <c r="H136" i="1"/>
  <c r="A137" i="1" s="1"/>
  <c r="F136" i="1"/>
  <c r="G136" i="1"/>
  <c r="B137" i="1" l="1"/>
  <c r="C137" i="1"/>
  <c r="H137" i="1"/>
  <c r="A138" i="1" s="1"/>
  <c r="G137" i="1"/>
  <c r="F137" i="1"/>
  <c r="B138" i="1" l="1"/>
  <c r="C138" i="1"/>
  <c r="F138" i="1"/>
  <c r="G138" i="1"/>
  <c r="H138" i="1"/>
  <c r="A139" i="1" s="1"/>
  <c r="B139" i="1" l="1"/>
  <c r="C139" i="1"/>
  <c r="H139" i="1"/>
  <c r="A140" i="1" s="1"/>
  <c r="G139" i="1"/>
  <c r="F139" i="1"/>
  <c r="B140" i="1" l="1"/>
  <c r="C140" i="1"/>
  <c r="H140" i="1"/>
  <c r="A141" i="1" s="1"/>
  <c r="F140" i="1"/>
  <c r="G140" i="1"/>
  <c r="B141" i="1" l="1"/>
  <c r="C141" i="1"/>
  <c r="G141" i="1"/>
  <c r="F141" i="1"/>
  <c r="H141" i="1"/>
  <c r="A142" i="1" s="1"/>
  <c r="B142" i="1" l="1"/>
  <c r="C142" i="1"/>
  <c r="G142" i="1"/>
  <c r="H142" i="1"/>
  <c r="A143" i="1" s="1"/>
  <c r="F142" i="1"/>
  <c r="B143" i="1" l="1"/>
  <c r="C143" i="1"/>
  <c r="F143" i="1"/>
  <c r="G143" i="1"/>
  <c r="H143" i="1"/>
  <c r="A144" i="1" s="1"/>
  <c r="B144" i="1" l="1"/>
  <c r="C144" i="1"/>
  <c r="G144" i="1"/>
  <c r="F144" i="1"/>
  <c r="H144" i="1"/>
  <c r="A145" i="1" s="1"/>
  <c r="B145" i="1" l="1"/>
  <c r="C145" i="1"/>
  <c r="G145" i="1"/>
  <c r="H145" i="1"/>
  <c r="A146" i="1" s="1"/>
  <c r="F145" i="1"/>
  <c r="B146" i="1" l="1"/>
  <c r="C146" i="1"/>
  <c r="G146" i="1"/>
  <c r="H146" i="1"/>
  <c r="A147" i="1" s="1"/>
  <c r="F146" i="1"/>
  <c r="B147" i="1" l="1"/>
  <c r="C147" i="1"/>
  <c r="H147" i="1"/>
  <c r="A148" i="1" s="1"/>
  <c r="G147" i="1"/>
  <c r="F147" i="1"/>
  <c r="B148" i="1" l="1"/>
  <c r="C148" i="1"/>
  <c r="G148" i="1"/>
  <c r="H148" i="1"/>
  <c r="A149" i="1" s="1"/>
  <c r="F148" i="1"/>
  <c r="B149" i="1" l="1"/>
  <c r="C149" i="1"/>
  <c r="F149" i="1"/>
  <c r="G149" i="1"/>
  <c r="H149" i="1"/>
  <c r="A150" i="1" s="1"/>
  <c r="B150" i="1" l="1"/>
  <c r="C150" i="1"/>
  <c r="G150" i="1"/>
  <c r="F150" i="1"/>
  <c r="H150" i="1"/>
  <c r="A151" i="1" s="1"/>
  <c r="B151" i="1" l="1"/>
  <c r="C151" i="1"/>
  <c r="H151" i="1"/>
  <c r="A152" i="1" s="1"/>
  <c r="F151" i="1"/>
  <c r="G151" i="1"/>
  <c r="B152" i="1" l="1"/>
  <c r="C152" i="1"/>
  <c r="H152" i="1"/>
  <c r="A153" i="1" s="1"/>
  <c r="F152" i="1"/>
  <c r="G152" i="1"/>
  <c r="B153" i="1" l="1"/>
  <c r="C153" i="1"/>
  <c r="F153" i="1"/>
  <c r="G153" i="1"/>
  <c r="H153" i="1"/>
  <c r="A154" i="1" s="1"/>
  <c r="B154" i="1" l="1"/>
  <c r="C154" i="1"/>
  <c r="G154" i="1"/>
  <c r="H154" i="1"/>
  <c r="A155" i="1" s="1"/>
  <c r="F154" i="1"/>
  <c r="B155" i="1" l="1"/>
  <c r="C155" i="1"/>
  <c r="H155" i="1"/>
  <c r="A156" i="1" s="1"/>
  <c r="G155" i="1"/>
  <c r="F155" i="1"/>
  <c r="B156" i="1" l="1"/>
  <c r="C156" i="1"/>
  <c r="H156" i="1"/>
  <c r="A157" i="1" s="1"/>
  <c r="G156" i="1"/>
  <c r="F156" i="1"/>
  <c r="B157" i="1" l="1"/>
  <c r="C157" i="1"/>
  <c r="G157" i="1"/>
  <c r="H157" i="1"/>
  <c r="A158" i="1" s="1"/>
  <c r="F157" i="1"/>
  <c r="B158" i="1" l="1"/>
  <c r="C158" i="1"/>
  <c r="G158" i="1"/>
  <c r="F158" i="1"/>
  <c r="H158" i="1"/>
  <c r="A159" i="1" s="1"/>
  <c r="B159" i="1" l="1"/>
  <c r="C159" i="1"/>
  <c r="H159" i="1"/>
  <c r="A160" i="1" s="1"/>
  <c r="F159" i="1"/>
  <c r="G159" i="1"/>
  <c r="B160" i="1" l="1"/>
  <c r="C160" i="1"/>
  <c r="G160" i="1"/>
  <c r="H160" i="1"/>
  <c r="A161" i="1" s="1"/>
  <c r="F160" i="1"/>
  <c r="B161" i="1" l="1"/>
  <c r="C161" i="1"/>
  <c r="F161" i="1"/>
  <c r="H161" i="1"/>
  <c r="A162" i="1" s="1"/>
  <c r="G161" i="1"/>
  <c r="B162" i="1" l="1"/>
  <c r="C162" i="1"/>
  <c r="F162" i="1"/>
  <c r="G162" i="1"/>
  <c r="H162" i="1"/>
  <c r="A163" i="1" s="1"/>
  <c r="B163" i="1" l="1"/>
  <c r="C163" i="1"/>
  <c r="G163" i="1"/>
  <c r="F163" i="1"/>
  <c r="H163" i="1"/>
  <c r="A164" i="1" s="1"/>
  <c r="B164" i="1" l="1"/>
  <c r="C164" i="1"/>
  <c r="H164" i="1"/>
  <c r="A165" i="1" s="1"/>
  <c r="F164" i="1"/>
  <c r="G164" i="1"/>
  <c r="B165" i="1" l="1"/>
  <c r="C165" i="1"/>
  <c r="F165" i="1"/>
  <c r="G165" i="1"/>
  <c r="H165" i="1"/>
  <c r="A166" i="1" s="1"/>
  <c r="B166" i="1" l="1"/>
  <c r="C166" i="1"/>
  <c r="G166" i="1"/>
  <c r="F166" i="1"/>
  <c r="H166" i="1"/>
  <c r="A167" i="1" s="1"/>
  <c r="B167" i="1" l="1"/>
  <c r="C167" i="1"/>
  <c r="F167" i="1"/>
  <c r="G167" i="1"/>
  <c r="H167" i="1"/>
  <c r="A168" i="1" s="1"/>
  <c r="B168" i="1" l="1"/>
  <c r="C168" i="1"/>
  <c r="H168" i="1"/>
  <c r="A169" i="1" s="1"/>
  <c r="F168" i="1"/>
  <c r="G168" i="1"/>
  <c r="B169" i="1" l="1"/>
  <c r="C169" i="1"/>
  <c r="H169" i="1"/>
  <c r="A170" i="1" s="1"/>
  <c r="F169" i="1"/>
  <c r="G169" i="1"/>
  <c r="B170" i="1" l="1"/>
  <c r="C170" i="1"/>
  <c r="F170" i="1"/>
  <c r="G170" i="1"/>
  <c r="H170" i="1"/>
  <c r="A171" i="1" s="1"/>
  <c r="B171" i="1" l="1"/>
  <c r="C171" i="1"/>
  <c r="F171" i="1"/>
  <c r="G171" i="1"/>
  <c r="H171" i="1"/>
  <c r="A172" i="1" s="1"/>
  <c r="B172" i="1" l="1"/>
  <c r="C172" i="1"/>
  <c r="G172" i="1"/>
  <c r="H172" i="1"/>
  <c r="A173" i="1" s="1"/>
  <c r="F172" i="1"/>
  <c r="B173" i="1" l="1"/>
  <c r="C173" i="1"/>
  <c r="H173" i="1"/>
  <c r="A174" i="1" s="1"/>
  <c r="G173" i="1"/>
  <c r="F173" i="1"/>
  <c r="B174" i="1" l="1"/>
  <c r="C174" i="1"/>
  <c r="G174" i="1"/>
  <c r="H174" i="1"/>
  <c r="A175" i="1" s="1"/>
  <c r="F174" i="1"/>
  <c r="B175" i="1" l="1"/>
  <c r="C175" i="1"/>
  <c r="F175" i="1"/>
  <c r="G175" i="1"/>
  <c r="H175" i="1"/>
  <c r="A176" i="1" s="1"/>
  <c r="B176" i="1" l="1"/>
  <c r="C176" i="1"/>
  <c r="G176" i="1"/>
  <c r="F176" i="1"/>
  <c r="H9" i="1"/>
  <c r="H176" i="1"/>
  <c r="H177" i="1" s="1"/>
  <c r="D17" i="1" s="1"/>
  <c r="H8" i="1"/>
  <c r="H6" i="1" l="1"/>
  <c r="H7" i="1" s="1"/>
  <c r="H5" i="1"/>
</calcChain>
</file>

<file path=xl/comments1.xml><?xml version="1.0" encoding="utf-8"?>
<comments xmlns="http://schemas.openxmlformats.org/spreadsheetml/2006/main">
  <authors>
    <author>Jon</author>
  </authors>
  <commentList>
    <comment ref="C5" authorId="0" shapeId="0">
      <text>
        <r>
          <rPr>
            <b/>
            <sz val="9"/>
            <color indexed="81"/>
            <rFont val="Tahoma"/>
            <family val="2"/>
          </rPr>
          <t>Sale Price</t>
        </r>
        <r>
          <rPr>
            <sz val="9"/>
            <color indexed="81"/>
            <rFont val="Tahoma"/>
            <family val="2"/>
          </rPr>
          <t xml:space="preserve">
Include the sale price of the new car plus any additional options. Do not include the sales tax.</t>
        </r>
      </text>
    </comment>
    <comment ref="C6" authorId="0" shapeId="0">
      <text>
        <r>
          <rPr>
            <b/>
            <sz val="9"/>
            <color indexed="81"/>
            <rFont val="Tahoma"/>
            <family val="2"/>
          </rPr>
          <t>Destination Charge:</t>
        </r>
        <r>
          <rPr>
            <sz val="9"/>
            <color indexed="81"/>
            <rFont val="Tahoma"/>
            <family val="2"/>
          </rPr>
          <t xml:space="preserve">
The cost that the automaker charges to deliver the auto to the dealer. This amount is usually a fixed charge and is not negotiable. It varies depending on the car.</t>
        </r>
      </text>
    </comment>
    <comment ref="C7" authorId="0" shapeId="0">
      <text>
        <r>
          <rPr>
            <b/>
            <sz val="9"/>
            <color indexed="81"/>
            <rFont val="Tahoma"/>
            <family val="2"/>
          </rPr>
          <t>Title Transfer Fee:</t>
        </r>
        <r>
          <rPr>
            <sz val="9"/>
            <color indexed="81"/>
            <rFont val="Tahoma"/>
            <family val="2"/>
          </rPr>
          <t xml:space="preserve">
The title transfer fee is payable by the new owner to the state's DMV. This fee is usually taxable.</t>
        </r>
      </text>
    </comment>
    <comment ref="C8" authorId="0" shapeId="0">
      <text>
        <r>
          <rPr>
            <b/>
            <sz val="9"/>
            <color indexed="81"/>
            <rFont val="Tahoma"/>
            <family val="2"/>
          </rPr>
          <t>Taxable Fees:</t>
        </r>
        <r>
          <rPr>
            <sz val="9"/>
            <color indexed="81"/>
            <rFont val="Tahoma"/>
            <family val="2"/>
          </rPr>
          <t xml:space="preserve">
Fees that are subject to State Sales Tax, such as fees that are due at delivery.</t>
        </r>
      </text>
    </comment>
    <comment ref="C12" authorId="0" shapeId="0">
      <text>
        <r>
          <rPr>
            <b/>
            <sz val="9"/>
            <color indexed="81"/>
            <rFont val="Tahoma"/>
            <family val="2"/>
          </rPr>
          <t>Check Your State:</t>
        </r>
        <r>
          <rPr>
            <sz val="9"/>
            <color indexed="81"/>
            <rFont val="Tahoma"/>
            <family val="2"/>
          </rPr>
          <t xml:space="preserve">
In some states, the value of the trade-in is not tax deductible. If you choose TRUE, then the trade-in value is subtracted from the sale price BEFORE calculating the taxes.
At the time of creation of this calculator, the following states DO NOT allow the trade-in value to be deducted:
California, District of Columbia, Hawaii, Maryland, Michigan</t>
        </r>
      </text>
    </comment>
    <comment ref="C13" authorId="0" shapeId="0">
      <text>
        <r>
          <rPr>
            <b/>
            <sz val="9"/>
            <color indexed="81"/>
            <rFont val="Tahoma"/>
            <family val="2"/>
          </rPr>
          <t>Check Your State:</t>
        </r>
        <r>
          <rPr>
            <sz val="9"/>
            <color indexed="81"/>
            <rFont val="Tahoma"/>
            <family val="2"/>
          </rPr>
          <t xml:space="preserve">
In some states, the manufacturer's Cash Rebate can be subtracted from the sale price before the sales tax is calculated.</t>
        </r>
      </text>
    </comment>
    <comment ref="C19" authorId="0" shapeId="0">
      <text>
        <r>
          <rPr>
            <b/>
            <sz val="9"/>
            <color indexed="81"/>
            <rFont val="Tahoma"/>
            <family val="2"/>
          </rPr>
          <t>Registration Fee:</t>
        </r>
        <r>
          <rPr>
            <sz val="9"/>
            <color indexed="81"/>
            <rFont val="Tahoma"/>
            <family val="2"/>
          </rPr>
          <t xml:space="preserve">
The registration fee usually varies depending on the vehicle type, fuel type, county, and other factors. Call your DMV to find out the registration cost.</t>
        </r>
      </text>
    </comment>
    <comment ref="C20" authorId="0" shapeId="0">
      <text>
        <r>
          <rPr>
            <b/>
            <sz val="9"/>
            <color indexed="81"/>
            <rFont val="Tahoma"/>
            <family val="2"/>
          </rPr>
          <t>Late Registration:</t>
        </r>
        <r>
          <rPr>
            <sz val="9"/>
            <color indexed="81"/>
            <rFont val="Tahoma"/>
            <family val="2"/>
          </rPr>
          <t xml:space="preserve">
Many states due not have a grace period after registration has expired, so make sue you get the titled transferred and the registration fee paid right away.</t>
        </r>
      </text>
    </comment>
    <comment ref="C21" authorId="0" shapeId="0">
      <text>
        <r>
          <rPr>
            <b/>
            <sz val="9"/>
            <color indexed="81"/>
            <rFont val="Tahoma"/>
            <family val="2"/>
          </rPr>
          <t>Service Contract:</t>
        </r>
        <r>
          <rPr>
            <sz val="9"/>
            <color indexed="81"/>
            <rFont val="Tahoma"/>
            <family val="2"/>
          </rPr>
          <t xml:space="preserve">
Very likely, the dealer will try to get you to purchase a service contract. This can be a very significant cost, so don't neglect considering it in your calculation.</t>
        </r>
      </text>
    </comment>
    <comment ref="C25" authorId="0" shapeId="0">
      <text>
        <r>
          <rPr>
            <b/>
            <sz val="9"/>
            <color indexed="81"/>
            <rFont val="Tahoma"/>
            <family val="2"/>
          </rPr>
          <t>Late Title Transfer Fee:</t>
        </r>
        <r>
          <rPr>
            <sz val="9"/>
            <color indexed="81"/>
            <rFont val="Tahoma"/>
            <family val="2"/>
          </rPr>
          <t xml:space="preserve">
In many states, you have a limited amount of time (often 30 days) to transfer the title of the new car. If you don't meet the deadline, you end up paying late fees. Don't be late! The fees can add up quickly.
e.g. $25 to $200</t>
        </r>
      </text>
    </comment>
    <comment ref="C27" authorId="0" shapeId="0">
      <text>
        <r>
          <rPr>
            <b/>
            <sz val="9"/>
            <color indexed="81"/>
            <rFont val="Tahoma"/>
            <family val="2"/>
          </rPr>
          <t>Non-Taxable Fees</t>
        </r>
        <r>
          <rPr>
            <sz val="9"/>
            <color indexed="81"/>
            <rFont val="Tahoma"/>
            <family val="2"/>
          </rPr>
          <t xml:space="preserve">
Fees that are NOT subject to sales tax, such as document fees or fees due at delivery.</t>
        </r>
      </text>
    </comment>
    <comment ref="C32" authorId="0" shapeId="0">
      <text>
        <r>
          <rPr>
            <b/>
            <sz val="9"/>
            <color indexed="81"/>
            <rFont val="Tahoma"/>
            <family val="2"/>
          </rPr>
          <t>Unpaid Balance on Previous Loan:</t>
        </r>
        <r>
          <rPr>
            <sz val="9"/>
            <color indexed="81"/>
            <rFont val="Tahoma"/>
            <family val="2"/>
          </rPr>
          <t xml:space="preserve">
If you have an unpaid balance on a loan for a car that you are trading in, enter the unpaid loan balance here.</t>
        </r>
      </text>
    </comment>
    <comment ref="C34" authorId="0" shapeId="0">
      <text>
        <r>
          <rPr>
            <b/>
            <sz val="9"/>
            <color indexed="81"/>
            <rFont val="Tahoma"/>
            <family val="2"/>
          </rPr>
          <t>Down Payment:</t>
        </r>
        <r>
          <rPr>
            <sz val="9"/>
            <color indexed="81"/>
            <rFont val="Tahoma"/>
            <family val="2"/>
          </rPr>
          <t xml:space="preserve">
The amount you pay in cash (or by check). </t>
        </r>
      </text>
    </comment>
    <comment ref="C35" authorId="0" shapeId="0">
      <text>
        <r>
          <rPr>
            <b/>
            <sz val="9"/>
            <color indexed="81"/>
            <rFont val="Tahoma"/>
            <family val="2"/>
          </rPr>
          <t>Trade-In:</t>
        </r>
        <r>
          <rPr>
            <sz val="9"/>
            <color indexed="81"/>
            <rFont val="Tahoma"/>
            <family val="2"/>
          </rPr>
          <t xml:space="preserve">
If you are trading in an older car, enter the value accepted by the dealer here. In some states, the trade-in value can be deducted from the purchase price prior to calculating the sales tax.</t>
        </r>
      </text>
    </comment>
    <comment ref="C36" authorId="0" shapeId="0">
      <text>
        <r>
          <rPr>
            <b/>
            <sz val="9"/>
            <color indexed="81"/>
            <rFont val="Tahoma"/>
            <family val="2"/>
          </rPr>
          <t>Manufacturere's Cash Rebate</t>
        </r>
        <r>
          <rPr>
            <sz val="9"/>
            <color indexed="81"/>
            <rFont val="Tahoma"/>
            <family val="2"/>
          </rPr>
          <t>:
Sometimes, the manufacturer will provide a cash rebate or low-interest financing. In some states, the cash rebate can be deducted from the purchase price before calculating the sales tax.</t>
        </r>
      </text>
    </comment>
  </commentList>
</comments>
</file>

<file path=xl/comments2.xml><?xml version="1.0" encoding="utf-8"?>
<comments xmlns="http://schemas.openxmlformats.org/spreadsheetml/2006/main">
  <authors>
    <author>Jon</author>
    <author>Maria</author>
  </authors>
  <commentList>
    <comment ref="C5" authorId="0" shapeId="0">
      <text>
        <r>
          <rPr>
            <b/>
            <sz val="9"/>
            <color indexed="81"/>
            <rFont val="Tahoma"/>
            <family val="2"/>
          </rPr>
          <t>Loan Amount:</t>
        </r>
        <r>
          <rPr>
            <sz val="9"/>
            <color indexed="81"/>
            <rFont val="Tahoma"/>
            <family val="2"/>
          </rPr>
          <t xml:space="preserve">
This is the amount that you have borrowed.
It is NOT the price of the automobile. It is the amount financed, which often consists of the price of the auto + fees + sales tax - down payment.</t>
        </r>
      </text>
    </comment>
    <comment ref="C7" authorId="1" shapeId="0">
      <text>
        <r>
          <rPr>
            <b/>
            <sz val="9"/>
            <color indexed="81"/>
            <rFont val="Tahoma"/>
            <family val="2"/>
          </rPr>
          <t>Term of Loan</t>
        </r>
        <r>
          <rPr>
            <sz val="9"/>
            <color indexed="81"/>
            <rFont val="Tahoma"/>
            <family val="2"/>
          </rPr>
          <t xml:space="preserve">
Auto loans are usually between 1 and 6 years.
If you want to specify a specific number of months, enter the formula:  =</t>
        </r>
        <r>
          <rPr>
            <i/>
            <sz val="9"/>
            <color indexed="81"/>
            <rFont val="Tahoma"/>
            <family val="2"/>
          </rPr>
          <t>months</t>
        </r>
        <r>
          <rPr>
            <sz val="9"/>
            <color indexed="81"/>
            <rFont val="Tahoma"/>
            <family val="2"/>
          </rPr>
          <t>/12
For example:
For a 6-month loan, enter =6/12
For a 18-month loan, enter =18/12</t>
        </r>
      </text>
    </comment>
    <comment ref="G7" authorId="1" shapeId="0">
      <text>
        <r>
          <rPr>
            <b/>
            <sz val="9"/>
            <color indexed="81"/>
            <rFont val="Tahoma"/>
            <family val="2"/>
          </rPr>
          <t>Reduced Interest</t>
        </r>
        <r>
          <rPr>
            <sz val="9"/>
            <color indexed="81"/>
            <rFont val="Tahoma"/>
            <family val="2"/>
          </rPr>
          <t xml:space="preserve">
The reduced interest expense associated with making extra payments. The result may be off by a few cents due to rounding. When you make extra payments on the principal above your normal payment, then you pay less interest in the long run.</t>
        </r>
      </text>
    </comment>
    <comment ref="C8" authorId="1" shapeId="0">
      <text>
        <r>
          <rPr>
            <b/>
            <sz val="9"/>
            <color indexed="81"/>
            <rFont val="Tahoma"/>
            <family val="2"/>
          </rPr>
          <t>First Payment Date</t>
        </r>
        <r>
          <rPr>
            <sz val="9"/>
            <color indexed="81"/>
            <rFont val="Tahoma"/>
            <family val="2"/>
          </rPr>
          <t xml:space="preserve">
Assumes that the first payment date is at the </t>
        </r>
        <r>
          <rPr>
            <b/>
            <sz val="9"/>
            <color indexed="81"/>
            <rFont val="Tahoma"/>
            <family val="2"/>
          </rPr>
          <t xml:space="preserve">end </t>
        </r>
        <r>
          <rPr>
            <sz val="9"/>
            <color indexed="81"/>
            <rFont val="Tahoma"/>
            <family val="2"/>
          </rPr>
          <t xml:space="preserve">of the first period.
</t>
        </r>
        <r>
          <rPr>
            <i/>
            <sz val="9"/>
            <color indexed="81"/>
            <rFont val="Tahoma"/>
            <family val="2"/>
          </rPr>
          <t>Shortcut</t>
        </r>
        <r>
          <rPr>
            <sz val="9"/>
            <color indexed="81"/>
            <rFont val="Tahoma"/>
            <family val="2"/>
          </rPr>
          <t xml:space="preserve">: To enter today's date, press </t>
        </r>
        <r>
          <rPr>
            <b/>
            <sz val="9"/>
            <color indexed="81"/>
            <rFont val="Tahoma"/>
            <family val="2"/>
          </rPr>
          <t>Ctrl+;</t>
        </r>
      </text>
    </comment>
    <comment ref="C15" authorId="0" shapeId="0">
      <text>
        <r>
          <rPr>
            <b/>
            <sz val="8"/>
            <color indexed="81"/>
            <rFont val="Tahoma"/>
            <family val="2"/>
          </rPr>
          <t>Total Interest:</t>
        </r>
        <r>
          <rPr>
            <sz val="8"/>
            <color indexed="81"/>
            <rFont val="Tahoma"/>
            <family val="2"/>
          </rPr>
          <t xml:space="preserve">
If you don't make any extra payments, this will be the total amount of interest paid over the life of the loan.</t>
        </r>
      </text>
    </comment>
    <comment ref="C16" authorId="0" shapeId="0">
      <text>
        <r>
          <rPr>
            <b/>
            <sz val="8"/>
            <color indexed="81"/>
            <rFont val="Tahoma"/>
            <family val="2"/>
          </rPr>
          <t>Total Payments:</t>
        </r>
        <r>
          <rPr>
            <sz val="8"/>
            <color indexed="81"/>
            <rFont val="Tahoma"/>
            <family val="2"/>
          </rPr>
          <t xml:space="preserve">
If you don't make any extra payments, this will be the total amount paid over the life of the loan (including interest). The amount may be off by a few cents due to rounding.</t>
        </r>
      </text>
    </comment>
    <comment ref="D19" authorId="1" shapeId="0">
      <text>
        <r>
          <rPr>
            <b/>
            <sz val="9"/>
            <color indexed="81"/>
            <rFont val="Tahoma"/>
            <family val="2"/>
          </rPr>
          <t>Additional Payment</t>
        </r>
        <r>
          <rPr>
            <sz val="9"/>
            <color indexed="81"/>
            <rFont val="Tahoma"/>
            <family val="2"/>
          </rPr>
          <t xml:space="preserve">
The amount paid directly towards the principal. To pay off the remaining balance, the additional payment must be the</t>
        </r>
        <r>
          <rPr>
            <b/>
            <sz val="9"/>
            <color indexed="81"/>
            <rFont val="Tahoma"/>
            <family val="2"/>
          </rPr>
          <t xml:space="preserve"> last period balance - payment due + interest due</t>
        </r>
        <r>
          <rPr>
            <sz val="9"/>
            <color indexed="81"/>
            <rFont val="Tahoma"/>
            <family val="2"/>
          </rPr>
          <t>. For example, to pay off after the first period, the additional payment would be: =G24-C25+E25
(Assumes no penalties for making additional payments.)</t>
        </r>
      </text>
    </comment>
  </commentList>
</comments>
</file>

<file path=xl/sharedStrings.xml><?xml version="1.0" encoding="utf-8"?>
<sst xmlns="http://schemas.openxmlformats.org/spreadsheetml/2006/main" count="131" uniqueCount="95">
  <si>
    <t>Inputs</t>
  </si>
  <si>
    <t>Annual Interest Rate</t>
  </si>
  <si>
    <t>Term of Loan in Years</t>
  </si>
  <si>
    <t>First Payment Date</t>
  </si>
  <si>
    <t>Frequency of Payment</t>
  </si>
  <si>
    <t>Rate (per period)</t>
  </si>
  <si>
    <t>Total Payments</t>
  </si>
  <si>
    <t>Total Interest</t>
  </si>
  <si>
    <t>No.</t>
  </si>
  <si>
    <t>Due Date</t>
  </si>
  <si>
    <t>Payment Due</t>
  </si>
  <si>
    <t>Additional Payment</t>
  </si>
  <si>
    <t>Interest</t>
  </si>
  <si>
    <t>Principal</t>
  </si>
  <si>
    <t>Balance</t>
  </si>
  <si>
    <t>Payment (per period)</t>
  </si>
  <si>
    <t>Payment</t>
  </si>
  <si>
    <t>Frequency</t>
  </si>
  <si>
    <t>Bi-Weekly</t>
  </si>
  <si>
    <t>Annually</t>
  </si>
  <si>
    <t>Semi-Annually</t>
  </si>
  <si>
    <t>Quarterly</t>
  </si>
  <si>
    <t>Bi-Monthly</t>
  </si>
  <si>
    <t>Monthly</t>
  </si>
  <si>
    <t>Semi-Monthly</t>
  </si>
  <si>
    <t>Auto Loan Payment Calculator</t>
  </si>
  <si>
    <t>Auto Loan Amount</t>
  </si>
  <si>
    <t>Number of Payments</t>
  </si>
  <si>
    <t>Ending Balance:</t>
  </si>
  <si>
    <t>Reduced Interest</t>
  </si>
  <si>
    <t>Effect of Extra Payments</t>
  </si>
  <si>
    <t>Last Payment Date</t>
  </si>
  <si>
    <t>Purchase Price</t>
  </si>
  <si>
    <t>Title Transfer Fee</t>
  </si>
  <si>
    <t>Other Taxable Fees</t>
  </si>
  <si>
    <t>Non-Taxable Fees</t>
  </si>
  <si>
    <t>Sale Price + Options</t>
  </si>
  <si>
    <t>State Sales Tax Rate</t>
  </si>
  <si>
    <r>
      <t>Trade-In is</t>
    </r>
    <r>
      <rPr>
        <sz val="10"/>
        <rFont val="Tahoma"/>
        <family val="2"/>
      </rPr>
      <t xml:space="preserve"> Tax Deductible</t>
    </r>
  </si>
  <si>
    <t>Net Taxable</t>
  </si>
  <si>
    <t>State Sales Tax</t>
  </si>
  <si>
    <t>State Sales (Excise) Tax</t>
  </si>
  <si>
    <t>Other Non-Taxable Fees</t>
  </si>
  <si>
    <t>Registration</t>
  </si>
  <si>
    <t>Duplicate Title Fee</t>
  </si>
  <si>
    <t>Transaction Fee</t>
  </si>
  <si>
    <t>Special Plate Fee</t>
  </si>
  <si>
    <t>Administration Fee</t>
  </si>
  <si>
    <t>Total Non-Taxable Fees</t>
  </si>
  <si>
    <t>Destination charge</t>
  </si>
  <si>
    <t>Less Cash Rebate</t>
  </si>
  <si>
    <t>Less Down Payment</t>
  </si>
  <si>
    <t>Cash Rebate is Tax Deductible</t>
  </si>
  <si>
    <t>Less Value of Trade-In</t>
  </si>
  <si>
    <t>Unpaid Loan Balance on Trade-In</t>
  </si>
  <si>
    <t>Late Title Transfer Fee</t>
  </si>
  <si>
    <t>e.g. $25</t>
  </si>
  <si>
    <t>e.g. $3</t>
  </si>
  <si>
    <t>e.g. $25 to $200</t>
  </si>
  <si>
    <t>e.g. $40 to $100</t>
  </si>
  <si>
    <t xml:space="preserve"> If you don't know, set to FALSE</t>
  </si>
  <si>
    <t>Late Registration Fee</t>
  </si>
  <si>
    <t>e.g. $10 per month</t>
  </si>
  <si>
    <t xml:space="preserve"> Set to 0 if included in sale price</t>
  </si>
  <si>
    <t>e.g. $10</t>
  </si>
  <si>
    <t>Service Contract</t>
  </si>
  <si>
    <t>e.g. $250 to $1000</t>
  </si>
  <si>
    <r>
      <t>Summary</t>
    </r>
    <r>
      <rPr>
        <sz val="10"/>
        <color indexed="9"/>
        <rFont val="Tahoma"/>
        <family val="2"/>
      </rPr>
      <t xml:space="preserve"> (with no extra payments)</t>
    </r>
  </si>
  <si>
    <t>Auto Loan Calculator</t>
  </si>
  <si>
    <t>Total Loan Amount</t>
  </si>
  <si>
    <t>Loan Amount</t>
  </si>
  <si>
    <t>Down Payment</t>
  </si>
  <si>
    <r>
      <t>Purchase Price</t>
    </r>
    <r>
      <rPr>
        <sz val="10"/>
        <color indexed="9"/>
        <rFont val="Tahoma"/>
        <family val="2"/>
      </rPr>
      <t xml:space="preserve"> (before tax)</t>
    </r>
  </si>
  <si>
    <t>Total Paid</t>
  </si>
  <si>
    <t>Auto Loan Payment &amp; Interest Comparisons</t>
  </si>
  <si>
    <t># of Payments</t>
  </si>
  <si>
    <t>e.g. 6.25%</t>
  </si>
  <si>
    <t>[42]</t>
  </si>
  <si>
    <t>This worksheet provides a break-down of the sales cost, charges, fees, and taxes associated with buying a car from a dealer. Many of the values will need to be estimated, and you may need to consult the policies of your state to determine how sales tax is applied and what the registration and other fees are.</t>
  </si>
  <si>
    <t>At the bottom of the Download page at Vertex42.com you will find numerous links to online calculators and resources that may help you complete this worksheet.</t>
  </si>
  <si>
    <r>
      <t xml:space="preserve">Use the </t>
    </r>
    <r>
      <rPr>
        <b/>
        <sz val="10"/>
        <color rgb="FF000000"/>
        <rFont val="Tahoma"/>
        <family val="2"/>
      </rPr>
      <t>AutoLoanCalculator</t>
    </r>
    <r>
      <rPr>
        <sz val="10"/>
        <color rgb="FF000000"/>
        <rFont val="Tahoma"/>
        <family val="2"/>
      </rPr>
      <t xml:space="preserve"> worksheet to figure out the </t>
    </r>
    <r>
      <rPr>
        <b/>
        <sz val="10"/>
        <color rgb="FF000000"/>
        <rFont val="Tahoma"/>
        <family val="2"/>
      </rPr>
      <t>Auto Loan Amount</t>
    </r>
    <r>
      <rPr>
        <sz val="10"/>
        <color rgb="FF000000"/>
        <rFont val="Tahoma"/>
        <family val="2"/>
      </rPr>
      <t>.</t>
    </r>
  </si>
  <si>
    <t xml:space="preserve">This spreadsheet creates a payment schedule for a fixed-rate auto loan, with optional extra payments. Use the spreadsheet to compare different terms, rates, and loan amounts. The spreadsheet allows complete flexibility in how you make additional payments.
</t>
  </si>
  <si>
    <t xml:space="preserve">The payment is rounded to the nearest cent. The last payment is adjusted to bring the balance to zero.
</t>
  </si>
  <si>
    <t xml:space="preserve">To make comparisons, you can make multiple copies of Column D (select column D and press Ctrl+c, then right-click on column E and select Insert Copied Cells)
</t>
  </si>
  <si>
    <r>
      <t xml:space="preserve">Unless otherwise indicated, the comparison tables are based on the Loan Amount, Interest Rate, Term, and Frequency listed to the right. These values can be changed in the </t>
    </r>
    <r>
      <rPr>
        <b/>
        <sz val="10"/>
        <rFont val="Tahoma"/>
        <family val="2"/>
      </rPr>
      <t>PaymentCalculator</t>
    </r>
    <r>
      <rPr>
        <sz val="10"/>
        <rFont val="Tahoma"/>
        <family val="2"/>
      </rPr>
      <t xml:space="preserve"> worksheet.
</t>
    </r>
  </si>
  <si>
    <t>Using This Worksheet</t>
  </si>
  <si>
    <r>
      <t xml:space="preserve">The calculations in this worksheet assume that </t>
    </r>
    <r>
      <rPr>
        <b/>
        <sz val="10"/>
        <rFont val="Tahoma"/>
        <family val="2"/>
      </rPr>
      <t>no extra payments</t>
    </r>
    <r>
      <rPr>
        <sz val="10"/>
        <rFont val="Tahoma"/>
        <family val="2"/>
      </rPr>
      <t xml:space="preserve"> are made.</t>
    </r>
  </si>
  <si>
    <t>Payment Frequency Options</t>
  </si>
  <si>
    <t>Payments/yr</t>
  </si>
  <si>
    <t>Months</t>
  </si>
  <si>
    <t>Annual</t>
  </si>
  <si>
    <t>Semi-Annual</t>
  </si>
  <si>
    <t>n/a</t>
  </si>
  <si>
    <t>Chosen:</t>
  </si>
  <si>
    <t>Scenario: No Extra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</si>
</sst>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7" formatCode="&quot;$&quot;#,##0.00_);\(&quot;$&quot;#,##0.00\)"/>
    <numFmt numFmtId="8" formatCode="&quot;$&quot;#,##0.00_);[Red]\(&quot;$&quot;#,##0.00\)"/>
    <numFmt numFmtId="44" formatCode="_(&quot;$&quot;* #,##0.00_);_(&quot;$&quot;* \(#,##0.00\);_(&quot;$&quot;* &quot;-&quot;??_);_(@_)"/>
    <numFmt numFmtId="164" formatCode="_(&quot;$&quot;* #,##0_);_(&quot;$&quot;* \(#,##0\);_(&quot;$&quot;* &quot;-&quot;??_);_(@_)"/>
    <numFmt numFmtId="165" formatCode="0.000000%"/>
  </numFmts>
  <fonts count="28" x14ac:knownFonts="1">
    <font>
      <sz val="10"/>
      <name val="Tahoma"/>
      <family val="2"/>
    </font>
    <font>
      <sz val="10"/>
      <name val="Arial"/>
      <family val="2"/>
    </font>
    <font>
      <sz val="8"/>
      <name val="Arial"/>
      <family val="2"/>
    </font>
    <font>
      <b/>
      <sz val="10"/>
      <name val="Tahoma"/>
      <family val="2"/>
    </font>
    <font>
      <sz val="10"/>
      <name val="Tahoma"/>
      <family val="2"/>
    </font>
    <font>
      <sz val="8"/>
      <name val="Tahoma"/>
      <family val="2"/>
    </font>
    <font>
      <b/>
      <sz val="8"/>
      <color indexed="81"/>
      <name val="Tahoma"/>
      <family val="2"/>
    </font>
    <font>
      <sz val="8"/>
      <color indexed="81"/>
      <name val="Tahoma"/>
      <family val="2"/>
    </font>
    <font>
      <sz val="8"/>
      <name val="Arial"/>
      <family val="2"/>
    </font>
    <font>
      <b/>
      <sz val="10"/>
      <color indexed="10"/>
      <name val="Tahoma"/>
      <family val="2"/>
    </font>
    <font>
      <sz val="10"/>
      <color indexed="9"/>
      <name val="Tahoma"/>
      <family val="2"/>
    </font>
    <font>
      <u/>
      <sz val="8"/>
      <color indexed="12"/>
      <name val="Tahoma"/>
      <family val="2"/>
    </font>
    <font>
      <i/>
      <sz val="10"/>
      <name val="Tahoma"/>
      <family val="2"/>
    </font>
    <font>
      <b/>
      <sz val="10"/>
      <color indexed="9"/>
      <name val="Tahoma"/>
      <family val="2"/>
    </font>
    <font>
      <b/>
      <sz val="6"/>
      <name val="Tahoma"/>
      <family val="2"/>
    </font>
    <font>
      <sz val="10"/>
      <color theme="1"/>
      <name val="Tahoma"/>
      <family val="2"/>
    </font>
    <font>
      <b/>
      <sz val="18"/>
      <color indexed="9"/>
      <name val="Arial"/>
      <family val="2"/>
    </font>
    <font>
      <sz val="10"/>
      <color rgb="FF000000"/>
      <name val="Tahoma"/>
      <family val="2"/>
    </font>
    <font>
      <b/>
      <sz val="10"/>
      <name val="Arial"/>
      <family val="2"/>
    </font>
    <font>
      <b/>
      <sz val="10"/>
      <color rgb="FF000000"/>
      <name val="Tahoma"/>
      <family val="2"/>
    </font>
    <font>
      <b/>
      <sz val="10"/>
      <color theme="4" tint="-0.249977111117893"/>
      <name val="Tahoma"/>
      <family val="2"/>
    </font>
    <font>
      <u/>
      <sz val="8"/>
      <color indexed="12"/>
      <name val="Arial"/>
      <family val="2"/>
    </font>
    <font>
      <u/>
      <sz val="10"/>
      <color indexed="12"/>
      <name val="Arial"/>
      <family val="2"/>
    </font>
    <font>
      <sz val="11"/>
      <name val="Tahoma"/>
      <family val="2"/>
    </font>
    <font>
      <u/>
      <sz val="10"/>
      <color rgb="FF0000FF"/>
      <name val="Arial"/>
      <family val="2"/>
    </font>
    <font>
      <b/>
      <sz val="9"/>
      <color indexed="81"/>
      <name val="Tahoma"/>
      <family val="2"/>
    </font>
    <font>
      <sz val="9"/>
      <color indexed="81"/>
      <name val="Tahoma"/>
      <family val="2"/>
    </font>
    <font>
      <i/>
      <sz val="9"/>
      <color indexed="81"/>
      <name val="Tahoma"/>
      <family val="2"/>
    </font>
  </fonts>
  <fills count="15">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5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9">
    <border>
      <left/>
      <right/>
      <top/>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top/>
      <bottom style="thin">
        <color indexed="60"/>
      </bottom>
      <diagonal/>
    </border>
    <border>
      <left/>
      <right/>
      <top/>
      <bottom style="thin">
        <color indexed="53"/>
      </bottom>
      <diagonal/>
    </border>
    <border>
      <left/>
      <right/>
      <top/>
      <bottom style="medium">
        <color theme="4"/>
      </bottom>
      <diagonal/>
    </border>
    <border>
      <left/>
      <right/>
      <top/>
      <bottom style="thin">
        <color theme="4"/>
      </bottom>
      <diagonal/>
    </border>
    <border>
      <left/>
      <right/>
      <top/>
      <bottom style="thin">
        <color theme="4" tint="-0.24994659260841701"/>
      </bottom>
      <diagonal/>
    </border>
    <border>
      <left/>
      <right/>
      <top style="thin">
        <color theme="4"/>
      </top>
      <bottom/>
      <diagonal/>
    </border>
  </borders>
  <cellStyleXfs count="5">
    <xf numFmtId="0" fontId="0" fillId="0" borderId="0"/>
    <xf numFmtId="44" fontId="1" fillId="0" borderId="0" applyFont="0" applyFill="0" applyBorder="0" applyAlignment="0" applyProtection="0"/>
    <xf numFmtId="0" fontId="22" fillId="0" borderId="0" applyNumberFormat="0" applyFill="0" applyBorder="0" applyAlignment="0" applyProtection="0">
      <alignment vertical="top"/>
      <protection locked="0"/>
    </xf>
    <xf numFmtId="9" fontId="1" fillId="0" borderId="0" applyFont="0" applyFill="0" applyBorder="0" applyAlignment="0" applyProtection="0"/>
    <xf numFmtId="0" fontId="24" fillId="0" borderId="0" applyNumberFormat="0" applyFill="0" applyBorder="0" applyAlignment="0" applyProtection="0"/>
  </cellStyleXfs>
  <cellXfs count="121">
    <xf numFmtId="0" fontId="0" fillId="0" borderId="0" xfId="0"/>
    <xf numFmtId="0" fontId="0" fillId="2" borderId="0" xfId="0" applyFont="1" applyFill="1" applyProtection="1"/>
    <xf numFmtId="0" fontId="0" fillId="0" borderId="0" xfId="0" applyFont="1" applyProtection="1"/>
    <xf numFmtId="10" fontId="4" fillId="0" borderId="0" xfId="3" applyNumberFormat="1" applyFont="1" applyProtection="1"/>
    <xf numFmtId="0" fontId="0" fillId="0" borderId="0" xfId="0" applyFont="1" applyAlignment="1" applyProtection="1"/>
    <xf numFmtId="0" fontId="5" fillId="0" borderId="0" xfId="0" applyFont="1" applyAlignment="1" applyProtection="1">
      <alignment horizontal="center"/>
    </xf>
    <xf numFmtId="14" fontId="2" fillId="0" borderId="0" xfId="0" applyNumberFormat="1" applyFont="1" applyAlignment="1" applyProtection="1">
      <alignment horizontal="right"/>
    </xf>
    <xf numFmtId="4" fontId="5" fillId="0" borderId="0" xfId="0" applyNumberFormat="1" applyFont="1" applyAlignment="1" applyProtection="1">
      <alignment horizontal="right"/>
    </xf>
    <xf numFmtId="8" fontId="0" fillId="0" borderId="0" xfId="0" applyNumberFormat="1" applyFont="1" applyProtection="1"/>
    <xf numFmtId="4" fontId="5" fillId="3" borderId="0" xfId="0" applyNumberFormat="1" applyFont="1" applyFill="1" applyAlignment="1" applyProtection="1">
      <alignment horizontal="right"/>
      <protection locked="0"/>
    </xf>
    <xf numFmtId="0" fontId="0" fillId="0" borderId="0" xfId="0" applyAlignment="1" applyProtection="1">
      <alignment horizontal="right"/>
    </xf>
    <xf numFmtId="0" fontId="0" fillId="2" borderId="0" xfId="0" applyFill="1" applyAlignment="1" applyProtection="1">
      <alignment horizontal="right"/>
    </xf>
    <xf numFmtId="4" fontId="5" fillId="2" borderId="0" xfId="0" applyNumberFormat="1" applyFont="1" applyFill="1" applyProtection="1"/>
    <xf numFmtId="0" fontId="0" fillId="0" borderId="0" xfId="0" applyNumberFormat="1" applyFont="1" applyProtection="1"/>
    <xf numFmtId="4" fontId="0" fillId="0" borderId="0" xfId="0" applyNumberFormat="1" applyFont="1" applyProtection="1"/>
    <xf numFmtId="4" fontId="0" fillId="0" borderId="0" xfId="0" applyNumberFormat="1" applyFont="1" applyAlignment="1" applyProtection="1"/>
    <xf numFmtId="4" fontId="4" fillId="0" borderId="0" xfId="0" applyNumberFormat="1" applyFont="1" applyProtection="1"/>
    <xf numFmtId="0" fontId="4" fillId="0" borderId="0" xfId="0" applyNumberFormat="1" applyFont="1" applyProtection="1"/>
    <xf numFmtId="0" fontId="0" fillId="4" borderId="0" xfId="0" applyFill="1" applyAlignment="1" applyProtection="1">
      <alignment horizontal="center"/>
    </xf>
    <xf numFmtId="0" fontId="0" fillId="4" borderId="0" xfId="0" applyFont="1" applyFill="1" applyAlignment="1" applyProtection="1">
      <alignment horizontal="center"/>
    </xf>
    <xf numFmtId="0" fontId="4" fillId="4" borderId="0" xfId="0" applyFont="1" applyFill="1" applyAlignment="1" applyProtection="1">
      <alignment horizontal="center"/>
    </xf>
    <xf numFmtId="0" fontId="3" fillId="5" borderId="4" xfId="0" applyFont="1" applyFill="1" applyBorder="1" applyAlignment="1" applyProtection="1">
      <alignment horizontal="center" wrapText="1"/>
    </xf>
    <xf numFmtId="0" fontId="3" fillId="5" borderId="4" xfId="0" applyFont="1" applyFill="1" applyBorder="1" applyAlignment="1" applyProtection="1">
      <alignment horizontal="right" wrapText="1"/>
    </xf>
    <xf numFmtId="0" fontId="10" fillId="0" borderId="0" xfId="0" applyFont="1"/>
    <xf numFmtId="0" fontId="16" fillId="10" borderId="0" xfId="0" applyFont="1" applyFill="1" applyBorder="1" applyAlignment="1" applyProtection="1">
      <alignment vertical="center"/>
    </xf>
    <xf numFmtId="0" fontId="10" fillId="10" borderId="0" xfId="0" applyFont="1" applyFill="1" applyBorder="1" applyProtection="1"/>
    <xf numFmtId="0" fontId="0" fillId="6" borderId="0" xfId="0" applyFont="1" applyFill="1" applyProtection="1"/>
    <xf numFmtId="0" fontId="0" fillId="6" borderId="0" xfId="0" applyFill="1" applyProtection="1"/>
    <xf numFmtId="0" fontId="0" fillId="6" borderId="0" xfId="0" applyFill="1"/>
    <xf numFmtId="0" fontId="0" fillId="10" borderId="0" xfId="0" applyFont="1" applyFill="1" applyBorder="1" applyProtection="1"/>
    <xf numFmtId="0" fontId="13" fillId="9" borderId="0" xfId="0" applyFont="1" applyFill="1" applyBorder="1" applyAlignment="1" applyProtection="1">
      <alignment horizontal="left" vertical="center" indent="1"/>
    </xf>
    <xf numFmtId="0" fontId="3" fillId="8" borderId="5" xfId="0" applyFont="1" applyFill="1" applyBorder="1" applyAlignment="1" applyProtection="1">
      <alignment horizontal="center"/>
    </xf>
    <xf numFmtId="0" fontId="3" fillId="8" borderId="5" xfId="0" applyFont="1" applyFill="1" applyBorder="1" applyAlignment="1" applyProtection="1">
      <alignment horizontal="right" wrapText="1"/>
    </xf>
    <xf numFmtId="0" fontId="14" fillId="8" borderId="5" xfId="0" applyFont="1" applyFill="1" applyBorder="1" applyAlignment="1" applyProtection="1">
      <alignment horizontal="right" wrapText="1"/>
    </xf>
    <xf numFmtId="0" fontId="5" fillId="6" borderId="0" xfId="0" applyFont="1" applyFill="1" applyAlignment="1" applyProtection="1">
      <alignment horizontal="center"/>
    </xf>
    <xf numFmtId="14" fontId="8" fillId="6" borderId="0" xfId="0" applyNumberFormat="1" applyFont="1" applyFill="1" applyAlignment="1" applyProtection="1">
      <alignment horizontal="right"/>
    </xf>
    <xf numFmtId="7" fontId="5" fillId="6" borderId="0" xfId="0" applyNumberFormat="1" applyFont="1" applyFill="1" applyProtection="1"/>
    <xf numFmtId="0" fontId="11" fillId="11" borderId="0" xfId="2" applyFont="1" applyFill="1" applyAlignment="1" applyProtection="1">
      <alignment horizontal="left"/>
    </xf>
    <xf numFmtId="0" fontId="0" fillId="11" borderId="0" xfId="0" applyFont="1" applyFill="1" applyProtection="1"/>
    <xf numFmtId="0" fontId="12" fillId="11" borderId="0" xfId="0" applyFont="1" applyFill="1" applyProtection="1"/>
    <xf numFmtId="0" fontId="0" fillId="11" borderId="0" xfId="0" applyFill="1" applyProtection="1"/>
    <xf numFmtId="0" fontId="0" fillId="11" borderId="0" xfId="0" applyFill="1"/>
    <xf numFmtId="0" fontId="0" fillId="11" borderId="0" xfId="0" applyFill="1" applyAlignment="1" applyProtection="1">
      <alignment horizontal="right" indent="1"/>
    </xf>
    <xf numFmtId="0" fontId="0" fillId="11" borderId="0" xfId="0" applyFont="1" applyFill="1" applyAlignment="1" applyProtection="1">
      <alignment horizontal="right" indent="1"/>
    </xf>
    <xf numFmtId="0" fontId="4" fillId="11" borderId="0" xfId="0" applyFont="1" applyFill="1" applyAlignment="1" applyProtection="1">
      <alignment horizontal="right" indent="1"/>
    </xf>
    <xf numFmtId="164" fontId="4" fillId="6" borderId="1" xfId="1" applyNumberFormat="1" applyFont="1" applyFill="1" applyBorder="1" applyProtection="1"/>
    <xf numFmtId="10" fontId="4" fillId="6" borderId="1" xfId="3" applyNumberFormat="1" applyFont="1" applyFill="1" applyBorder="1" applyProtection="1"/>
    <xf numFmtId="0" fontId="0" fillId="6" borderId="1" xfId="0" applyFont="1" applyFill="1" applyBorder="1" applyProtection="1"/>
    <xf numFmtId="14" fontId="5" fillId="6" borderId="1" xfId="0" applyNumberFormat="1" applyFont="1" applyFill="1" applyBorder="1" applyAlignment="1" applyProtection="1">
      <alignment horizontal="right" indent="1"/>
    </xf>
    <xf numFmtId="0" fontId="0" fillId="0" borderId="0" xfId="0" applyFont="1" applyAlignment="1" applyProtection="1">
      <alignment vertical="top"/>
    </xf>
    <xf numFmtId="10" fontId="0" fillId="6" borderId="0" xfId="0" applyNumberFormat="1" applyFill="1" applyAlignment="1" applyProtection="1">
      <alignment horizontal="center"/>
    </xf>
    <xf numFmtId="0" fontId="0" fillId="6" borderId="0" xfId="0" applyFill="1" applyAlignment="1" applyProtection="1">
      <alignment horizontal="center"/>
    </xf>
    <xf numFmtId="0" fontId="0" fillId="6" borderId="0" xfId="0" applyFont="1" applyFill="1" applyAlignment="1" applyProtection="1">
      <alignment horizontal="center"/>
    </xf>
    <xf numFmtId="8" fontId="0" fillId="6" borderId="0" xfId="0" applyNumberFormat="1" applyFont="1" applyFill="1" applyAlignment="1" applyProtection="1">
      <alignment horizontal="center"/>
    </xf>
    <xf numFmtId="0" fontId="3" fillId="7" borderId="7" xfId="0" applyFont="1" applyFill="1" applyBorder="1" applyAlignment="1" applyProtection="1">
      <alignment horizontal="center" wrapText="1"/>
    </xf>
    <xf numFmtId="0" fontId="3" fillId="7" borderId="7" xfId="0" applyFont="1" applyFill="1" applyBorder="1" applyAlignment="1" applyProtection="1">
      <alignment horizontal="right" wrapText="1"/>
    </xf>
    <xf numFmtId="0" fontId="20" fillId="0" borderId="6" xfId="0" applyFont="1" applyBorder="1" applyProtection="1"/>
    <xf numFmtId="0" fontId="5" fillId="11" borderId="0" xfId="0" applyFont="1" applyFill="1" applyAlignment="1" applyProtection="1">
      <alignment vertical="top" wrapText="1"/>
    </xf>
    <xf numFmtId="0" fontId="21" fillId="6" borderId="0" xfId="2" applyFont="1" applyFill="1" applyAlignment="1" applyProtection="1">
      <alignment horizontal="left"/>
    </xf>
    <xf numFmtId="0" fontId="0" fillId="6" borderId="0" xfId="0" applyFill="1" applyAlignment="1">
      <alignment vertical="center"/>
    </xf>
    <xf numFmtId="0" fontId="13" fillId="9" borderId="3" xfId="0" applyFont="1" applyFill="1" applyBorder="1" applyAlignment="1" applyProtection="1">
      <alignment horizontal="left" vertical="center"/>
    </xf>
    <xf numFmtId="0" fontId="0" fillId="0" borderId="0" xfId="0" applyAlignment="1">
      <alignment vertical="center"/>
    </xf>
    <xf numFmtId="0" fontId="0" fillId="6" borderId="0" xfId="0" applyFont="1" applyFill="1" applyAlignment="1" applyProtection="1">
      <alignment vertical="center"/>
    </xf>
    <xf numFmtId="0" fontId="0" fillId="6" borderId="0" xfId="0" applyFill="1" applyAlignment="1" applyProtection="1">
      <alignment horizontal="right" vertical="center"/>
    </xf>
    <xf numFmtId="164" fontId="4" fillId="0" borderId="2" xfId="1" applyNumberFormat="1" applyFont="1" applyFill="1" applyBorder="1" applyAlignment="1" applyProtection="1">
      <alignment vertical="center"/>
      <protection locked="0"/>
    </xf>
    <xf numFmtId="164" fontId="4" fillId="0" borderId="1" xfId="1" applyNumberFormat="1" applyFont="1" applyFill="1" applyBorder="1" applyAlignment="1" applyProtection="1">
      <alignment vertical="center"/>
      <protection locked="0"/>
    </xf>
    <xf numFmtId="0" fontId="5" fillId="6" borderId="0" xfId="0" applyFont="1" applyFill="1" applyAlignment="1">
      <alignment vertical="center"/>
    </xf>
    <xf numFmtId="6" fontId="5" fillId="6" borderId="0" xfId="0" applyNumberFormat="1" applyFont="1" applyFill="1" applyAlignment="1">
      <alignment horizontal="right" vertical="center"/>
    </xf>
    <xf numFmtId="164" fontId="3" fillId="6" borderId="0" xfId="0" applyNumberFormat="1" applyFont="1" applyFill="1" applyBorder="1" applyAlignment="1">
      <alignment vertical="center"/>
    </xf>
    <xf numFmtId="0" fontId="15" fillId="0" borderId="0" xfId="0" applyFont="1" applyAlignment="1">
      <alignment vertical="center" wrapText="1"/>
    </xf>
    <xf numFmtId="0" fontId="0" fillId="6" borderId="0" xfId="0" applyFill="1" applyBorder="1" applyAlignment="1" applyProtection="1">
      <alignment horizontal="right" vertical="center"/>
    </xf>
    <xf numFmtId="10" fontId="4" fillId="0" borderId="1" xfId="3" applyNumberFormat="1" applyFont="1" applyFill="1" applyBorder="1" applyAlignment="1" applyProtection="1">
      <alignment vertical="center"/>
      <protection locked="0"/>
    </xf>
    <xf numFmtId="164" fontId="4" fillId="6" borderId="0" xfId="1" applyNumberFormat="1" applyFont="1" applyFill="1" applyBorder="1" applyAlignment="1" applyProtection="1">
      <alignment vertical="center"/>
    </xf>
    <xf numFmtId="44" fontId="3" fillId="6" borderId="0" xfId="1" applyFont="1" applyFill="1" applyBorder="1" applyAlignment="1" applyProtection="1">
      <alignment vertical="center"/>
    </xf>
    <xf numFmtId="164" fontId="3" fillId="8" borderId="1" xfId="0" applyNumberFormat="1" applyFont="1" applyFill="1" applyBorder="1" applyAlignment="1">
      <alignment vertical="center"/>
    </xf>
    <xf numFmtId="0" fontId="0" fillId="6" borderId="0" xfId="0" applyFill="1" applyAlignment="1" applyProtection="1">
      <alignment horizontal="right" vertical="center" indent="1"/>
    </xf>
    <xf numFmtId="0" fontId="3" fillId="6" borderId="0" xfId="0" applyFont="1" applyFill="1" applyBorder="1" applyAlignment="1" applyProtection="1">
      <alignment horizontal="right" vertical="center" indent="1"/>
    </xf>
    <xf numFmtId="0" fontId="0" fillId="6" borderId="0" xfId="0" applyFill="1" applyBorder="1" applyAlignment="1" applyProtection="1">
      <alignment horizontal="right" vertical="center" indent="1"/>
    </xf>
    <xf numFmtId="0" fontId="12" fillId="6" borderId="0" xfId="0" applyFont="1" applyFill="1" applyAlignment="1" applyProtection="1">
      <alignment horizontal="right" vertical="center" indent="1"/>
    </xf>
    <xf numFmtId="0" fontId="3" fillId="6" borderId="0" xfId="0" applyFont="1" applyFill="1" applyAlignment="1" applyProtection="1">
      <alignment horizontal="right" vertical="center" indent="1"/>
    </xf>
    <xf numFmtId="0" fontId="18" fillId="13" borderId="0" xfId="0" applyFont="1" applyFill="1"/>
    <xf numFmtId="0" fontId="0" fillId="13" borderId="0" xfId="0" applyFill="1"/>
    <xf numFmtId="0" fontId="0" fillId="13" borderId="0" xfId="0" applyFill="1" applyAlignment="1">
      <alignment horizontal="right"/>
    </xf>
    <xf numFmtId="0" fontId="0" fillId="11" borderId="0" xfId="0" applyFill="1" applyAlignment="1">
      <alignment horizontal="right"/>
    </xf>
    <xf numFmtId="0" fontId="0" fillId="14" borderId="0" xfId="0" applyFill="1" applyAlignment="1">
      <alignment horizontal="right"/>
    </xf>
    <xf numFmtId="0" fontId="0" fillId="14" borderId="0" xfId="0" applyFill="1"/>
    <xf numFmtId="8" fontId="3" fillId="7" borderId="1" xfId="0" applyNumberFormat="1" applyFont="1" applyFill="1" applyBorder="1" applyAlignment="1" applyProtection="1">
      <alignment vertical="center"/>
    </xf>
    <xf numFmtId="8" fontId="0" fillId="6" borderId="1" xfId="1" applyNumberFormat="1" applyFont="1" applyFill="1" applyBorder="1" applyAlignment="1" applyProtection="1">
      <alignment vertical="center"/>
    </xf>
    <xf numFmtId="44" fontId="0" fillId="6" borderId="2" xfId="1" applyFont="1" applyFill="1" applyBorder="1" applyAlignment="1" applyProtection="1">
      <alignment vertical="center"/>
    </xf>
    <xf numFmtId="44" fontId="0" fillId="6" borderId="1" xfId="1" applyFont="1" applyFill="1" applyBorder="1" applyAlignment="1" applyProtection="1">
      <alignment vertical="center"/>
    </xf>
    <xf numFmtId="8" fontId="0" fillId="6" borderId="1" xfId="0" applyNumberFormat="1" applyFont="1" applyFill="1" applyBorder="1" applyAlignment="1" applyProtection="1">
      <alignment horizontal="right" vertical="center"/>
    </xf>
    <xf numFmtId="0" fontId="0" fillId="6" borderId="1" xfId="0" applyFont="1" applyFill="1" applyBorder="1" applyAlignment="1" applyProtection="1">
      <alignment horizontal="center" vertical="center"/>
    </xf>
    <xf numFmtId="14" fontId="0" fillId="6" borderId="1" xfId="0" applyNumberFormat="1" applyFont="1" applyFill="1" applyBorder="1" applyAlignment="1" applyProtection="1">
      <alignment horizontal="center" vertical="center"/>
    </xf>
    <xf numFmtId="0" fontId="0" fillId="6" borderId="0" xfId="0" applyFont="1" applyFill="1" applyAlignment="1" applyProtection="1">
      <alignment horizontal="right" vertical="center" indent="1"/>
    </xf>
    <xf numFmtId="0" fontId="4" fillId="6" borderId="0" xfId="0" applyFont="1" applyFill="1" applyAlignment="1" applyProtection="1">
      <alignment horizontal="right" vertical="center" indent="1"/>
    </xf>
    <xf numFmtId="0" fontId="0" fillId="6" borderId="0" xfId="0" applyFont="1" applyFill="1" applyBorder="1" applyAlignment="1" applyProtection="1">
      <alignment horizontal="right" vertical="center" indent="1"/>
    </xf>
    <xf numFmtId="0" fontId="13" fillId="9" borderId="0" xfId="0"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3" fillId="0" borderId="0" xfId="0" applyFont="1" applyProtection="1"/>
    <xf numFmtId="164" fontId="23" fillId="12" borderId="2" xfId="1" applyNumberFormat="1" applyFont="1" applyFill="1" applyBorder="1" applyAlignment="1" applyProtection="1">
      <alignment vertical="center"/>
      <protection locked="0"/>
    </xf>
    <xf numFmtId="10" fontId="23" fillId="12" borderId="1" xfId="3" applyNumberFormat="1" applyFont="1" applyFill="1" applyBorder="1" applyAlignment="1" applyProtection="1">
      <alignment vertical="center"/>
      <protection locked="0"/>
    </xf>
    <xf numFmtId="0" fontId="23" fillId="12" borderId="1" xfId="0" applyFont="1" applyFill="1" applyBorder="1" applyAlignment="1" applyProtection="1">
      <alignment vertical="center"/>
      <protection locked="0"/>
    </xf>
    <xf numFmtId="14" fontId="23" fillId="12" borderId="1" xfId="0" applyNumberFormat="1" applyFont="1" applyFill="1" applyBorder="1" applyAlignment="1" applyProtection="1">
      <alignment horizontal="right" vertical="center"/>
      <protection locked="0"/>
    </xf>
    <xf numFmtId="165" fontId="4" fillId="6" borderId="1" xfId="3" applyNumberFormat="1" applyFont="1" applyFill="1" applyBorder="1" applyAlignment="1" applyProtection="1">
      <alignment vertical="center"/>
    </xf>
    <xf numFmtId="0" fontId="0" fillId="6" borderId="2" xfId="0" applyFont="1" applyFill="1" applyBorder="1" applyAlignment="1" applyProtection="1">
      <alignment horizontal="center" vertical="center"/>
    </xf>
    <xf numFmtId="0" fontId="9" fillId="6" borderId="0" xfId="0" applyFont="1" applyFill="1" applyAlignment="1" applyProtection="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15" fillId="0" borderId="8" xfId="0" applyFont="1" applyBorder="1" applyAlignment="1">
      <alignment horizontal="left" vertical="top" wrapText="1"/>
    </xf>
    <xf numFmtId="0" fontId="15" fillId="0" borderId="0" xfId="0" applyFont="1" applyAlignment="1">
      <alignment horizontal="left" vertical="top" wrapText="1"/>
    </xf>
    <xf numFmtId="0" fontId="2" fillId="6" borderId="0" xfId="0" applyFont="1" applyFill="1" applyBorder="1" applyAlignment="1">
      <alignment horizontal="right"/>
    </xf>
    <xf numFmtId="0" fontId="8" fillId="6" borderId="0" xfId="0" applyFont="1" applyFill="1" applyBorder="1" applyAlignment="1">
      <alignment horizontal="right"/>
    </xf>
    <xf numFmtId="0" fontId="8" fillId="10" borderId="0" xfId="0" applyFont="1" applyFill="1" applyBorder="1" applyAlignment="1">
      <alignment horizontal="right" vertical="top"/>
    </xf>
    <xf numFmtId="0" fontId="0" fillId="0" borderId="0" xfId="0" applyAlignment="1" applyProtection="1">
      <alignment horizontal="left" vertical="top" wrapText="1"/>
    </xf>
    <xf numFmtId="0" fontId="0" fillId="0" borderId="0" xfId="0" applyAlignment="1" applyProtection="1">
      <alignment horizontal="left" vertical="top"/>
    </xf>
    <xf numFmtId="0" fontId="0" fillId="0" borderId="0" xfId="0" applyFont="1" applyAlignment="1" applyProtection="1">
      <alignment horizontal="left" vertical="top" wrapText="1"/>
    </xf>
    <xf numFmtId="0" fontId="17" fillId="0" borderId="0" xfId="0" applyFont="1" applyAlignment="1">
      <alignment horizontal="left" vertical="top" wrapText="1" readingOrder="1"/>
    </xf>
    <xf numFmtId="0" fontId="2" fillId="11" borderId="0" xfId="0" applyFont="1" applyFill="1" applyBorder="1" applyAlignment="1">
      <alignment horizontal="right"/>
    </xf>
    <xf numFmtId="0" fontId="8" fillId="11" borderId="0" xfId="0" applyFont="1" applyFill="1" applyBorder="1" applyAlignment="1">
      <alignment horizontal="right"/>
    </xf>
    <xf numFmtId="0" fontId="0" fillId="0" borderId="8" xfId="0" applyFont="1" applyBorder="1" applyAlignment="1" applyProtection="1">
      <alignment horizontal="left" vertical="top" wrapText="1"/>
    </xf>
    <xf numFmtId="0" fontId="0" fillId="0" borderId="0" xfId="0" applyFont="1" applyBorder="1" applyAlignment="1" applyProtection="1">
      <alignment horizontal="left" vertical="top" wrapText="1"/>
    </xf>
  </cellXfs>
  <cellStyles count="5">
    <cellStyle name="Currency" xfId="1" builtinId="4"/>
    <cellStyle name="Followed Hyperlink" xfId="4" builtinId="9" customBuiltin="1"/>
    <cellStyle name="Hyperlink" xfId="2" builtinId="8" customBuiltin="1"/>
    <cellStyle name="Normal" xfId="0" builtinId="0"/>
    <cellStyle name="Percent" xfId="3" builtinId="5"/>
  </cellStyles>
  <dxfs count="2">
    <dxf>
      <font>
        <b/>
        <i val="0"/>
        <condense val="0"/>
        <extend val="0"/>
        <color indexed="56"/>
      </font>
      <fill>
        <patternFill>
          <bgColor indexed="46"/>
        </patternFill>
      </fill>
    </dxf>
    <dxf>
      <font>
        <b/>
        <i val="0"/>
        <condense val="0"/>
        <extend val="0"/>
        <color indexed="56"/>
      </font>
      <fill>
        <patternFill>
          <bgColor indexed="4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A0C9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EBF3E4"/>
      <rgbColor rgb="00EDE4F3"/>
      <rgbColor rgb="001849B5"/>
      <rgbColor rgb="0036ACA2"/>
      <rgbColor rgb="00F0BA00"/>
      <rgbColor rgb="00D2BCE1"/>
      <rgbColor rgb="00AC83C9"/>
      <rgbColor rgb="00673B87"/>
      <rgbColor rgb="005B873B"/>
      <rgbColor rgb="00B2B2B2"/>
      <rgbColor rgb="00003366"/>
      <rgbColor rgb="00109618"/>
      <rgbColor rgb="00085108"/>
      <rgbColor rgb="00635100"/>
      <rgbColor rgb="00442759"/>
      <rgbColor rgb="00CBE1BC"/>
      <rgbColor rgb="003C5927"/>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31515139831171"/>
          <c:y val="9.8591922239136751E-2"/>
          <c:w val="0.84458454569589703"/>
          <c:h val="0.68902538000008939"/>
        </c:manualLayout>
      </c:layout>
      <c:scatterChart>
        <c:scatterStyle val="lineMarker"/>
        <c:varyColors val="0"/>
        <c:ser>
          <c:idx val="0"/>
          <c:order val="0"/>
          <c:tx>
            <c:v>Balance</c:v>
          </c:tx>
          <c:spPr>
            <a:ln w="38100">
              <a:solidFill>
                <a:srgbClr val="000080"/>
              </a:solidFill>
              <a:prstDash val="solid"/>
            </a:ln>
          </c:spPr>
          <c:marker>
            <c:symbol val="none"/>
          </c:marker>
          <c:xVal>
            <c:strRef>
              <c:f>PaymentCalculator!$A$20:$A$176</c:f>
              <c:strCache>
                <c:ptCount val="37"/>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strCache>
            </c:strRef>
          </c:xVal>
          <c:yVal>
            <c:numRef>
              <c:f>PaymentCalculator!$H$20:$H$176</c:f>
              <c:numCache>
                <c:formatCode>#,##0.00</c:formatCode>
                <c:ptCount val="157"/>
                <c:pt idx="0" formatCode="&quot;$&quot;#,##0.00_);\(&quot;$&quot;#,##0.00\)">
                  <c:v>20000</c:v>
                </c:pt>
                <c:pt idx="1">
                  <c:v>19510.32</c:v>
                </c:pt>
                <c:pt idx="2">
                  <c:v>19017.169999999998</c:v>
                </c:pt>
                <c:pt idx="3">
                  <c:v>18520.519999999997</c:v>
                </c:pt>
                <c:pt idx="4">
                  <c:v>18020.359999999997</c:v>
                </c:pt>
                <c:pt idx="5">
                  <c:v>17516.649999999998</c:v>
                </c:pt>
                <c:pt idx="6">
                  <c:v>17009.379999999997</c:v>
                </c:pt>
                <c:pt idx="7">
                  <c:v>16498.509999999998</c:v>
                </c:pt>
                <c:pt idx="8">
                  <c:v>15984.019999999999</c:v>
                </c:pt>
                <c:pt idx="9">
                  <c:v>15465.89</c:v>
                </c:pt>
                <c:pt idx="10">
                  <c:v>14944.09</c:v>
                </c:pt>
                <c:pt idx="11">
                  <c:v>14418.59</c:v>
                </c:pt>
                <c:pt idx="12">
                  <c:v>13889.37</c:v>
                </c:pt>
                <c:pt idx="13">
                  <c:v>13356.400000000001</c:v>
                </c:pt>
                <c:pt idx="14">
                  <c:v>12819.660000000002</c:v>
                </c:pt>
                <c:pt idx="15">
                  <c:v>12279.120000000003</c:v>
                </c:pt>
                <c:pt idx="16">
                  <c:v>11734.750000000002</c:v>
                </c:pt>
                <c:pt idx="17">
                  <c:v>11186.520000000002</c:v>
                </c:pt>
                <c:pt idx="18">
                  <c:v>10634.410000000002</c:v>
                </c:pt>
                <c:pt idx="19">
                  <c:v>10078.390000000001</c:v>
                </c:pt>
                <c:pt idx="20">
                  <c:v>9518.43</c:v>
                </c:pt>
                <c:pt idx="21">
                  <c:v>8954.5</c:v>
                </c:pt>
                <c:pt idx="22">
                  <c:v>8386.58</c:v>
                </c:pt>
                <c:pt idx="23">
                  <c:v>7814.63</c:v>
                </c:pt>
                <c:pt idx="24">
                  <c:v>7238.63</c:v>
                </c:pt>
                <c:pt idx="25">
                  <c:v>6658.55</c:v>
                </c:pt>
                <c:pt idx="26">
                  <c:v>6074.3600000000006</c:v>
                </c:pt>
                <c:pt idx="27">
                  <c:v>5486.0400000000009</c:v>
                </c:pt>
                <c:pt idx="28">
                  <c:v>4893.5500000000011</c:v>
                </c:pt>
                <c:pt idx="29">
                  <c:v>4296.8600000000006</c:v>
                </c:pt>
                <c:pt idx="30">
                  <c:v>3695.9500000000007</c:v>
                </c:pt>
                <c:pt idx="31">
                  <c:v>3090.7800000000007</c:v>
                </c:pt>
                <c:pt idx="32">
                  <c:v>2481.3200000000006</c:v>
                </c:pt>
                <c:pt idx="33">
                  <c:v>1867.5500000000006</c:v>
                </c:pt>
                <c:pt idx="34">
                  <c:v>1249.4300000000007</c:v>
                </c:pt>
                <c:pt idx="35">
                  <c:v>626.93000000000075</c:v>
                </c:pt>
                <c:pt idx="36">
                  <c:v>7.9580786405131221E-13</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numCache>
            </c:numRef>
          </c:yVal>
          <c:smooth val="0"/>
          <c:extLst>
            <c:ext xmlns:c16="http://schemas.microsoft.com/office/drawing/2014/chart" uri="{C3380CC4-5D6E-409C-BE32-E72D297353CC}">
              <c16:uniqueId val="{00000000-D380-4987-9592-2A6AA504F54B}"/>
            </c:ext>
          </c:extLst>
        </c:ser>
        <c:ser>
          <c:idx val="1"/>
          <c:order val="1"/>
          <c:tx>
            <c:v>No Extra Payments</c:v>
          </c:tx>
          <c:spPr>
            <a:ln w="19050">
              <a:solidFill>
                <a:srgbClr val="FF00FF"/>
              </a:solidFill>
              <a:prstDash val="solid"/>
            </a:ln>
          </c:spPr>
          <c:marker>
            <c:symbol val="none"/>
          </c:marker>
          <c:xVal>
            <c:strRef>
              <c:f>PaymentCalculator!$M$20:$M$176</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strCache>
            </c:strRef>
          </c:xVal>
          <c:yVal>
            <c:numRef>
              <c:f>PaymentCalculator!$O$20:$O$176</c:f>
              <c:numCache>
                <c:formatCode>#,##0.00</c:formatCode>
                <c:ptCount val="157"/>
                <c:pt idx="0" formatCode="&quot;$&quot;#,##0.00_);\(&quot;$&quot;#,##0.00\)">
                  <c:v>20000</c:v>
                </c:pt>
                <c:pt idx="1">
                  <c:v>19510.316666666669</c:v>
                </c:pt>
                <c:pt idx="2">
                  <c:v>19017.164743055553</c:v>
                </c:pt>
                <c:pt idx="3">
                  <c:v>18520.519659985537</c:v>
                </c:pt>
                <c:pt idx="4">
                  <c:v>18020.356674243758</c:v>
                </c:pt>
                <c:pt idx="5">
                  <c:v>17516.650867352993</c:v>
                </c:pt>
                <c:pt idx="6">
                  <c:v>17009.377144330065</c:v>
                </c:pt>
                <c:pt idx="7">
                  <c:v>16498.51023243575</c:v>
                </c:pt>
                <c:pt idx="8">
                  <c:v>15984.024679915481</c:v>
                </c:pt>
                <c:pt idx="9">
                  <c:v>15465.894854731545</c:v>
                </c:pt>
                <c:pt idx="10">
                  <c:v>14944.094943285902</c:v>
                </c:pt>
                <c:pt idx="11">
                  <c:v>14418.598949134182</c:v>
                </c:pt>
                <c:pt idx="12">
                  <c:v>13889.380691690531</c:v>
                </c:pt>
                <c:pt idx="13">
                  <c:v>13356.41380492335</c:v>
                </c:pt>
                <c:pt idx="14">
                  <c:v>12819.671736041553</c:v>
                </c:pt>
                <c:pt idx="15">
                  <c:v>12279.127744171859</c:v>
                </c:pt>
                <c:pt idx="16">
                  <c:v>11734.754899026393</c:v>
                </c:pt>
                <c:pt idx="17">
                  <c:v>11186.526079561163</c:v>
                </c:pt>
                <c:pt idx="18">
                  <c:v>10634.413972624721</c:v>
                </c:pt>
                <c:pt idx="19">
                  <c:v>10078.391071597485</c:v>
                </c:pt>
                <c:pt idx="20">
                  <c:v>9518.4296750212852</c:v>
                </c:pt>
                <c:pt idx="21">
                  <c:v>8954.501885219368</c:v>
                </c:pt>
                <c:pt idx="22">
                  <c:v>8386.5796069063199</c:v>
                </c:pt>
                <c:pt idx="23">
                  <c:v>7814.6345457885836</c:v>
                </c:pt>
                <c:pt idx="24">
                  <c:v>7238.638207154574</c:v>
                </c:pt>
                <c:pt idx="25">
                  <c:v>6658.5618944552371</c:v>
                </c:pt>
                <c:pt idx="26">
                  <c:v>6074.3767078743113</c:v>
                </c:pt>
                <c:pt idx="27">
                  <c:v>5486.0535428884323</c:v>
                </c:pt>
                <c:pt idx="28">
                  <c:v>4893.5630888171981</c:v>
                </c:pt>
                <c:pt idx="29">
                  <c:v>4296.8758273630046</c:v>
                </c:pt>
                <c:pt idx="30">
                  <c:v>3695.9620311401522</c:v>
                </c:pt>
                <c:pt idx="31">
                  <c:v>3090.7917621940651</c:v>
                </c:pt>
                <c:pt idx="32">
                  <c:v>2481.3348705095959</c:v>
                </c:pt>
                <c:pt idx="33">
                  <c:v>1867.560992509043</c:v>
                </c:pt>
                <c:pt idx="34">
                  <c:v>1249.4395495393001</c:v>
                </c:pt>
                <c:pt idx="35">
                  <c:v>626.93974634855476</c:v>
                </c:pt>
                <c:pt idx="36">
                  <c:v>3.0569551847293042E-2</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numCache>
            </c:numRef>
          </c:yVal>
          <c:smooth val="0"/>
          <c:extLst>
            <c:ext xmlns:c16="http://schemas.microsoft.com/office/drawing/2014/chart" uri="{C3380CC4-5D6E-409C-BE32-E72D297353CC}">
              <c16:uniqueId val="{00000001-D380-4987-9592-2A6AA504F54B}"/>
            </c:ext>
          </c:extLst>
        </c:ser>
        <c:dLbls>
          <c:showLegendKey val="0"/>
          <c:showVal val="0"/>
          <c:showCatName val="0"/>
          <c:showSerName val="0"/>
          <c:showPercent val="0"/>
          <c:showBubbleSize val="0"/>
        </c:dLbls>
        <c:axId val="113014656"/>
        <c:axId val="113016192"/>
      </c:scatterChart>
      <c:valAx>
        <c:axId val="113014656"/>
        <c:scaling>
          <c:orientation val="minMax"/>
        </c:scaling>
        <c:delete val="0"/>
        <c:axPos val="b"/>
        <c:title>
          <c:tx>
            <c:rich>
              <a:bodyPr/>
              <a:lstStyle/>
              <a:p>
                <a:pPr>
                  <a:defRPr/>
                </a:pPr>
                <a:r>
                  <a:rPr lang="en-US"/>
                  <a:t>Payment Number</a:t>
                </a:r>
              </a:p>
            </c:rich>
          </c:tx>
          <c:layout/>
          <c:overlay val="0"/>
        </c:title>
        <c:numFmt formatCode="General" sourceLinked="0"/>
        <c:majorTickMark val="out"/>
        <c:minorTickMark val="none"/>
        <c:tickLblPos val="nextTo"/>
        <c:spPr>
          <a:ln w="3175">
            <a:solidFill>
              <a:srgbClr val="000000"/>
            </a:solidFill>
            <a:prstDash val="solid"/>
          </a:ln>
        </c:spPr>
        <c:txPr>
          <a:bodyPr rot="0" vert="horz"/>
          <a:lstStyle/>
          <a:p>
            <a:pPr>
              <a:defRPr/>
            </a:pPr>
            <a:endParaRPr lang="en-US"/>
          </a:p>
        </c:txPr>
        <c:crossAx val="113016192"/>
        <c:crosses val="autoZero"/>
        <c:crossBetween val="midCat"/>
      </c:valAx>
      <c:valAx>
        <c:axId val="113016192"/>
        <c:scaling>
          <c:orientation val="minMax"/>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a:pPr>
            <a:endParaRPr lang="en-US"/>
          </a:p>
        </c:txPr>
        <c:crossAx val="113014656"/>
        <c:crosses val="autoZero"/>
        <c:crossBetween val="midCat"/>
      </c:valAx>
      <c:spPr>
        <a:noFill/>
        <a:ln w="25400">
          <a:noFill/>
        </a:ln>
      </c:spPr>
    </c:plotArea>
    <c:legend>
      <c:legendPos val="r"/>
      <c:layout>
        <c:manualLayout>
          <c:xMode val="edge"/>
          <c:yMode val="edge"/>
          <c:x val="0.46124205593680329"/>
          <c:y val="3.5211388683527328E-2"/>
          <c:w val="0.53016622922134737"/>
          <c:h val="0.23056590118136208"/>
        </c:manualLayout>
      </c:layout>
      <c:overlay val="0"/>
      <c:spPr>
        <a:noFill/>
        <a:ln w="25400">
          <a:noFill/>
        </a:ln>
      </c:spPr>
    </c:legend>
    <c:plotVisOnly val="0"/>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84151954804185"/>
          <c:y val="6.7227028679401668E-2"/>
          <c:w val="0.74143527743890381"/>
          <c:h val="0.80252265486035745"/>
        </c:manualLayout>
      </c:layout>
      <c:lineChart>
        <c:grouping val="standard"/>
        <c:varyColors val="0"/>
        <c:ser>
          <c:idx val="0"/>
          <c:order val="0"/>
          <c:tx>
            <c:strRef>
              <c:f>LoanComparisons!$C$20</c:f>
              <c:strCache>
                <c:ptCount val="1"/>
                <c:pt idx="0">
                  <c:v>Payment</c:v>
                </c:pt>
              </c:strCache>
            </c:strRef>
          </c:tx>
          <c:spPr>
            <a:ln w="25400">
              <a:solidFill>
                <a:srgbClr val="000080"/>
              </a:solidFill>
              <a:prstDash val="solid"/>
            </a:ln>
          </c:spPr>
          <c:marker>
            <c:symbol val="circle"/>
            <c:size val="5"/>
            <c:spPr>
              <a:solidFill>
                <a:srgbClr val="000080"/>
              </a:solidFill>
              <a:ln>
                <a:solidFill>
                  <a:srgbClr val="000080"/>
                </a:solidFill>
                <a:prstDash val="solid"/>
              </a:ln>
            </c:spPr>
          </c:marker>
          <c:cat>
            <c:numRef>
              <c:f>LoanComparisons!$A$22:$A$32</c:f>
              <c:numCache>
                <c:formatCode>General</c:formatCode>
                <c:ptCount val="11"/>
                <c:pt idx="0">
                  <c:v>12</c:v>
                </c:pt>
                <c:pt idx="1">
                  <c:v>18</c:v>
                </c:pt>
                <c:pt idx="2">
                  <c:v>24</c:v>
                </c:pt>
                <c:pt idx="3">
                  <c:v>30</c:v>
                </c:pt>
                <c:pt idx="4">
                  <c:v>36</c:v>
                </c:pt>
                <c:pt idx="5">
                  <c:v>42</c:v>
                </c:pt>
                <c:pt idx="6">
                  <c:v>48</c:v>
                </c:pt>
                <c:pt idx="7">
                  <c:v>54</c:v>
                </c:pt>
                <c:pt idx="8">
                  <c:v>60</c:v>
                </c:pt>
                <c:pt idx="9">
                  <c:v>66</c:v>
                </c:pt>
                <c:pt idx="10">
                  <c:v>72</c:v>
                </c:pt>
              </c:numCache>
            </c:numRef>
          </c:cat>
          <c:val>
            <c:numRef>
              <c:f>LoanComparisons!$C$22:$C$32</c:f>
              <c:numCache>
                <c:formatCode>#,##0.00</c:formatCode>
                <c:ptCount val="11"/>
                <c:pt idx="0">
                  <c:v>1744.4</c:v>
                </c:pt>
                <c:pt idx="1">
                  <c:v>1187.3699999999999</c:v>
                </c:pt>
                <c:pt idx="2">
                  <c:v>909.11</c:v>
                </c:pt>
                <c:pt idx="3">
                  <c:v>742.36</c:v>
                </c:pt>
                <c:pt idx="4">
                  <c:v>631.35</c:v>
                </c:pt>
                <c:pt idx="5">
                  <c:v>552.20000000000005</c:v>
                </c:pt>
                <c:pt idx="6">
                  <c:v>492.97</c:v>
                </c:pt>
                <c:pt idx="7">
                  <c:v>447</c:v>
                </c:pt>
                <c:pt idx="8">
                  <c:v>410.33</c:v>
                </c:pt>
                <c:pt idx="9">
                  <c:v>380.42</c:v>
                </c:pt>
                <c:pt idx="10">
                  <c:v>355.57</c:v>
                </c:pt>
              </c:numCache>
            </c:numRef>
          </c:val>
          <c:smooth val="0"/>
          <c:extLst>
            <c:ext xmlns:c16="http://schemas.microsoft.com/office/drawing/2014/chart" uri="{C3380CC4-5D6E-409C-BE32-E72D297353CC}">
              <c16:uniqueId val="{00000000-13DC-449D-810D-DD7F1A101AC7}"/>
            </c:ext>
          </c:extLst>
        </c:ser>
        <c:dLbls>
          <c:showLegendKey val="0"/>
          <c:showVal val="0"/>
          <c:showCatName val="0"/>
          <c:showSerName val="0"/>
          <c:showPercent val="0"/>
          <c:showBubbleSize val="0"/>
        </c:dLbls>
        <c:marker val="1"/>
        <c:smooth val="0"/>
        <c:axId val="113067136"/>
        <c:axId val="113069440"/>
      </c:lineChart>
      <c:lineChart>
        <c:grouping val="standard"/>
        <c:varyColors val="0"/>
        <c:ser>
          <c:idx val="1"/>
          <c:order val="1"/>
          <c:tx>
            <c:strRef>
              <c:f>LoanComparisons!$D$20</c:f>
              <c:strCache>
                <c:ptCount val="1"/>
                <c:pt idx="0">
                  <c:v>Total Interest</c:v>
                </c:pt>
              </c:strCache>
            </c:strRef>
          </c:tx>
          <c:spPr>
            <a:ln w="12700">
              <a:solidFill>
                <a:srgbClr val="FF0000"/>
              </a:solidFill>
              <a:prstDash val="solid"/>
            </a:ln>
          </c:spPr>
          <c:marker>
            <c:symbol val="triangle"/>
            <c:size val="4"/>
            <c:spPr>
              <a:solidFill>
                <a:srgbClr val="FF0000"/>
              </a:solidFill>
              <a:ln>
                <a:solidFill>
                  <a:srgbClr val="FF0000"/>
                </a:solidFill>
                <a:prstDash val="solid"/>
              </a:ln>
            </c:spPr>
          </c:marker>
          <c:cat>
            <c:numRef>
              <c:f>LoanComparisons!$A$22:$A$32</c:f>
              <c:numCache>
                <c:formatCode>General</c:formatCode>
                <c:ptCount val="11"/>
                <c:pt idx="0">
                  <c:v>12</c:v>
                </c:pt>
                <c:pt idx="1">
                  <c:v>18</c:v>
                </c:pt>
                <c:pt idx="2">
                  <c:v>24</c:v>
                </c:pt>
                <c:pt idx="3">
                  <c:v>30</c:v>
                </c:pt>
                <c:pt idx="4">
                  <c:v>36</c:v>
                </c:pt>
                <c:pt idx="5">
                  <c:v>42</c:v>
                </c:pt>
                <c:pt idx="6">
                  <c:v>48</c:v>
                </c:pt>
                <c:pt idx="7">
                  <c:v>54</c:v>
                </c:pt>
                <c:pt idx="8">
                  <c:v>60</c:v>
                </c:pt>
                <c:pt idx="9">
                  <c:v>66</c:v>
                </c:pt>
                <c:pt idx="10">
                  <c:v>72</c:v>
                </c:pt>
              </c:numCache>
            </c:numRef>
          </c:cat>
          <c:val>
            <c:numRef>
              <c:f>LoanComparisons!$D$22:$D$32</c:f>
              <c:numCache>
                <c:formatCode>#,##0.00</c:formatCode>
                <c:ptCount val="11"/>
                <c:pt idx="0">
                  <c:v>932.80000000000291</c:v>
                </c:pt>
                <c:pt idx="1">
                  <c:v>1372.6599999999962</c:v>
                </c:pt>
                <c:pt idx="2">
                  <c:v>1818.6399999999994</c:v>
                </c:pt>
                <c:pt idx="3">
                  <c:v>2270.7999999999993</c:v>
                </c:pt>
                <c:pt idx="4">
                  <c:v>2728.6000000000022</c:v>
                </c:pt>
                <c:pt idx="5">
                  <c:v>3192.4000000000015</c:v>
                </c:pt>
                <c:pt idx="6">
                  <c:v>3662.5600000000013</c:v>
                </c:pt>
                <c:pt idx="7">
                  <c:v>4138</c:v>
                </c:pt>
                <c:pt idx="8">
                  <c:v>4619.7999999999993</c:v>
                </c:pt>
                <c:pt idx="9">
                  <c:v>5107.7200000000012</c:v>
                </c:pt>
                <c:pt idx="10">
                  <c:v>5601.0400000000009</c:v>
                </c:pt>
              </c:numCache>
            </c:numRef>
          </c:val>
          <c:smooth val="0"/>
          <c:extLst>
            <c:ext xmlns:c16="http://schemas.microsoft.com/office/drawing/2014/chart" uri="{C3380CC4-5D6E-409C-BE32-E72D297353CC}">
              <c16:uniqueId val="{00000001-13DC-449D-810D-DD7F1A101AC7}"/>
            </c:ext>
          </c:extLst>
        </c:ser>
        <c:dLbls>
          <c:showLegendKey val="0"/>
          <c:showVal val="0"/>
          <c:showCatName val="0"/>
          <c:showSerName val="0"/>
          <c:showPercent val="0"/>
          <c:showBubbleSize val="0"/>
        </c:dLbls>
        <c:marker val="1"/>
        <c:smooth val="0"/>
        <c:axId val="113083520"/>
        <c:axId val="113085056"/>
      </c:lineChart>
      <c:catAx>
        <c:axId val="11306713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Number of Payments</a:t>
                </a:r>
              </a:p>
            </c:rich>
          </c:tx>
          <c:layout>
            <c:manualLayout>
              <c:xMode val="edge"/>
              <c:yMode val="edge"/>
              <c:x val="0.30218160467047761"/>
              <c:y val="0.7773125191055818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069440"/>
        <c:crosses val="autoZero"/>
        <c:auto val="1"/>
        <c:lblAlgn val="ctr"/>
        <c:lblOffset val="100"/>
        <c:tickLblSkip val="1"/>
        <c:tickMarkSkip val="1"/>
        <c:noMultiLvlLbl val="0"/>
      </c:catAx>
      <c:valAx>
        <c:axId val="113069440"/>
        <c:scaling>
          <c:orientation val="minMax"/>
        </c:scaling>
        <c:delete val="0"/>
        <c:axPos val="l"/>
        <c:numFmt formatCode="#,##0" sourceLinked="0"/>
        <c:majorTickMark val="out"/>
        <c:minorTickMark val="none"/>
        <c:tickLblPos val="nextTo"/>
        <c:spPr>
          <a:ln w="3175">
            <a:solidFill>
              <a:srgbClr val="000080"/>
            </a:solidFill>
            <a:prstDash val="solid"/>
          </a:ln>
        </c:spPr>
        <c:txPr>
          <a:bodyPr rot="0" vert="horz"/>
          <a:lstStyle/>
          <a:p>
            <a:pPr>
              <a:defRPr sz="800" b="0" i="0" u="none" strike="noStrike" baseline="0">
                <a:solidFill>
                  <a:srgbClr val="000080"/>
                </a:solidFill>
                <a:latin typeface="Arial"/>
                <a:ea typeface="Arial"/>
                <a:cs typeface="Arial"/>
              </a:defRPr>
            </a:pPr>
            <a:endParaRPr lang="en-US"/>
          </a:p>
        </c:txPr>
        <c:crossAx val="113067136"/>
        <c:crosses val="autoZero"/>
        <c:crossBetween val="between"/>
      </c:valAx>
      <c:catAx>
        <c:axId val="113083520"/>
        <c:scaling>
          <c:orientation val="minMax"/>
        </c:scaling>
        <c:delete val="1"/>
        <c:axPos val="b"/>
        <c:numFmt formatCode="General" sourceLinked="1"/>
        <c:majorTickMark val="out"/>
        <c:minorTickMark val="none"/>
        <c:tickLblPos val="nextTo"/>
        <c:crossAx val="113085056"/>
        <c:crosses val="autoZero"/>
        <c:auto val="1"/>
        <c:lblAlgn val="ctr"/>
        <c:lblOffset val="100"/>
        <c:noMultiLvlLbl val="0"/>
      </c:catAx>
      <c:valAx>
        <c:axId val="113085056"/>
        <c:scaling>
          <c:orientation val="minMax"/>
        </c:scaling>
        <c:delete val="0"/>
        <c:axPos val="r"/>
        <c:numFmt formatCode="#,##0" sourceLinked="0"/>
        <c:majorTickMark val="cross"/>
        <c:minorTickMark val="none"/>
        <c:tickLblPos val="nextTo"/>
        <c:spPr>
          <a:ln w="3175">
            <a:solidFill>
              <a:srgbClr val="FF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113083520"/>
        <c:crosses val="max"/>
        <c:crossBetween val="between"/>
      </c:valAx>
      <c:spPr>
        <a:noFill/>
        <a:ln w="25400">
          <a:noFill/>
        </a:ln>
      </c:spPr>
    </c:plotArea>
    <c:legend>
      <c:legendPos val="r"/>
      <c:layout>
        <c:manualLayout>
          <c:xMode val="edge"/>
          <c:yMode val="edge"/>
          <c:x val="0.29906633039552422"/>
          <c:y val="4.2016892924626043E-2"/>
          <c:w val="0.42056202711870594"/>
          <c:h val="0.15546250382111637"/>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80405107346145"/>
          <c:y val="7.3891625615763554E-2"/>
          <c:w val="0.76947274591348425"/>
          <c:h val="0.67980295566502458"/>
        </c:manualLayout>
      </c:layout>
      <c:lineChart>
        <c:grouping val="standard"/>
        <c:varyColors val="0"/>
        <c:ser>
          <c:idx val="0"/>
          <c:order val="0"/>
          <c:tx>
            <c:strRef>
              <c:f>LoanComparisons!$C$35</c:f>
              <c:strCache>
                <c:ptCount val="1"/>
                <c:pt idx="0">
                  <c:v>Payment</c:v>
                </c:pt>
              </c:strCache>
            </c:strRef>
          </c:tx>
          <c:spPr>
            <a:ln w="25400">
              <a:solidFill>
                <a:srgbClr val="000080"/>
              </a:solidFill>
              <a:prstDash val="solid"/>
            </a:ln>
          </c:spPr>
          <c:marker>
            <c:symbol val="circle"/>
            <c:size val="5"/>
            <c:spPr>
              <a:solidFill>
                <a:srgbClr val="000080"/>
              </a:solidFill>
              <a:ln>
                <a:solidFill>
                  <a:srgbClr val="000080"/>
                </a:solidFill>
                <a:prstDash val="solid"/>
              </a:ln>
            </c:spPr>
          </c:marker>
          <c:cat>
            <c:numRef>
              <c:f>LoanComparisons!$A$36:$A$41</c:f>
              <c:numCache>
                <c:formatCode>"$"#,##0.00_);[Red]\("$"#,##0.00\)</c:formatCode>
                <c:ptCount val="6"/>
                <c:pt idx="0">
                  <c:v>0</c:v>
                </c:pt>
                <c:pt idx="1">
                  <c:v>1000</c:v>
                </c:pt>
                <c:pt idx="2">
                  <c:v>2000</c:v>
                </c:pt>
                <c:pt idx="3">
                  <c:v>3000</c:v>
                </c:pt>
                <c:pt idx="4">
                  <c:v>4000</c:v>
                </c:pt>
                <c:pt idx="5">
                  <c:v>5000</c:v>
                </c:pt>
              </c:numCache>
            </c:numRef>
          </c:cat>
          <c:val>
            <c:numRef>
              <c:f>LoanComparisons!$C$36:$C$41</c:f>
              <c:numCache>
                <c:formatCode>#,##0.00</c:formatCode>
                <c:ptCount val="6"/>
                <c:pt idx="0">
                  <c:v>631.35</c:v>
                </c:pt>
                <c:pt idx="1">
                  <c:v>599.78</c:v>
                </c:pt>
                <c:pt idx="2">
                  <c:v>568.22</c:v>
                </c:pt>
                <c:pt idx="3">
                  <c:v>536.65</c:v>
                </c:pt>
                <c:pt idx="4">
                  <c:v>505.08</c:v>
                </c:pt>
                <c:pt idx="5">
                  <c:v>473.51</c:v>
                </c:pt>
              </c:numCache>
            </c:numRef>
          </c:val>
          <c:smooth val="0"/>
          <c:extLst>
            <c:ext xmlns:c16="http://schemas.microsoft.com/office/drawing/2014/chart" uri="{C3380CC4-5D6E-409C-BE32-E72D297353CC}">
              <c16:uniqueId val="{00000000-C88A-4929-9652-58EB2A1EA228}"/>
            </c:ext>
          </c:extLst>
        </c:ser>
        <c:dLbls>
          <c:showLegendKey val="0"/>
          <c:showVal val="0"/>
          <c:showCatName val="0"/>
          <c:showSerName val="0"/>
          <c:showPercent val="0"/>
          <c:showBubbleSize val="0"/>
        </c:dLbls>
        <c:marker val="1"/>
        <c:smooth val="0"/>
        <c:axId val="113106944"/>
        <c:axId val="113109248"/>
      </c:lineChart>
      <c:lineChart>
        <c:grouping val="standard"/>
        <c:varyColors val="0"/>
        <c:ser>
          <c:idx val="1"/>
          <c:order val="1"/>
          <c:tx>
            <c:strRef>
              <c:f>LoanComparisons!$D$35</c:f>
              <c:strCache>
                <c:ptCount val="1"/>
                <c:pt idx="0">
                  <c:v>Total Interest</c:v>
                </c:pt>
              </c:strCache>
            </c:strRef>
          </c:tx>
          <c:spPr>
            <a:ln w="12700">
              <a:solidFill>
                <a:srgbClr val="FF0000"/>
              </a:solidFill>
              <a:prstDash val="solid"/>
            </a:ln>
          </c:spPr>
          <c:marker>
            <c:symbol val="triangle"/>
            <c:size val="4"/>
            <c:spPr>
              <a:solidFill>
                <a:srgbClr val="FF0000"/>
              </a:solidFill>
              <a:ln>
                <a:solidFill>
                  <a:srgbClr val="FF0000"/>
                </a:solidFill>
                <a:prstDash val="solid"/>
              </a:ln>
            </c:spPr>
          </c:marker>
          <c:cat>
            <c:numRef>
              <c:f>LoanComparisons!$A$36:$A$41</c:f>
              <c:numCache>
                <c:formatCode>"$"#,##0.00_);[Red]\("$"#,##0.00\)</c:formatCode>
                <c:ptCount val="6"/>
                <c:pt idx="0">
                  <c:v>0</c:v>
                </c:pt>
                <c:pt idx="1">
                  <c:v>1000</c:v>
                </c:pt>
                <c:pt idx="2">
                  <c:v>2000</c:v>
                </c:pt>
                <c:pt idx="3">
                  <c:v>3000</c:v>
                </c:pt>
                <c:pt idx="4">
                  <c:v>4000</c:v>
                </c:pt>
                <c:pt idx="5">
                  <c:v>5000</c:v>
                </c:pt>
              </c:numCache>
            </c:numRef>
          </c:cat>
          <c:val>
            <c:numRef>
              <c:f>LoanComparisons!$D$36:$D$41</c:f>
              <c:numCache>
                <c:formatCode>#,##0.00</c:formatCode>
                <c:ptCount val="6"/>
                <c:pt idx="0">
                  <c:v>2728.6000000000022</c:v>
                </c:pt>
                <c:pt idx="1">
                  <c:v>2592.0799999999981</c:v>
                </c:pt>
                <c:pt idx="2">
                  <c:v>2455.9200000000019</c:v>
                </c:pt>
                <c:pt idx="3">
                  <c:v>2319.3999999999978</c:v>
                </c:pt>
                <c:pt idx="4">
                  <c:v>2182.880000000001</c:v>
                </c:pt>
                <c:pt idx="5">
                  <c:v>2046.3600000000006</c:v>
                </c:pt>
              </c:numCache>
            </c:numRef>
          </c:val>
          <c:smooth val="0"/>
          <c:extLst>
            <c:ext xmlns:c16="http://schemas.microsoft.com/office/drawing/2014/chart" uri="{C3380CC4-5D6E-409C-BE32-E72D297353CC}">
              <c16:uniqueId val="{00000001-C88A-4929-9652-58EB2A1EA228}"/>
            </c:ext>
          </c:extLst>
        </c:ser>
        <c:dLbls>
          <c:showLegendKey val="0"/>
          <c:showVal val="0"/>
          <c:showCatName val="0"/>
          <c:showSerName val="0"/>
          <c:showPercent val="0"/>
          <c:showBubbleSize val="0"/>
        </c:dLbls>
        <c:marker val="1"/>
        <c:smooth val="0"/>
        <c:axId val="113115136"/>
        <c:axId val="113116672"/>
      </c:lineChart>
      <c:catAx>
        <c:axId val="11310694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Down Payment</a:t>
                </a:r>
              </a:p>
            </c:rich>
          </c:tx>
          <c:layout>
            <c:manualLayout>
              <c:xMode val="edge"/>
              <c:yMode val="edge"/>
              <c:x val="0.33956489596991812"/>
              <c:y val="0.64532019704433496"/>
            </c:manualLayout>
          </c:layout>
          <c:overlay val="0"/>
          <c:spPr>
            <a:noFill/>
            <a:ln w="25400">
              <a:noFill/>
            </a:ln>
          </c:spPr>
        </c:title>
        <c:numFmt formatCode="\$#,##0_);[Red]\(\$#,##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13109248"/>
        <c:crosses val="autoZero"/>
        <c:auto val="1"/>
        <c:lblAlgn val="ctr"/>
        <c:lblOffset val="100"/>
        <c:tickLblSkip val="1"/>
        <c:tickMarkSkip val="1"/>
        <c:noMultiLvlLbl val="0"/>
      </c:catAx>
      <c:valAx>
        <c:axId val="113109248"/>
        <c:scaling>
          <c:orientation val="minMax"/>
        </c:scaling>
        <c:delete val="0"/>
        <c:axPos val="l"/>
        <c:numFmt formatCode="#,##0" sourceLinked="0"/>
        <c:majorTickMark val="out"/>
        <c:minorTickMark val="none"/>
        <c:tickLblPos val="nextTo"/>
        <c:spPr>
          <a:ln w="3175">
            <a:solidFill>
              <a:srgbClr val="000080"/>
            </a:solidFill>
            <a:prstDash val="solid"/>
          </a:ln>
        </c:spPr>
        <c:txPr>
          <a:bodyPr rot="0" vert="horz"/>
          <a:lstStyle/>
          <a:p>
            <a:pPr>
              <a:defRPr sz="800" b="0" i="0" u="none" strike="noStrike" baseline="0">
                <a:solidFill>
                  <a:srgbClr val="000080"/>
                </a:solidFill>
                <a:latin typeface="Arial"/>
                <a:ea typeface="Arial"/>
                <a:cs typeface="Arial"/>
              </a:defRPr>
            </a:pPr>
            <a:endParaRPr lang="en-US"/>
          </a:p>
        </c:txPr>
        <c:crossAx val="113106944"/>
        <c:crosses val="autoZero"/>
        <c:crossBetween val="between"/>
      </c:valAx>
      <c:catAx>
        <c:axId val="113115136"/>
        <c:scaling>
          <c:orientation val="minMax"/>
        </c:scaling>
        <c:delete val="1"/>
        <c:axPos val="b"/>
        <c:numFmt formatCode="&quot;$&quot;#,##0.00_);[Red]\(&quot;$&quot;#,##0.00\)" sourceLinked="1"/>
        <c:majorTickMark val="out"/>
        <c:minorTickMark val="none"/>
        <c:tickLblPos val="nextTo"/>
        <c:crossAx val="113116672"/>
        <c:crosses val="autoZero"/>
        <c:auto val="1"/>
        <c:lblAlgn val="ctr"/>
        <c:lblOffset val="100"/>
        <c:noMultiLvlLbl val="0"/>
      </c:catAx>
      <c:valAx>
        <c:axId val="113116672"/>
        <c:scaling>
          <c:orientation val="minMax"/>
        </c:scaling>
        <c:delete val="0"/>
        <c:axPos val="r"/>
        <c:numFmt formatCode="#,##0" sourceLinked="0"/>
        <c:majorTickMark val="cross"/>
        <c:minorTickMark val="none"/>
        <c:tickLblPos val="nextTo"/>
        <c:spPr>
          <a:ln w="3175">
            <a:solidFill>
              <a:srgbClr val="FF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113115136"/>
        <c:crosses val="max"/>
        <c:crossBetween val="between"/>
      </c:valAx>
      <c:spPr>
        <a:noFill/>
        <a:ln w="25400">
          <a:noFill/>
        </a:ln>
      </c:spPr>
    </c:plotArea>
    <c:legend>
      <c:legendPos val="r"/>
      <c:layout>
        <c:manualLayout>
          <c:xMode val="edge"/>
          <c:yMode val="edge"/>
          <c:x val="0.45483004414319311"/>
          <c:y val="2.9556650246305417E-2"/>
          <c:w val="0.42056202711870594"/>
          <c:h val="0.18226600985221675"/>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48462745752174"/>
          <c:y val="7.0093617875697914E-2"/>
          <c:w val="0.77018750331713304"/>
          <c:h val="0.7196278101904986"/>
        </c:manualLayout>
      </c:layout>
      <c:lineChart>
        <c:grouping val="standard"/>
        <c:varyColors val="0"/>
        <c:ser>
          <c:idx val="0"/>
          <c:order val="0"/>
          <c:tx>
            <c:strRef>
              <c:f>LoanComparisons!$C$8</c:f>
              <c:strCache>
                <c:ptCount val="1"/>
                <c:pt idx="0">
                  <c:v>Payment</c:v>
                </c:pt>
              </c:strCache>
            </c:strRef>
          </c:tx>
          <c:spPr>
            <a:ln w="25400">
              <a:solidFill>
                <a:srgbClr val="000080"/>
              </a:solidFill>
              <a:prstDash val="solid"/>
            </a:ln>
          </c:spPr>
          <c:marker>
            <c:symbol val="circle"/>
            <c:size val="5"/>
            <c:spPr>
              <a:solidFill>
                <a:srgbClr val="000080"/>
              </a:solidFill>
              <a:ln>
                <a:solidFill>
                  <a:srgbClr val="000080"/>
                </a:solidFill>
                <a:prstDash val="solid"/>
              </a:ln>
            </c:spPr>
          </c:marker>
          <c:cat>
            <c:numRef>
              <c:f>LoanComparisons!$A$9:$A$17</c:f>
              <c:numCache>
                <c:formatCode>0.00%</c:formatCode>
                <c:ptCount val="9"/>
                <c:pt idx="0">
                  <c:v>0.02</c:v>
                </c:pt>
                <c:pt idx="1">
                  <c:v>0.03</c:v>
                </c:pt>
                <c:pt idx="2">
                  <c:v>0.04</c:v>
                </c:pt>
                <c:pt idx="3">
                  <c:v>0.05</c:v>
                </c:pt>
                <c:pt idx="4">
                  <c:v>0.06</c:v>
                </c:pt>
                <c:pt idx="5">
                  <c:v>7.0000000000000007E-2</c:v>
                </c:pt>
                <c:pt idx="6">
                  <c:v>0.08</c:v>
                </c:pt>
                <c:pt idx="7">
                  <c:v>0.09</c:v>
                </c:pt>
                <c:pt idx="8">
                  <c:v>0.1</c:v>
                </c:pt>
              </c:numCache>
            </c:numRef>
          </c:cat>
          <c:val>
            <c:numRef>
              <c:f>LoanComparisons!$C$9:$C$17</c:f>
              <c:numCache>
                <c:formatCode>#,##0.00</c:formatCode>
                <c:ptCount val="9"/>
                <c:pt idx="0">
                  <c:v>572.85</c:v>
                </c:pt>
                <c:pt idx="1">
                  <c:v>581.62</c:v>
                </c:pt>
                <c:pt idx="2">
                  <c:v>590.48</c:v>
                </c:pt>
                <c:pt idx="3">
                  <c:v>599.41999999999996</c:v>
                </c:pt>
                <c:pt idx="4">
                  <c:v>608.44000000000005</c:v>
                </c:pt>
                <c:pt idx="5">
                  <c:v>617.54</c:v>
                </c:pt>
                <c:pt idx="6">
                  <c:v>626.73</c:v>
                </c:pt>
                <c:pt idx="7">
                  <c:v>635.99</c:v>
                </c:pt>
                <c:pt idx="8">
                  <c:v>645.34</c:v>
                </c:pt>
              </c:numCache>
            </c:numRef>
          </c:val>
          <c:smooth val="0"/>
          <c:extLst>
            <c:ext xmlns:c16="http://schemas.microsoft.com/office/drawing/2014/chart" uri="{C3380CC4-5D6E-409C-BE32-E72D297353CC}">
              <c16:uniqueId val="{00000000-EAD2-4B5C-B30B-480B533954B8}"/>
            </c:ext>
          </c:extLst>
        </c:ser>
        <c:dLbls>
          <c:showLegendKey val="0"/>
          <c:showVal val="0"/>
          <c:showCatName val="0"/>
          <c:showSerName val="0"/>
          <c:showPercent val="0"/>
          <c:showBubbleSize val="0"/>
        </c:dLbls>
        <c:marker val="1"/>
        <c:smooth val="0"/>
        <c:axId val="113136000"/>
        <c:axId val="113138304"/>
      </c:lineChart>
      <c:lineChart>
        <c:grouping val="standard"/>
        <c:varyColors val="0"/>
        <c:ser>
          <c:idx val="1"/>
          <c:order val="1"/>
          <c:tx>
            <c:strRef>
              <c:f>LoanComparisons!$D$8</c:f>
              <c:strCache>
                <c:ptCount val="1"/>
                <c:pt idx="0">
                  <c:v>Total Interest</c:v>
                </c:pt>
              </c:strCache>
            </c:strRef>
          </c:tx>
          <c:spPr>
            <a:ln w="12700">
              <a:solidFill>
                <a:srgbClr val="FF0000"/>
              </a:solidFill>
              <a:prstDash val="solid"/>
            </a:ln>
          </c:spPr>
          <c:marker>
            <c:symbol val="triangle"/>
            <c:size val="4"/>
            <c:spPr>
              <a:solidFill>
                <a:srgbClr val="FF0000"/>
              </a:solidFill>
              <a:ln>
                <a:solidFill>
                  <a:srgbClr val="FF0000"/>
                </a:solidFill>
                <a:prstDash val="solid"/>
              </a:ln>
            </c:spPr>
          </c:marker>
          <c:cat>
            <c:numRef>
              <c:f>LoanComparisons!$A$9:$A$17</c:f>
              <c:numCache>
                <c:formatCode>0.00%</c:formatCode>
                <c:ptCount val="9"/>
                <c:pt idx="0">
                  <c:v>0.02</c:v>
                </c:pt>
                <c:pt idx="1">
                  <c:v>0.03</c:v>
                </c:pt>
                <c:pt idx="2">
                  <c:v>0.04</c:v>
                </c:pt>
                <c:pt idx="3">
                  <c:v>0.05</c:v>
                </c:pt>
                <c:pt idx="4">
                  <c:v>0.06</c:v>
                </c:pt>
                <c:pt idx="5">
                  <c:v>7.0000000000000007E-2</c:v>
                </c:pt>
                <c:pt idx="6">
                  <c:v>0.08</c:v>
                </c:pt>
                <c:pt idx="7">
                  <c:v>0.09</c:v>
                </c:pt>
                <c:pt idx="8">
                  <c:v>0.1</c:v>
                </c:pt>
              </c:numCache>
            </c:numRef>
          </c:cat>
          <c:val>
            <c:numRef>
              <c:f>LoanComparisons!$D$9:$D$17</c:f>
              <c:numCache>
                <c:formatCode>#,##0.00</c:formatCode>
                <c:ptCount val="9"/>
                <c:pt idx="0">
                  <c:v>622.60000000000218</c:v>
                </c:pt>
                <c:pt idx="1">
                  <c:v>938.31999999999971</c:v>
                </c:pt>
                <c:pt idx="2">
                  <c:v>1257.2799999999988</c:v>
                </c:pt>
                <c:pt idx="3">
                  <c:v>1579.119999999999</c:v>
                </c:pt>
                <c:pt idx="4">
                  <c:v>1903.8400000000038</c:v>
                </c:pt>
                <c:pt idx="5">
                  <c:v>2231.4399999999987</c:v>
                </c:pt>
                <c:pt idx="6">
                  <c:v>2562.2799999999988</c:v>
                </c:pt>
                <c:pt idx="7">
                  <c:v>2895.6399999999994</c:v>
                </c:pt>
                <c:pt idx="8">
                  <c:v>3232.2400000000016</c:v>
                </c:pt>
              </c:numCache>
            </c:numRef>
          </c:val>
          <c:smooth val="0"/>
          <c:extLst>
            <c:ext xmlns:c16="http://schemas.microsoft.com/office/drawing/2014/chart" uri="{C3380CC4-5D6E-409C-BE32-E72D297353CC}">
              <c16:uniqueId val="{00000001-EAD2-4B5C-B30B-480B533954B8}"/>
            </c:ext>
          </c:extLst>
        </c:ser>
        <c:dLbls>
          <c:showLegendKey val="0"/>
          <c:showVal val="0"/>
          <c:showCatName val="0"/>
          <c:showSerName val="0"/>
          <c:showPercent val="0"/>
          <c:showBubbleSize val="0"/>
        </c:dLbls>
        <c:marker val="1"/>
        <c:smooth val="0"/>
        <c:axId val="113144192"/>
        <c:axId val="113145728"/>
      </c:lineChart>
      <c:catAx>
        <c:axId val="11313600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Annual Interest Rate</a:t>
                </a:r>
              </a:p>
            </c:rich>
          </c:tx>
          <c:layout>
            <c:manualLayout>
              <c:xMode val="edge"/>
              <c:yMode val="edge"/>
              <c:x val="0.30124269282968513"/>
              <c:y val="0.68691745518183955"/>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13138304"/>
        <c:crosses val="autoZero"/>
        <c:auto val="1"/>
        <c:lblAlgn val="ctr"/>
        <c:lblOffset val="100"/>
        <c:tickLblSkip val="1"/>
        <c:tickMarkSkip val="1"/>
        <c:noMultiLvlLbl val="0"/>
      </c:catAx>
      <c:valAx>
        <c:axId val="113138304"/>
        <c:scaling>
          <c:orientation val="minMax"/>
        </c:scaling>
        <c:delete val="0"/>
        <c:axPos val="l"/>
        <c:numFmt formatCode="#,##0" sourceLinked="0"/>
        <c:majorTickMark val="out"/>
        <c:minorTickMark val="none"/>
        <c:tickLblPos val="nextTo"/>
        <c:spPr>
          <a:ln w="3175">
            <a:solidFill>
              <a:srgbClr val="000080"/>
            </a:solidFill>
            <a:prstDash val="solid"/>
          </a:ln>
        </c:spPr>
        <c:txPr>
          <a:bodyPr rot="0" vert="horz"/>
          <a:lstStyle/>
          <a:p>
            <a:pPr>
              <a:defRPr sz="800" b="0" i="0" u="none" strike="noStrike" baseline="0">
                <a:solidFill>
                  <a:srgbClr val="000080"/>
                </a:solidFill>
                <a:latin typeface="Arial"/>
                <a:ea typeface="Arial"/>
                <a:cs typeface="Arial"/>
              </a:defRPr>
            </a:pPr>
            <a:endParaRPr lang="en-US"/>
          </a:p>
        </c:txPr>
        <c:crossAx val="113136000"/>
        <c:crosses val="autoZero"/>
        <c:crossBetween val="between"/>
      </c:valAx>
      <c:catAx>
        <c:axId val="113144192"/>
        <c:scaling>
          <c:orientation val="minMax"/>
        </c:scaling>
        <c:delete val="1"/>
        <c:axPos val="b"/>
        <c:numFmt formatCode="0.00%" sourceLinked="1"/>
        <c:majorTickMark val="out"/>
        <c:minorTickMark val="none"/>
        <c:tickLblPos val="nextTo"/>
        <c:crossAx val="113145728"/>
        <c:crosses val="autoZero"/>
        <c:auto val="1"/>
        <c:lblAlgn val="ctr"/>
        <c:lblOffset val="100"/>
        <c:noMultiLvlLbl val="0"/>
      </c:catAx>
      <c:valAx>
        <c:axId val="113145728"/>
        <c:scaling>
          <c:orientation val="minMax"/>
        </c:scaling>
        <c:delete val="0"/>
        <c:axPos val="r"/>
        <c:numFmt formatCode="#,##0" sourceLinked="0"/>
        <c:majorTickMark val="cross"/>
        <c:minorTickMark val="none"/>
        <c:tickLblPos val="nextTo"/>
        <c:spPr>
          <a:ln w="3175">
            <a:solidFill>
              <a:srgbClr val="FF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113144192"/>
        <c:crosses val="max"/>
        <c:crossBetween val="between"/>
      </c:valAx>
      <c:spPr>
        <a:noFill/>
        <a:ln w="25400">
          <a:noFill/>
        </a:ln>
      </c:spPr>
    </c:plotArea>
    <c:legend>
      <c:legendPos val="r"/>
      <c:layout>
        <c:manualLayout>
          <c:xMode val="edge"/>
          <c:yMode val="edge"/>
          <c:x val="0.13043498040048221"/>
          <c:y val="2.3364539291899303E-2"/>
          <c:w val="0.4192552941444071"/>
          <c:h val="0.17289759076005484"/>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25000000000001"/>
          <c:y val="8.0214113192767153E-2"/>
          <c:w val="0.74062499999999998"/>
          <c:h val="0.54545596971081667"/>
        </c:manualLayout>
      </c:layout>
      <c:lineChart>
        <c:grouping val="standard"/>
        <c:varyColors val="0"/>
        <c:ser>
          <c:idx val="0"/>
          <c:order val="0"/>
          <c:tx>
            <c:strRef>
              <c:f>LoanComparisons!$C$47</c:f>
              <c:strCache>
                <c:ptCount val="1"/>
                <c:pt idx="0">
                  <c:v>Payment</c:v>
                </c:pt>
              </c:strCache>
            </c:strRef>
          </c:tx>
          <c:spPr>
            <a:ln w="25400">
              <a:solidFill>
                <a:srgbClr val="000080"/>
              </a:solidFill>
              <a:prstDash val="solid"/>
            </a:ln>
          </c:spPr>
          <c:marker>
            <c:symbol val="circle"/>
            <c:size val="5"/>
            <c:spPr>
              <a:solidFill>
                <a:srgbClr val="000080"/>
              </a:solidFill>
              <a:ln>
                <a:solidFill>
                  <a:srgbClr val="000080"/>
                </a:solidFill>
                <a:prstDash val="solid"/>
              </a:ln>
            </c:spPr>
          </c:marker>
          <c:cat>
            <c:strRef>
              <c:f>LoanComparisons!$A$50:$A$54</c:f>
              <c:strCache>
                <c:ptCount val="5"/>
                <c:pt idx="0">
                  <c:v>Quarterly</c:v>
                </c:pt>
                <c:pt idx="1">
                  <c:v>Bi-Monthly</c:v>
                </c:pt>
                <c:pt idx="2">
                  <c:v>Monthly</c:v>
                </c:pt>
                <c:pt idx="3">
                  <c:v>Semi-Monthly</c:v>
                </c:pt>
                <c:pt idx="4">
                  <c:v>Bi-Weekly</c:v>
                </c:pt>
              </c:strCache>
            </c:strRef>
          </c:cat>
          <c:val>
            <c:numRef>
              <c:f>LoanComparisons!$C$50:$C$54</c:f>
              <c:numCache>
                <c:formatCode>#,##0.00</c:formatCode>
                <c:ptCount val="5"/>
                <c:pt idx="0">
                  <c:v>1905.74</c:v>
                </c:pt>
                <c:pt idx="1">
                  <c:v>1266.5999999999999</c:v>
                </c:pt>
                <c:pt idx="2">
                  <c:v>631.35</c:v>
                </c:pt>
                <c:pt idx="3">
                  <c:v>315.19</c:v>
                </c:pt>
                <c:pt idx="4">
                  <c:v>290.91000000000003</c:v>
                </c:pt>
              </c:numCache>
            </c:numRef>
          </c:val>
          <c:smooth val="0"/>
          <c:extLst>
            <c:ext xmlns:c16="http://schemas.microsoft.com/office/drawing/2014/chart" uri="{C3380CC4-5D6E-409C-BE32-E72D297353CC}">
              <c16:uniqueId val="{00000000-EC2A-4DB5-8FAA-49054F6CD598}"/>
            </c:ext>
          </c:extLst>
        </c:ser>
        <c:dLbls>
          <c:showLegendKey val="0"/>
          <c:showVal val="0"/>
          <c:showCatName val="0"/>
          <c:showSerName val="0"/>
          <c:showPercent val="0"/>
          <c:showBubbleSize val="0"/>
        </c:dLbls>
        <c:marker val="1"/>
        <c:smooth val="0"/>
        <c:axId val="113163648"/>
        <c:axId val="113170304"/>
      </c:lineChart>
      <c:lineChart>
        <c:grouping val="standard"/>
        <c:varyColors val="0"/>
        <c:ser>
          <c:idx val="1"/>
          <c:order val="1"/>
          <c:tx>
            <c:strRef>
              <c:f>LoanComparisons!$D$47</c:f>
              <c:strCache>
                <c:ptCount val="1"/>
                <c:pt idx="0">
                  <c:v>Total Interest</c:v>
                </c:pt>
              </c:strCache>
            </c:strRef>
          </c:tx>
          <c:spPr>
            <a:ln w="12700">
              <a:solidFill>
                <a:srgbClr val="FF0000"/>
              </a:solidFill>
              <a:prstDash val="solid"/>
            </a:ln>
          </c:spPr>
          <c:marker>
            <c:symbol val="triangle"/>
            <c:size val="4"/>
            <c:spPr>
              <a:solidFill>
                <a:srgbClr val="FF0000"/>
              </a:solidFill>
              <a:ln>
                <a:solidFill>
                  <a:srgbClr val="FF0000"/>
                </a:solidFill>
                <a:prstDash val="solid"/>
              </a:ln>
            </c:spPr>
          </c:marker>
          <c:cat>
            <c:strRef>
              <c:f>LoanComparisons!$A$50:$A$54</c:f>
              <c:strCache>
                <c:ptCount val="5"/>
                <c:pt idx="0">
                  <c:v>Quarterly</c:v>
                </c:pt>
                <c:pt idx="1">
                  <c:v>Bi-Monthly</c:v>
                </c:pt>
                <c:pt idx="2">
                  <c:v>Monthly</c:v>
                </c:pt>
                <c:pt idx="3">
                  <c:v>Semi-Monthly</c:v>
                </c:pt>
                <c:pt idx="4">
                  <c:v>Bi-Weekly</c:v>
                </c:pt>
              </c:strCache>
            </c:strRef>
          </c:cat>
          <c:val>
            <c:numRef>
              <c:f>LoanComparisons!$D$50:$D$54</c:f>
              <c:numCache>
                <c:formatCode>#,##0.00</c:formatCode>
                <c:ptCount val="5"/>
                <c:pt idx="0">
                  <c:v>2868.880000000001</c:v>
                </c:pt>
                <c:pt idx="1">
                  <c:v>2798.7999999999993</c:v>
                </c:pt>
                <c:pt idx="2">
                  <c:v>2728.6000000000022</c:v>
                </c:pt>
                <c:pt idx="3">
                  <c:v>2693.6800000000003</c:v>
                </c:pt>
                <c:pt idx="4">
                  <c:v>2690.9800000000032</c:v>
                </c:pt>
              </c:numCache>
            </c:numRef>
          </c:val>
          <c:smooth val="0"/>
          <c:extLst>
            <c:ext xmlns:c16="http://schemas.microsoft.com/office/drawing/2014/chart" uri="{C3380CC4-5D6E-409C-BE32-E72D297353CC}">
              <c16:uniqueId val="{00000001-EC2A-4DB5-8FAA-49054F6CD598}"/>
            </c:ext>
          </c:extLst>
        </c:ser>
        <c:dLbls>
          <c:showLegendKey val="0"/>
          <c:showVal val="0"/>
          <c:showCatName val="0"/>
          <c:showSerName val="0"/>
          <c:showPercent val="0"/>
          <c:showBubbleSize val="0"/>
        </c:dLbls>
        <c:marker val="1"/>
        <c:smooth val="0"/>
        <c:axId val="113171840"/>
        <c:axId val="113177728"/>
      </c:lineChart>
      <c:catAx>
        <c:axId val="11316364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Payment Frequency</a:t>
                </a:r>
              </a:p>
            </c:rich>
          </c:tx>
          <c:layout>
            <c:manualLayout>
              <c:xMode val="edge"/>
              <c:yMode val="edge"/>
              <c:x val="0.19375000000000001"/>
              <c:y val="0.525848948025881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13170304"/>
        <c:crosses val="autoZero"/>
        <c:auto val="1"/>
        <c:lblAlgn val="ctr"/>
        <c:lblOffset val="100"/>
        <c:tickLblSkip val="1"/>
        <c:tickMarkSkip val="1"/>
        <c:noMultiLvlLbl val="0"/>
      </c:catAx>
      <c:valAx>
        <c:axId val="113170304"/>
        <c:scaling>
          <c:orientation val="minMax"/>
        </c:scaling>
        <c:delete val="0"/>
        <c:axPos val="l"/>
        <c:numFmt formatCode="#,##0" sourceLinked="0"/>
        <c:majorTickMark val="out"/>
        <c:minorTickMark val="none"/>
        <c:tickLblPos val="nextTo"/>
        <c:spPr>
          <a:ln w="3175">
            <a:solidFill>
              <a:srgbClr val="000080"/>
            </a:solidFill>
            <a:prstDash val="solid"/>
          </a:ln>
        </c:spPr>
        <c:txPr>
          <a:bodyPr rot="0" vert="horz"/>
          <a:lstStyle/>
          <a:p>
            <a:pPr>
              <a:defRPr sz="800" b="0" i="0" u="none" strike="noStrike" baseline="0">
                <a:solidFill>
                  <a:srgbClr val="000080"/>
                </a:solidFill>
                <a:latin typeface="Arial"/>
                <a:ea typeface="Arial"/>
                <a:cs typeface="Arial"/>
              </a:defRPr>
            </a:pPr>
            <a:endParaRPr lang="en-US"/>
          </a:p>
        </c:txPr>
        <c:crossAx val="113163648"/>
        <c:crosses val="autoZero"/>
        <c:crossBetween val="between"/>
      </c:valAx>
      <c:catAx>
        <c:axId val="113171840"/>
        <c:scaling>
          <c:orientation val="minMax"/>
        </c:scaling>
        <c:delete val="1"/>
        <c:axPos val="b"/>
        <c:numFmt formatCode="General" sourceLinked="1"/>
        <c:majorTickMark val="out"/>
        <c:minorTickMark val="none"/>
        <c:tickLblPos val="nextTo"/>
        <c:crossAx val="113177728"/>
        <c:crosses val="autoZero"/>
        <c:auto val="1"/>
        <c:lblAlgn val="ctr"/>
        <c:lblOffset val="100"/>
        <c:noMultiLvlLbl val="0"/>
      </c:catAx>
      <c:valAx>
        <c:axId val="113177728"/>
        <c:scaling>
          <c:orientation val="minMax"/>
        </c:scaling>
        <c:delete val="0"/>
        <c:axPos val="r"/>
        <c:numFmt formatCode="#,##0" sourceLinked="0"/>
        <c:majorTickMark val="cross"/>
        <c:minorTickMark val="none"/>
        <c:tickLblPos val="nextTo"/>
        <c:spPr>
          <a:ln w="3175">
            <a:solidFill>
              <a:srgbClr val="FF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113171840"/>
        <c:crosses val="max"/>
        <c:crossBetween val="between"/>
      </c:valAx>
      <c:spPr>
        <a:noFill/>
        <a:ln w="25400">
          <a:noFill/>
        </a:ln>
      </c:spPr>
    </c:plotArea>
    <c:legend>
      <c:legendPos val="r"/>
      <c:layout>
        <c:manualLayout>
          <c:xMode val="edge"/>
          <c:yMode val="edge"/>
          <c:x val="0.3"/>
          <c:y val="2.6738037730922384E-2"/>
          <c:w val="0.421875"/>
          <c:h val="0.19786147920882563"/>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19051</xdr:colOff>
      <xdr:row>9</xdr:row>
      <xdr:rowOff>85725</xdr:rowOff>
    </xdr:from>
    <xdr:to>
      <xdr:col>8</xdr:col>
      <xdr:colOff>114301</xdr:colOff>
      <xdr:row>16</xdr:row>
      <xdr:rowOff>123826</xdr:rowOff>
    </xdr:to>
    <xdr:graphicFrame macro="">
      <xdr:nvGraphicFramePr>
        <xdr:cNvPr id="3550" name="Chart 1502">
          <a:extLst>
            <a:ext uri="{FF2B5EF4-FFF2-40B4-BE49-F238E27FC236}">
              <a16:creationId xmlns:a16="http://schemas.microsoft.com/office/drawing/2014/main" id="{00000000-0008-0000-0100-0000DE0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142875</xdr:colOff>
      <xdr:row>18</xdr:row>
      <xdr:rowOff>95250</xdr:rowOff>
    </xdr:from>
    <xdr:to>
      <xdr:col>7</xdr:col>
      <xdr:colOff>523875</xdr:colOff>
      <xdr:row>31</xdr:row>
      <xdr:rowOff>95250</xdr:rowOff>
    </xdr:to>
    <xdr:graphicFrame macro="">
      <xdr:nvGraphicFramePr>
        <xdr:cNvPr id="8216" name="Chart 24">
          <a:extLst>
            <a:ext uri="{FF2B5EF4-FFF2-40B4-BE49-F238E27FC236}">
              <a16:creationId xmlns:a16="http://schemas.microsoft.com/office/drawing/2014/main" id="{00000000-0008-0000-0200-000018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142875</xdr:colOff>
      <xdr:row>33</xdr:row>
      <xdr:rowOff>57150</xdr:rowOff>
    </xdr:from>
    <xdr:to>
      <xdr:col>7</xdr:col>
      <xdr:colOff>523875</xdr:colOff>
      <xdr:row>44</xdr:row>
      <xdr:rowOff>47625</xdr:rowOff>
    </xdr:to>
    <xdr:graphicFrame macro="">
      <xdr:nvGraphicFramePr>
        <xdr:cNvPr id="8217" name="Chart 25">
          <a:extLst>
            <a:ext uri="{FF2B5EF4-FFF2-40B4-BE49-F238E27FC236}">
              <a16:creationId xmlns:a16="http://schemas.microsoft.com/office/drawing/2014/main" id="{00000000-0008-0000-0200-000019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142875</xdr:colOff>
      <xdr:row>6</xdr:row>
      <xdr:rowOff>66675</xdr:rowOff>
    </xdr:from>
    <xdr:to>
      <xdr:col>7</xdr:col>
      <xdr:colOff>533400</xdr:colOff>
      <xdr:row>18</xdr:row>
      <xdr:rowOff>0</xdr:rowOff>
    </xdr:to>
    <xdr:graphicFrame macro="">
      <xdr:nvGraphicFramePr>
        <xdr:cNvPr id="8219" name="Chart 27">
          <a:extLst>
            <a:ext uri="{FF2B5EF4-FFF2-40B4-BE49-F238E27FC236}">
              <a16:creationId xmlns:a16="http://schemas.microsoft.com/office/drawing/2014/main" id="{00000000-0008-0000-0200-00001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142875</xdr:colOff>
      <xdr:row>46</xdr:row>
      <xdr:rowOff>9525</xdr:rowOff>
    </xdr:from>
    <xdr:to>
      <xdr:col>7</xdr:col>
      <xdr:colOff>514350</xdr:colOff>
      <xdr:row>56</xdr:row>
      <xdr:rowOff>133350</xdr:rowOff>
    </xdr:to>
    <xdr:graphicFrame macro="">
      <xdr:nvGraphicFramePr>
        <xdr:cNvPr id="8220" name="Chart 28">
          <a:extLst>
            <a:ext uri="{FF2B5EF4-FFF2-40B4-BE49-F238E27FC236}">
              <a16:creationId xmlns:a16="http://schemas.microsoft.com/office/drawing/2014/main" id="{00000000-0008-0000-0200-00001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V42 PURPLE">
      <a:dk1>
        <a:sysClr val="windowText" lastClr="000000"/>
      </a:dk1>
      <a:lt1>
        <a:sysClr val="window" lastClr="FFFFFF"/>
      </a:lt1>
      <a:dk2>
        <a:srgbClr val="204559"/>
      </a:dk2>
      <a:lt2>
        <a:srgbClr val="F4EDE4"/>
      </a:lt2>
      <a:accent1>
        <a:srgbClr val="925DB3"/>
      </a:accent1>
      <a:accent2>
        <a:srgbClr val="418AB3"/>
      </a:accent2>
      <a:accent3>
        <a:srgbClr val="C34141"/>
      </a:accent3>
      <a:accent4>
        <a:srgbClr val="E68422"/>
      </a:accent4>
      <a:accent5>
        <a:srgbClr val="2E6AB3"/>
      </a:accent5>
      <a:accent6>
        <a:srgbClr val="87A33D"/>
      </a:accent6>
      <a:hlink>
        <a:srgbClr val="7F7F7F"/>
      </a:hlink>
      <a:folHlink>
        <a:srgbClr val="A5A5A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showGridLines="0" topLeftCell="A16" workbookViewId="0">
      <selection activeCell="G2" sqref="A2:G2"/>
    </sheetView>
  </sheetViews>
  <sheetFormatPr defaultRowHeight="12.75" x14ac:dyDescent="0.2"/>
  <cols>
    <col min="1" max="1" width="10.140625" customWidth="1"/>
    <col min="2" max="2" width="15.140625" customWidth="1"/>
    <col min="3" max="3" width="17.140625" customWidth="1"/>
    <col min="4" max="4" width="15.85546875" customWidth="1"/>
    <col min="5" max="5" width="14.28515625" customWidth="1"/>
    <col min="6" max="6" width="12.85546875" customWidth="1"/>
    <col min="7" max="7" width="3.7109375" customWidth="1"/>
    <col min="8" max="8" width="38.5703125" customWidth="1"/>
  </cols>
  <sheetData>
    <row r="1" spans="1:8" s="2" customFormat="1" ht="30" customHeight="1" x14ac:dyDescent="0.2">
      <c r="A1" s="24" t="s">
        <v>68</v>
      </c>
      <c r="B1" s="25"/>
      <c r="C1" s="25"/>
      <c r="D1" s="25"/>
      <c r="E1" s="112"/>
      <c r="F1" s="112"/>
      <c r="H1" s="56" t="s">
        <v>85</v>
      </c>
    </row>
    <row r="2" spans="1:8" s="2" customFormat="1" ht="12.75" customHeight="1" x14ac:dyDescent="0.2">
      <c r="A2" s="58"/>
      <c r="B2" s="26"/>
      <c r="C2" s="26"/>
      <c r="D2" s="26"/>
      <c r="E2" s="110"/>
      <c r="F2" s="111"/>
      <c r="H2" s="108" t="s">
        <v>78</v>
      </c>
    </row>
    <row r="3" spans="1:8" s="2" customFormat="1" x14ac:dyDescent="0.2">
      <c r="A3" s="27"/>
      <c r="B3" s="26"/>
      <c r="C3" s="26"/>
      <c r="D3" s="26"/>
      <c r="E3" s="26"/>
      <c r="F3" s="28"/>
      <c r="H3" s="109"/>
    </row>
    <row r="4" spans="1:8" s="61" customFormat="1" ht="15" customHeight="1" x14ac:dyDescent="0.2">
      <c r="A4" s="59"/>
      <c r="B4" s="60" t="s">
        <v>72</v>
      </c>
      <c r="C4" s="60"/>
      <c r="D4" s="60"/>
      <c r="E4" s="59"/>
      <c r="F4" s="59"/>
      <c r="H4" s="109"/>
    </row>
    <row r="5" spans="1:8" s="61" customFormat="1" ht="15" customHeight="1" x14ac:dyDescent="0.2">
      <c r="A5" s="59"/>
      <c r="B5" s="62"/>
      <c r="C5" s="75" t="s">
        <v>36</v>
      </c>
      <c r="D5" s="64">
        <v>20000</v>
      </c>
      <c r="E5" s="59"/>
      <c r="F5" s="59"/>
      <c r="H5" s="109"/>
    </row>
    <row r="6" spans="1:8" s="61" customFormat="1" ht="15" customHeight="1" x14ac:dyDescent="0.2">
      <c r="A6" s="59"/>
      <c r="B6" s="62"/>
      <c r="C6" s="75" t="s">
        <v>49</v>
      </c>
      <c r="D6" s="65">
        <v>0</v>
      </c>
      <c r="E6" s="66" t="s">
        <v>63</v>
      </c>
      <c r="F6" s="59"/>
      <c r="H6" s="109"/>
    </row>
    <row r="7" spans="1:8" s="61" customFormat="1" ht="15" customHeight="1" x14ac:dyDescent="0.2">
      <c r="A7" s="59"/>
      <c r="B7" s="62"/>
      <c r="C7" s="75" t="s">
        <v>33</v>
      </c>
      <c r="D7" s="65">
        <v>0</v>
      </c>
      <c r="E7" s="67" t="s">
        <v>64</v>
      </c>
      <c r="F7" s="59"/>
      <c r="H7" s="109"/>
    </row>
    <row r="8" spans="1:8" s="61" customFormat="1" ht="15" customHeight="1" x14ac:dyDescent="0.2">
      <c r="A8" s="59"/>
      <c r="B8" s="62"/>
      <c r="C8" s="75" t="s">
        <v>34</v>
      </c>
      <c r="D8" s="65">
        <v>0</v>
      </c>
      <c r="E8" s="59"/>
      <c r="F8" s="59"/>
      <c r="H8" s="109"/>
    </row>
    <row r="9" spans="1:8" s="61" customFormat="1" ht="15" customHeight="1" x14ac:dyDescent="0.2">
      <c r="A9" s="59"/>
      <c r="B9" s="62"/>
      <c r="C9" s="76" t="s">
        <v>32</v>
      </c>
      <c r="D9" s="68">
        <f>SUM(D5:D8)</f>
        <v>20000</v>
      </c>
      <c r="E9" s="59"/>
      <c r="F9" s="59"/>
      <c r="H9" s="109"/>
    </row>
    <row r="10" spans="1:8" s="61" customFormat="1" ht="15" customHeight="1" x14ac:dyDescent="0.2">
      <c r="A10" s="59"/>
      <c r="B10" s="62"/>
      <c r="C10" s="59"/>
      <c r="D10" s="59"/>
      <c r="E10" s="59"/>
      <c r="F10" s="59"/>
      <c r="H10" s="109"/>
    </row>
    <row r="11" spans="1:8" s="61" customFormat="1" ht="15" customHeight="1" x14ac:dyDescent="0.2">
      <c r="A11" s="59"/>
      <c r="B11" s="60" t="s">
        <v>40</v>
      </c>
      <c r="C11" s="60"/>
      <c r="D11" s="60"/>
      <c r="E11" s="59"/>
      <c r="F11" s="59"/>
      <c r="H11" s="69"/>
    </row>
    <row r="12" spans="1:8" s="61" customFormat="1" ht="15" customHeight="1" x14ac:dyDescent="0.2">
      <c r="A12" s="59"/>
      <c r="B12" s="59"/>
      <c r="C12" s="77" t="s">
        <v>38</v>
      </c>
      <c r="D12" s="64" t="b">
        <v>0</v>
      </c>
      <c r="E12" s="66" t="s">
        <v>60</v>
      </c>
      <c r="F12" s="59"/>
      <c r="H12" s="106" t="s">
        <v>79</v>
      </c>
    </row>
    <row r="13" spans="1:8" s="61" customFormat="1" ht="15" customHeight="1" x14ac:dyDescent="0.2">
      <c r="A13" s="59"/>
      <c r="B13" s="59"/>
      <c r="C13" s="77" t="s">
        <v>52</v>
      </c>
      <c r="D13" s="65" t="b">
        <v>0</v>
      </c>
      <c r="E13" s="66" t="s">
        <v>60</v>
      </c>
      <c r="F13" s="59"/>
      <c r="H13" s="106"/>
    </row>
    <row r="14" spans="1:8" s="61" customFormat="1" ht="15" customHeight="1" x14ac:dyDescent="0.2">
      <c r="A14" s="59"/>
      <c r="B14" s="59"/>
      <c r="C14" s="75" t="s">
        <v>37</v>
      </c>
      <c r="D14" s="71">
        <v>6.25E-2</v>
      </c>
      <c r="E14" s="67" t="s">
        <v>76</v>
      </c>
      <c r="F14" s="59"/>
      <c r="H14" s="106"/>
    </row>
    <row r="15" spans="1:8" s="61" customFormat="1" ht="15" customHeight="1" x14ac:dyDescent="0.2">
      <c r="A15" s="59"/>
      <c r="B15" s="59"/>
      <c r="C15" s="77" t="s">
        <v>39</v>
      </c>
      <c r="D15" s="72">
        <f>IF(D12,IF(D13,D9-D35-D36,D9-D35),IF(D13,D9-D36,D9))</f>
        <v>20000</v>
      </c>
      <c r="E15" s="59"/>
      <c r="F15" s="59"/>
      <c r="H15" s="106"/>
    </row>
    <row r="16" spans="1:8" s="61" customFormat="1" ht="15" customHeight="1" x14ac:dyDescent="0.2">
      <c r="A16" s="59"/>
      <c r="B16" s="59"/>
      <c r="C16" s="76" t="s">
        <v>41</v>
      </c>
      <c r="D16" s="73">
        <f>D14*D15</f>
        <v>1250</v>
      </c>
      <c r="E16" s="59"/>
      <c r="F16" s="59"/>
    </row>
    <row r="17" spans="1:8" s="61" customFormat="1" ht="15" customHeight="1" x14ac:dyDescent="0.2">
      <c r="A17" s="59"/>
      <c r="B17" s="59"/>
      <c r="C17" s="59"/>
      <c r="D17" s="59"/>
      <c r="E17" s="59"/>
      <c r="F17" s="59"/>
      <c r="H17" s="106" t="s">
        <v>83</v>
      </c>
    </row>
    <row r="18" spans="1:8" s="61" customFormat="1" ht="15" customHeight="1" x14ac:dyDescent="0.2">
      <c r="A18" s="59"/>
      <c r="B18" s="60" t="s">
        <v>35</v>
      </c>
      <c r="C18" s="60"/>
      <c r="D18" s="60"/>
      <c r="E18" s="59"/>
      <c r="F18" s="59"/>
      <c r="H18" s="107"/>
    </row>
    <row r="19" spans="1:8" s="61" customFormat="1" ht="15" customHeight="1" x14ac:dyDescent="0.2">
      <c r="A19" s="59"/>
      <c r="B19" s="59"/>
      <c r="C19" s="75" t="s">
        <v>43</v>
      </c>
      <c r="D19" s="64">
        <v>40</v>
      </c>
      <c r="E19" s="67" t="s">
        <v>59</v>
      </c>
      <c r="F19" s="59"/>
      <c r="H19" s="107"/>
    </row>
    <row r="20" spans="1:8" s="61" customFormat="1" ht="15" customHeight="1" x14ac:dyDescent="0.2">
      <c r="A20" s="59"/>
      <c r="B20" s="59"/>
      <c r="C20" s="77" t="s">
        <v>61</v>
      </c>
      <c r="D20" s="65">
        <v>0</v>
      </c>
      <c r="E20" s="67" t="s">
        <v>62</v>
      </c>
      <c r="F20" s="59"/>
      <c r="H20" s="107"/>
    </row>
    <row r="21" spans="1:8" s="61" customFormat="1" ht="15" customHeight="1" x14ac:dyDescent="0.2">
      <c r="A21" s="59"/>
      <c r="B21" s="59"/>
      <c r="C21" s="77" t="s">
        <v>65</v>
      </c>
      <c r="D21" s="65">
        <v>0</v>
      </c>
      <c r="E21" s="67" t="s">
        <v>66</v>
      </c>
      <c r="F21" s="59"/>
      <c r="H21" s="107"/>
    </row>
    <row r="22" spans="1:8" s="61" customFormat="1" ht="15" customHeight="1" x14ac:dyDescent="0.2">
      <c r="A22" s="59"/>
      <c r="B22" s="59"/>
      <c r="C22" s="77" t="s">
        <v>46</v>
      </c>
      <c r="D22" s="65">
        <v>0</v>
      </c>
      <c r="E22" s="67" t="s">
        <v>56</v>
      </c>
      <c r="F22" s="59"/>
    </row>
    <row r="23" spans="1:8" s="61" customFormat="1" ht="15" customHeight="1" x14ac:dyDescent="0.2">
      <c r="A23" s="59"/>
      <c r="B23" s="59"/>
      <c r="C23" s="77" t="s">
        <v>47</v>
      </c>
      <c r="D23" s="65">
        <v>3</v>
      </c>
      <c r="E23" s="67" t="s">
        <v>57</v>
      </c>
      <c r="F23" s="59"/>
    </row>
    <row r="24" spans="1:8" s="61" customFormat="1" ht="15" customHeight="1" x14ac:dyDescent="0.2">
      <c r="A24" s="59"/>
      <c r="B24" s="59"/>
      <c r="C24" s="77" t="s">
        <v>45</v>
      </c>
      <c r="D24" s="65">
        <v>3</v>
      </c>
      <c r="E24" s="67" t="s">
        <v>57</v>
      </c>
      <c r="F24" s="59"/>
    </row>
    <row r="25" spans="1:8" s="61" customFormat="1" ht="15" customHeight="1" x14ac:dyDescent="0.2">
      <c r="A25" s="59"/>
      <c r="B25" s="59"/>
      <c r="C25" s="77" t="s">
        <v>55</v>
      </c>
      <c r="D25" s="65">
        <v>0</v>
      </c>
      <c r="E25" s="67" t="s">
        <v>58</v>
      </c>
      <c r="F25" s="59"/>
    </row>
    <row r="26" spans="1:8" s="61" customFormat="1" ht="15" customHeight="1" x14ac:dyDescent="0.2">
      <c r="A26" s="59"/>
      <c r="B26" s="59"/>
      <c r="C26" s="77" t="s">
        <v>44</v>
      </c>
      <c r="D26" s="65">
        <v>0</v>
      </c>
      <c r="E26" s="67" t="s">
        <v>56</v>
      </c>
      <c r="F26" s="59"/>
    </row>
    <row r="27" spans="1:8" s="61" customFormat="1" ht="15" customHeight="1" x14ac:dyDescent="0.2">
      <c r="A27" s="59"/>
      <c r="B27" s="59"/>
      <c r="C27" s="75" t="s">
        <v>42</v>
      </c>
      <c r="D27" s="65">
        <v>0</v>
      </c>
      <c r="E27" s="59"/>
      <c r="F27" s="59"/>
    </row>
    <row r="28" spans="1:8" s="61" customFormat="1" ht="15" customHeight="1" x14ac:dyDescent="0.2">
      <c r="A28" s="59"/>
      <c r="B28" s="59"/>
      <c r="C28" s="76" t="s">
        <v>48</v>
      </c>
      <c r="D28" s="68">
        <f>SUM(D19:D27)</f>
        <v>46</v>
      </c>
      <c r="E28" s="59"/>
      <c r="F28" s="59"/>
    </row>
    <row r="29" spans="1:8" s="61" customFormat="1" ht="15" customHeight="1" x14ac:dyDescent="0.2">
      <c r="A29" s="59"/>
      <c r="B29" s="59"/>
      <c r="C29" s="70"/>
      <c r="D29" s="59"/>
      <c r="E29" s="59"/>
      <c r="F29" s="59"/>
    </row>
    <row r="30" spans="1:8" s="61" customFormat="1" ht="15" customHeight="1" x14ac:dyDescent="0.2">
      <c r="A30" s="59"/>
      <c r="B30" s="60" t="s">
        <v>70</v>
      </c>
      <c r="C30" s="60"/>
      <c r="D30" s="60"/>
      <c r="E30" s="59"/>
      <c r="F30" s="59"/>
    </row>
    <row r="31" spans="1:8" s="61" customFormat="1" ht="15" customHeight="1" x14ac:dyDescent="0.2">
      <c r="A31" s="59"/>
      <c r="B31" s="59"/>
      <c r="C31" s="59"/>
      <c r="D31" s="59"/>
      <c r="E31" s="59"/>
      <c r="F31" s="59"/>
    </row>
    <row r="32" spans="1:8" s="61" customFormat="1" ht="15" customHeight="1" x14ac:dyDescent="0.2">
      <c r="A32" s="59"/>
      <c r="B32" s="59"/>
      <c r="C32" s="75" t="s">
        <v>54</v>
      </c>
      <c r="D32" s="65">
        <v>0</v>
      </c>
      <c r="E32" s="59"/>
      <c r="F32" s="59"/>
    </row>
    <row r="33" spans="1:6" s="61" customFormat="1" ht="15" customHeight="1" x14ac:dyDescent="0.2">
      <c r="A33" s="59"/>
      <c r="B33" s="59"/>
      <c r="C33" s="59"/>
      <c r="D33" s="59"/>
      <c r="E33" s="59"/>
      <c r="F33" s="59"/>
    </row>
    <row r="34" spans="1:6" s="61" customFormat="1" ht="15" customHeight="1" x14ac:dyDescent="0.2">
      <c r="A34" s="59"/>
      <c r="B34" s="59"/>
      <c r="C34" s="78" t="s">
        <v>51</v>
      </c>
      <c r="D34" s="65">
        <v>0</v>
      </c>
      <c r="E34" s="59"/>
      <c r="F34" s="59"/>
    </row>
    <row r="35" spans="1:6" s="61" customFormat="1" ht="15" customHeight="1" x14ac:dyDescent="0.2">
      <c r="A35" s="59"/>
      <c r="B35" s="62"/>
      <c r="C35" s="78" t="s">
        <v>53</v>
      </c>
      <c r="D35" s="65">
        <v>0</v>
      </c>
      <c r="E35" s="59"/>
      <c r="F35" s="59"/>
    </row>
    <row r="36" spans="1:6" s="61" customFormat="1" ht="15" customHeight="1" x14ac:dyDescent="0.2">
      <c r="A36" s="59"/>
      <c r="B36" s="62"/>
      <c r="C36" s="78" t="s">
        <v>50</v>
      </c>
      <c r="D36" s="65">
        <v>0</v>
      </c>
      <c r="E36" s="59"/>
      <c r="F36" s="59"/>
    </row>
    <row r="37" spans="1:6" s="61" customFormat="1" ht="15" customHeight="1" x14ac:dyDescent="0.2">
      <c r="A37" s="59"/>
      <c r="B37" s="59"/>
      <c r="C37" s="59"/>
      <c r="D37" s="59"/>
      <c r="E37" s="59"/>
      <c r="F37" s="59"/>
    </row>
    <row r="38" spans="1:6" s="61" customFormat="1" ht="15" customHeight="1" x14ac:dyDescent="0.2">
      <c r="A38" s="59"/>
      <c r="B38" s="59"/>
      <c r="C38" s="79" t="s">
        <v>69</v>
      </c>
      <c r="D38" s="74">
        <f>(D28+D16+D9+D32)-D35-D36-D34</f>
        <v>21296</v>
      </c>
      <c r="E38" s="59"/>
      <c r="F38" s="59"/>
    </row>
    <row r="39" spans="1:6" x14ac:dyDescent="0.2">
      <c r="A39" s="28"/>
      <c r="B39" s="28"/>
      <c r="C39" s="28"/>
      <c r="D39" s="28"/>
      <c r="E39" s="28"/>
      <c r="F39" s="28"/>
    </row>
    <row r="42" spans="1:6" x14ac:dyDescent="0.2">
      <c r="A42" s="23" t="s">
        <v>77</v>
      </c>
    </row>
  </sheetData>
  <mergeCells count="5">
    <mergeCell ref="H12:H15"/>
    <mergeCell ref="H17:H21"/>
    <mergeCell ref="H2:H10"/>
    <mergeCell ref="E2:F2"/>
    <mergeCell ref="E1:F1"/>
  </mergeCells>
  <phoneticPr fontId="5" type="noConversion"/>
  <dataValidations count="1">
    <dataValidation type="list" allowBlank="1" showInputMessage="1" showErrorMessage="1" sqref="D12:D13">
      <formula1>"TRUE,FALSE"</formula1>
    </dataValidation>
  </dataValidations>
  <printOptions horizontalCentered="1"/>
  <pageMargins left="0.5" right="0.5" top="0.5" bottom="0.5" header="0.5" footer="0.5"/>
  <pageSetup orientation="portrait" r:id="rId1"/>
  <headerFooter scaleWithDoc="0">
    <oddFooter>&amp;L&amp;"Arial,Regular"&amp;8https://www.vertex42.com/Calculators/auto-loan-calculator.html&amp;R&amp;"Arial,Regular"&amp;8© 2007 Vertex42 LLC</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8"/>
  <sheetViews>
    <sheetView showGridLines="0" tabSelected="1" workbookViewId="0">
      <selection activeCell="P23" sqref="P23"/>
    </sheetView>
  </sheetViews>
  <sheetFormatPr defaultColWidth="9.140625" defaultRowHeight="12.75" x14ac:dyDescent="0.2"/>
  <cols>
    <col min="1" max="1" width="7.140625" style="2" customWidth="1"/>
    <col min="2" max="3" width="12.85546875" style="2" customWidth="1"/>
    <col min="4" max="4" width="14.28515625" style="2" customWidth="1"/>
    <col min="5" max="5" width="2.85546875" style="2" customWidth="1"/>
    <col min="6" max="6" width="12.28515625" style="2" customWidth="1"/>
    <col min="7" max="7" width="11.28515625" style="2" customWidth="1"/>
    <col min="8" max="8" width="15.28515625" style="2" customWidth="1"/>
    <col min="9" max="9" width="2.42578125" style="2" customWidth="1"/>
    <col min="10" max="10" width="3.7109375" style="2" customWidth="1"/>
    <col min="11" max="11" width="37.140625" style="2" customWidth="1"/>
    <col min="12" max="12" width="4.42578125" style="2" customWidth="1"/>
    <col min="13" max="13" width="13.7109375" style="2" hidden="1" customWidth="1"/>
    <col min="14" max="14" width="12.85546875" style="2" hidden="1" customWidth="1"/>
    <col min="15" max="15" width="12.42578125" style="2" hidden="1" customWidth="1"/>
    <col min="16" max="16384" width="9.140625" style="2"/>
  </cols>
  <sheetData>
    <row r="1" spans="1:15" ht="30" customHeight="1" x14ac:dyDescent="0.2">
      <c r="A1" s="24" t="s">
        <v>25</v>
      </c>
      <c r="B1" s="25"/>
      <c r="C1" s="25"/>
      <c r="D1" s="25"/>
      <c r="E1" s="25"/>
      <c r="F1" s="25"/>
      <c r="G1" s="112"/>
      <c r="H1" s="112"/>
      <c r="I1" s="29"/>
      <c r="K1" s="56" t="s">
        <v>85</v>
      </c>
    </row>
    <row r="2" spans="1:15" ht="12.75" customHeight="1" x14ac:dyDescent="0.2">
      <c r="A2" s="58"/>
      <c r="B2" s="26"/>
      <c r="C2" s="26"/>
      <c r="D2" s="26"/>
      <c r="E2" s="26"/>
      <c r="F2" s="26"/>
      <c r="G2" s="110"/>
      <c r="H2" s="111"/>
      <c r="I2" s="111"/>
      <c r="K2" s="115" t="s">
        <v>81</v>
      </c>
      <c r="L2" s="49"/>
    </row>
    <row r="3" spans="1:15" x14ac:dyDescent="0.2">
      <c r="A3" s="27"/>
      <c r="B3" s="26"/>
      <c r="C3" s="26"/>
      <c r="D3" s="26"/>
      <c r="E3" s="26"/>
      <c r="F3" s="26"/>
      <c r="G3" s="26"/>
      <c r="H3" s="26"/>
      <c r="I3" s="26"/>
      <c r="K3" s="115"/>
      <c r="L3" s="49"/>
    </row>
    <row r="4" spans="1:15" ht="15" customHeight="1" x14ac:dyDescent="0.2">
      <c r="A4" s="26"/>
      <c r="B4" s="30" t="s">
        <v>0</v>
      </c>
      <c r="C4" s="96"/>
      <c r="D4" s="96"/>
      <c r="E4" s="62"/>
      <c r="F4" s="30" t="s">
        <v>30</v>
      </c>
      <c r="G4" s="30"/>
      <c r="H4" s="97"/>
      <c r="I4" s="26"/>
      <c r="K4" s="115"/>
      <c r="L4" s="49"/>
      <c r="M4" s="80" t="s">
        <v>87</v>
      </c>
      <c r="N4" s="81"/>
      <c r="O4" s="81"/>
    </row>
    <row r="5" spans="1:15" ht="15" customHeight="1" x14ac:dyDescent="0.2">
      <c r="A5" s="26"/>
      <c r="B5" s="62"/>
      <c r="C5" s="75" t="s">
        <v>26</v>
      </c>
      <c r="D5" s="99">
        <v>20000</v>
      </c>
      <c r="E5" s="26"/>
      <c r="F5" s="26"/>
      <c r="G5" s="94" t="s">
        <v>6</v>
      </c>
      <c r="H5" s="88">
        <f>SUM(F21:F176)+SUM(G21:G176)</f>
        <v>22728.620000000003</v>
      </c>
      <c r="I5" s="26"/>
      <c r="K5" s="115"/>
      <c r="L5" s="49"/>
      <c r="M5" s="82" t="s">
        <v>17</v>
      </c>
      <c r="N5" s="82" t="s">
        <v>88</v>
      </c>
      <c r="O5" s="82" t="s">
        <v>89</v>
      </c>
    </row>
    <row r="6" spans="1:15" ht="15" customHeight="1" x14ac:dyDescent="0.2">
      <c r="A6" s="26"/>
      <c r="B6" s="62"/>
      <c r="C6" s="93" t="s">
        <v>1</v>
      </c>
      <c r="D6" s="100">
        <v>8.5000000000000006E-2</v>
      </c>
      <c r="E6" s="26"/>
      <c r="F6" s="26"/>
      <c r="G6" s="93" t="s">
        <v>7</v>
      </c>
      <c r="H6" s="89">
        <f>SUM(F20:F176)</f>
        <v>2728.6199999999994</v>
      </c>
      <c r="I6" s="26"/>
      <c r="K6" s="115"/>
      <c r="L6" s="49"/>
      <c r="M6" s="83" t="s">
        <v>90</v>
      </c>
      <c r="N6" s="41">
        <v>1</v>
      </c>
      <c r="O6" s="41">
        <v>12</v>
      </c>
    </row>
    <row r="7" spans="1:15" ht="15" customHeight="1" x14ac:dyDescent="0.2">
      <c r="A7" s="26"/>
      <c r="B7" s="62"/>
      <c r="C7" s="94" t="s">
        <v>2</v>
      </c>
      <c r="D7" s="101">
        <v>3</v>
      </c>
      <c r="E7" s="26"/>
      <c r="F7" s="26"/>
      <c r="G7" s="75" t="s">
        <v>29</v>
      </c>
      <c r="H7" s="90" t="str">
        <f>IF((D15-H6)&lt;0.15,"None",(D15-H6))</f>
        <v>None</v>
      </c>
      <c r="I7" s="26"/>
      <c r="K7" s="115"/>
      <c r="L7" s="49"/>
      <c r="M7" s="83" t="s">
        <v>91</v>
      </c>
      <c r="N7" s="41">
        <v>2</v>
      </c>
      <c r="O7" s="41">
        <v>6</v>
      </c>
    </row>
    <row r="8" spans="1:15" ht="15" customHeight="1" x14ac:dyDescent="0.2">
      <c r="A8" s="26"/>
      <c r="B8" s="62"/>
      <c r="C8" s="75" t="s">
        <v>3</v>
      </c>
      <c r="D8" s="102">
        <v>43466</v>
      </c>
      <c r="E8" s="26"/>
      <c r="F8" s="26"/>
      <c r="G8" s="75" t="s">
        <v>27</v>
      </c>
      <c r="H8" s="91">
        <f>MAX(A20:A177)</f>
        <v>36</v>
      </c>
      <c r="I8" s="26"/>
      <c r="K8" s="115"/>
      <c r="L8" s="49"/>
      <c r="M8" s="83" t="s">
        <v>21</v>
      </c>
      <c r="N8" s="41">
        <v>4</v>
      </c>
      <c r="O8" s="41">
        <v>3</v>
      </c>
    </row>
    <row r="9" spans="1:15" ht="15" customHeight="1" x14ac:dyDescent="0.2">
      <c r="A9" s="26"/>
      <c r="B9" s="62"/>
      <c r="C9" s="93" t="s">
        <v>4</v>
      </c>
      <c r="D9" s="102" t="s">
        <v>23</v>
      </c>
      <c r="E9" s="26"/>
      <c r="F9" s="26"/>
      <c r="G9" s="75" t="s">
        <v>31</v>
      </c>
      <c r="H9" s="92">
        <f>MAX(B20:B177)</f>
        <v>44531</v>
      </c>
      <c r="I9" s="26"/>
      <c r="K9" s="115"/>
      <c r="L9" s="49"/>
      <c r="M9" s="83" t="s">
        <v>22</v>
      </c>
      <c r="N9" s="41">
        <v>6</v>
      </c>
      <c r="O9" s="41">
        <v>2</v>
      </c>
    </row>
    <row r="10" spans="1:15" x14ac:dyDescent="0.2">
      <c r="A10" s="26"/>
      <c r="B10" s="26"/>
      <c r="C10" s="26"/>
      <c r="D10" s="26"/>
      <c r="E10" s="26"/>
      <c r="F10" s="26"/>
      <c r="G10" s="26"/>
      <c r="H10" s="26"/>
      <c r="I10" s="26"/>
      <c r="K10" s="116" t="s">
        <v>80</v>
      </c>
      <c r="L10" s="49"/>
      <c r="M10" s="83" t="s">
        <v>23</v>
      </c>
      <c r="N10" s="41">
        <v>12</v>
      </c>
      <c r="O10" s="41">
        <v>1</v>
      </c>
    </row>
    <row r="11" spans="1:15" ht="15" customHeight="1" x14ac:dyDescent="0.2">
      <c r="A11" s="26"/>
      <c r="B11" s="30" t="s">
        <v>67</v>
      </c>
      <c r="C11" s="97"/>
      <c r="D11" s="97"/>
      <c r="E11" s="26"/>
      <c r="F11" s="26"/>
      <c r="G11" s="26"/>
      <c r="H11" s="26"/>
      <c r="I11" s="26"/>
      <c r="K11" s="116"/>
      <c r="M11" s="83" t="s">
        <v>24</v>
      </c>
      <c r="N11" s="41">
        <v>24</v>
      </c>
      <c r="O11" s="41">
        <v>0.5</v>
      </c>
    </row>
    <row r="12" spans="1:15" ht="15" customHeight="1" x14ac:dyDescent="0.2">
      <c r="A12" s="26"/>
      <c r="B12" s="62"/>
      <c r="C12" s="77" t="s">
        <v>27</v>
      </c>
      <c r="D12" s="104">
        <f>term*periods_per_year</f>
        <v>36</v>
      </c>
      <c r="E12" s="26"/>
      <c r="F12" s="26"/>
      <c r="G12" s="26"/>
      <c r="H12" s="26"/>
      <c r="I12" s="26"/>
      <c r="M12" s="83" t="s">
        <v>18</v>
      </c>
      <c r="N12" s="41">
        <v>26</v>
      </c>
      <c r="O12" s="83" t="s">
        <v>92</v>
      </c>
    </row>
    <row r="13" spans="1:15" ht="15" customHeight="1" x14ac:dyDescent="0.2">
      <c r="A13" s="26"/>
      <c r="B13" s="62"/>
      <c r="C13" s="95" t="s">
        <v>5</v>
      </c>
      <c r="D13" s="103">
        <f>D6/periods_per_year</f>
        <v>7.0833333333333338E-3</v>
      </c>
      <c r="E13" s="26"/>
      <c r="F13" s="26"/>
      <c r="G13" s="26"/>
      <c r="H13" s="26"/>
      <c r="I13" s="26"/>
      <c r="K13" s="113" t="s">
        <v>82</v>
      </c>
      <c r="L13" s="8"/>
      <c r="M13" s="84" t="s">
        <v>93</v>
      </c>
      <c r="N13" s="85">
        <f>INDEX(N6:N12,MATCH($D$9,M6:M12,0))</f>
        <v>12</v>
      </c>
      <c r="O13" s="84">
        <f>INDEX(O6:O12,MATCH($D$9,M6:M12,0))</f>
        <v>1</v>
      </c>
    </row>
    <row r="14" spans="1:15" ht="15" customHeight="1" x14ac:dyDescent="0.2">
      <c r="A14" s="26"/>
      <c r="B14" s="62"/>
      <c r="C14" s="75" t="s">
        <v>15</v>
      </c>
      <c r="D14" s="86">
        <f>ROUND(-PMT(rate,nper,loan_amount),2)</f>
        <v>631.35</v>
      </c>
      <c r="E14" s="26"/>
      <c r="F14" s="26"/>
      <c r="G14" s="26"/>
      <c r="H14" s="26"/>
      <c r="I14" s="26"/>
      <c r="K14" s="114"/>
    </row>
    <row r="15" spans="1:15" ht="15" customHeight="1" x14ac:dyDescent="0.2">
      <c r="A15" s="26"/>
      <c r="B15" s="62"/>
      <c r="C15" s="94" t="s">
        <v>7</v>
      </c>
      <c r="D15" s="87">
        <f>D16-loan_amount</f>
        <v>2728.6269449613246</v>
      </c>
      <c r="E15" s="26"/>
      <c r="F15" s="26"/>
      <c r="G15" s="26"/>
      <c r="H15" s="26"/>
      <c r="I15" s="26"/>
      <c r="K15" s="114"/>
    </row>
    <row r="16" spans="1:15" ht="15" customHeight="1" x14ac:dyDescent="0.2">
      <c r="A16" s="26"/>
      <c r="B16" s="62"/>
      <c r="C16" s="94" t="s">
        <v>6</v>
      </c>
      <c r="D16" s="87">
        <f>D12*(-PMT(rate,nper,loan_amount))</f>
        <v>22728.626944961325</v>
      </c>
      <c r="E16" s="26"/>
      <c r="F16" s="26"/>
      <c r="G16" s="26"/>
      <c r="H16" s="26"/>
      <c r="I16" s="26"/>
      <c r="K16" s="10"/>
    </row>
    <row r="17" spans="1:15" x14ac:dyDescent="0.2">
      <c r="A17" s="26"/>
      <c r="B17" s="62"/>
      <c r="C17" s="63"/>
      <c r="D17" s="105" t="str">
        <f ca="1">IF(AND(NOT(H177=""),H177&gt;0),"ERROR: Valid for up to 156 payments",".")</f>
        <v>.</v>
      </c>
      <c r="E17" s="26"/>
      <c r="F17" s="26"/>
      <c r="G17" s="26"/>
      <c r="H17" s="26"/>
      <c r="I17" s="26"/>
      <c r="K17" s="10"/>
    </row>
    <row r="18" spans="1:15" x14ac:dyDescent="0.2">
      <c r="D18" s="3"/>
      <c r="M18" s="98" t="s">
        <v>94</v>
      </c>
    </row>
    <row r="19" spans="1:15" ht="26.25" thickBot="1" x14ac:dyDescent="0.25">
      <c r="A19" s="31" t="s">
        <v>8</v>
      </c>
      <c r="B19" s="32" t="s">
        <v>9</v>
      </c>
      <c r="C19" s="32" t="s">
        <v>10</v>
      </c>
      <c r="D19" s="32" t="s">
        <v>11</v>
      </c>
      <c r="E19" s="32"/>
      <c r="F19" s="32" t="s">
        <v>12</v>
      </c>
      <c r="G19" s="32" t="s">
        <v>13</v>
      </c>
      <c r="H19" s="32" t="s">
        <v>14</v>
      </c>
      <c r="I19" s="33"/>
      <c r="J19" s="4"/>
      <c r="M19" s="31" t="s">
        <v>8</v>
      </c>
      <c r="N19" s="32" t="s">
        <v>9</v>
      </c>
      <c r="O19" s="32" t="s">
        <v>14</v>
      </c>
    </row>
    <row r="20" spans="1:15" x14ac:dyDescent="0.2">
      <c r="A20" s="34"/>
      <c r="B20" s="35"/>
      <c r="C20" s="34"/>
      <c r="D20" s="34"/>
      <c r="E20" s="34"/>
      <c r="F20" s="34"/>
      <c r="G20" s="34"/>
      <c r="H20" s="36">
        <f>loan_amount</f>
        <v>20000</v>
      </c>
      <c r="I20" s="26"/>
      <c r="M20" s="34">
        <v>0</v>
      </c>
      <c r="N20" s="35"/>
      <c r="O20" s="36">
        <f>loan_amount</f>
        <v>20000</v>
      </c>
    </row>
    <row r="21" spans="1:15" x14ac:dyDescent="0.2">
      <c r="A21" s="5">
        <f t="shared" ref="A21:A52" si="0">IF(H20="","",IF(OR(A20&gt;=nper,ROUND(H20,2)&lt;=0),"",A20+1))</f>
        <v>1</v>
      </c>
      <c r="B21" s="6">
        <f t="shared" ref="B21:B52" si="1">IF(A21="","",IF(periods_per_year=26,IF(A21=1,fpdate,B20+14),IF(periods_per_year=52,IF(A21=1,fpdate,B20+7),DATE(YEAR(fpdate),MONTH(fpdate)+(A21-1)*months_per_period,IF(periods_per_year=24,IF((1-MOD(A21,2))=1,DAY(fpdate)+14,DAY(fpdate)),DAY(fpdate))))))</f>
        <v>43466</v>
      </c>
      <c r="C21" s="7">
        <f t="shared" ref="C21:C52" si="2">IF(A21="","",IF(OR(A21=nper,payment&gt;ROUND((1+rate)*H20,2)),ROUND((1+rate)*H20,2),payment))</f>
        <v>631.35</v>
      </c>
      <c r="D21" s="9">
        <v>0</v>
      </c>
      <c r="E21" s="7"/>
      <c r="F21" s="7">
        <f t="shared" ref="F21:F52" si="3">IF(A21="","",ROUND(rate*H20,2))</f>
        <v>141.66999999999999</v>
      </c>
      <c r="G21" s="7">
        <f t="shared" ref="G21:G52" si="4">IF(A21="","",C21-F21+D21)</f>
        <v>489.68000000000006</v>
      </c>
      <c r="H21" s="7">
        <f t="shared" ref="H21:H52" si="5">IF(A21="","",H20-G21)</f>
        <v>19510.32</v>
      </c>
      <c r="I21" s="7"/>
      <c r="J21" s="7"/>
      <c r="M21" s="5">
        <f t="shared" ref="M21:M52" si="6">IF(M20="","",IF(M20+1&gt;nper,"",M20+1))</f>
        <v>1</v>
      </c>
      <c r="N21" s="6">
        <f t="shared" ref="N21:N52" si="7">IF(M21="","",IF(periods_per_year=26,IF(M21=1,fpdate,N20+14),IF(periods_per_year=52,IF(M21=1,fpdate,N20+7),DATE(YEAR(fpdate),MONTH(fpdate)+(M21-1)*months_per_period,IF(periods_per_year=24,IF((1-MOD(M21,2))=1,DAY(fpdate)+14,DAY(fpdate)),DAY(fpdate))))))</f>
        <v>43466</v>
      </c>
      <c r="O21" s="7">
        <f t="shared" ref="O21:O52" si="8">IF(M21="","",FV(rate,M21,payment,-loan_amount))</f>
        <v>19510.316666666669</v>
      </c>
    </row>
    <row r="22" spans="1:15" x14ac:dyDescent="0.2">
      <c r="A22" s="5">
        <f t="shared" si="0"/>
        <v>2</v>
      </c>
      <c r="B22" s="6">
        <f t="shared" si="1"/>
        <v>43497</v>
      </c>
      <c r="C22" s="7">
        <f t="shared" si="2"/>
        <v>631.35</v>
      </c>
      <c r="D22" s="9">
        <v>0</v>
      </c>
      <c r="E22" s="7"/>
      <c r="F22" s="7">
        <f t="shared" si="3"/>
        <v>138.19999999999999</v>
      </c>
      <c r="G22" s="7">
        <f t="shared" si="4"/>
        <v>493.15000000000003</v>
      </c>
      <c r="H22" s="7">
        <f t="shared" si="5"/>
        <v>19017.169999999998</v>
      </c>
      <c r="I22" s="7"/>
      <c r="J22" s="7"/>
      <c r="M22" s="5">
        <f t="shared" si="6"/>
        <v>2</v>
      </c>
      <c r="N22" s="6">
        <f t="shared" si="7"/>
        <v>43497</v>
      </c>
      <c r="O22" s="7">
        <f t="shared" si="8"/>
        <v>19017.164743055553</v>
      </c>
    </row>
    <row r="23" spans="1:15" x14ac:dyDescent="0.2">
      <c r="A23" s="5">
        <f t="shared" si="0"/>
        <v>3</v>
      </c>
      <c r="B23" s="6">
        <f t="shared" si="1"/>
        <v>43525</v>
      </c>
      <c r="C23" s="7">
        <f t="shared" si="2"/>
        <v>631.35</v>
      </c>
      <c r="D23" s="9">
        <v>0</v>
      </c>
      <c r="E23" s="7"/>
      <c r="F23" s="7">
        <f t="shared" si="3"/>
        <v>134.69999999999999</v>
      </c>
      <c r="G23" s="7">
        <f t="shared" si="4"/>
        <v>496.65000000000003</v>
      </c>
      <c r="H23" s="7">
        <f t="shared" si="5"/>
        <v>18520.519999999997</v>
      </c>
      <c r="I23" s="7"/>
      <c r="J23" s="7"/>
      <c r="M23" s="5">
        <f t="shared" si="6"/>
        <v>3</v>
      </c>
      <c r="N23" s="6">
        <f t="shared" si="7"/>
        <v>43525</v>
      </c>
      <c r="O23" s="7">
        <f t="shared" si="8"/>
        <v>18520.519659985537</v>
      </c>
    </row>
    <row r="24" spans="1:15" x14ac:dyDescent="0.2">
      <c r="A24" s="5">
        <f t="shared" si="0"/>
        <v>4</v>
      </c>
      <c r="B24" s="6">
        <f t="shared" si="1"/>
        <v>43556</v>
      </c>
      <c r="C24" s="7">
        <f t="shared" si="2"/>
        <v>631.35</v>
      </c>
      <c r="D24" s="9">
        <v>0</v>
      </c>
      <c r="E24" s="7"/>
      <c r="F24" s="7">
        <f t="shared" si="3"/>
        <v>131.19</v>
      </c>
      <c r="G24" s="7">
        <f t="shared" si="4"/>
        <v>500.16</v>
      </c>
      <c r="H24" s="7">
        <f t="shared" si="5"/>
        <v>18020.359999999997</v>
      </c>
      <c r="I24" s="7"/>
      <c r="J24" s="7"/>
      <c r="M24" s="5">
        <f t="shared" si="6"/>
        <v>4</v>
      </c>
      <c r="N24" s="6">
        <f t="shared" si="7"/>
        <v>43556</v>
      </c>
      <c r="O24" s="7">
        <f t="shared" si="8"/>
        <v>18020.356674243758</v>
      </c>
    </row>
    <row r="25" spans="1:15" x14ac:dyDescent="0.2">
      <c r="A25" s="5">
        <f t="shared" si="0"/>
        <v>5</v>
      </c>
      <c r="B25" s="6">
        <f t="shared" si="1"/>
        <v>43586</v>
      </c>
      <c r="C25" s="7">
        <f t="shared" si="2"/>
        <v>631.35</v>
      </c>
      <c r="D25" s="9">
        <v>0</v>
      </c>
      <c r="E25" s="7"/>
      <c r="F25" s="7">
        <f t="shared" si="3"/>
        <v>127.64</v>
      </c>
      <c r="G25" s="7">
        <f t="shared" si="4"/>
        <v>503.71000000000004</v>
      </c>
      <c r="H25" s="7">
        <f t="shared" si="5"/>
        <v>17516.649999999998</v>
      </c>
      <c r="I25" s="7"/>
      <c r="J25" s="7"/>
      <c r="M25" s="5">
        <f t="shared" si="6"/>
        <v>5</v>
      </c>
      <c r="N25" s="6">
        <f t="shared" si="7"/>
        <v>43586</v>
      </c>
      <c r="O25" s="7">
        <f t="shared" si="8"/>
        <v>17516.650867352993</v>
      </c>
    </row>
    <row r="26" spans="1:15" x14ac:dyDescent="0.2">
      <c r="A26" s="5">
        <f t="shared" si="0"/>
        <v>6</v>
      </c>
      <c r="B26" s="6">
        <f t="shared" si="1"/>
        <v>43617</v>
      </c>
      <c r="C26" s="7">
        <f t="shared" si="2"/>
        <v>631.35</v>
      </c>
      <c r="D26" s="9">
        <v>0</v>
      </c>
      <c r="E26" s="7"/>
      <c r="F26" s="7">
        <f t="shared" si="3"/>
        <v>124.08</v>
      </c>
      <c r="G26" s="7">
        <f t="shared" si="4"/>
        <v>507.27000000000004</v>
      </c>
      <c r="H26" s="7">
        <f t="shared" si="5"/>
        <v>17009.379999999997</v>
      </c>
      <c r="I26" s="7"/>
      <c r="J26" s="7"/>
      <c r="M26" s="5">
        <f t="shared" si="6"/>
        <v>6</v>
      </c>
      <c r="N26" s="6">
        <f t="shared" si="7"/>
        <v>43617</v>
      </c>
      <c r="O26" s="7">
        <f t="shared" si="8"/>
        <v>17009.377144330065</v>
      </c>
    </row>
    <row r="27" spans="1:15" x14ac:dyDescent="0.2">
      <c r="A27" s="5">
        <f t="shared" si="0"/>
        <v>7</v>
      </c>
      <c r="B27" s="6">
        <f t="shared" si="1"/>
        <v>43647</v>
      </c>
      <c r="C27" s="7">
        <f t="shared" si="2"/>
        <v>631.35</v>
      </c>
      <c r="D27" s="9">
        <v>0</v>
      </c>
      <c r="E27" s="7"/>
      <c r="F27" s="7">
        <f t="shared" si="3"/>
        <v>120.48</v>
      </c>
      <c r="G27" s="7">
        <f t="shared" si="4"/>
        <v>510.87</v>
      </c>
      <c r="H27" s="7">
        <f t="shared" si="5"/>
        <v>16498.509999999998</v>
      </c>
      <c r="I27" s="7"/>
      <c r="J27" s="7"/>
      <c r="M27" s="5">
        <f t="shared" si="6"/>
        <v>7</v>
      </c>
      <c r="N27" s="6">
        <f t="shared" si="7"/>
        <v>43647</v>
      </c>
      <c r="O27" s="7">
        <f t="shared" si="8"/>
        <v>16498.51023243575</v>
      </c>
    </row>
    <row r="28" spans="1:15" x14ac:dyDescent="0.2">
      <c r="A28" s="5">
        <f t="shared" si="0"/>
        <v>8</v>
      </c>
      <c r="B28" s="6">
        <f t="shared" si="1"/>
        <v>43678</v>
      </c>
      <c r="C28" s="7">
        <f t="shared" si="2"/>
        <v>631.35</v>
      </c>
      <c r="D28" s="9">
        <v>0</v>
      </c>
      <c r="E28" s="7"/>
      <c r="F28" s="7">
        <f t="shared" si="3"/>
        <v>116.86</v>
      </c>
      <c r="G28" s="7">
        <f t="shared" si="4"/>
        <v>514.49</v>
      </c>
      <c r="H28" s="7">
        <f t="shared" si="5"/>
        <v>15984.019999999999</v>
      </c>
      <c r="I28" s="7"/>
      <c r="J28" s="7"/>
      <c r="M28" s="5">
        <f t="shared" si="6"/>
        <v>8</v>
      </c>
      <c r="N28" s="6">
        <f t="shared" si="7"/>
        <v>43678</v>
      </c>
      <c r="O28" s="7">
        <f t="shared" si="8"/>
        <v>15984.024679915481</v>
      </c>
    </row>
    <row r="29" spans="1:15" x14ac:dyDescent="0.2">
      <c r="A29" s="5">
        <f t="shared" si="0"/>
        <v>9</v>
      </c>
      <c r="B29" s="6">
        <f t="shared" si="1"/>
        <v>43709</v>
      </c>
      <c r="C29" s="7">
        <f t="shared" si="2"/>
        <v>631.35</v>
      </c>
      <c r="D29" s="9">
        <v>0</v>
      </c>
      <c r="E29" s="7"/>
      <c r="F29" s="7">
        <f t="shared" si="3"/>
        <v>113.22</v>
      </c>
      <c r="G29" s="7">
        <f t="shared" si="4"/>
        <v>518.13</v>
      </c>
      <c r="H29" s="7">
        <f t="shared" si="5"/>
        <v>15465.89</v>
      </c>
      <c r="I29" s="7"/>
      <c r="J29" s="7"/>
      <c r="M29" s="5">
        <f t="shared" si="6"/>
        <v>9</v>
      </c>
      <c r="N29" s="6">
        <f t="shared" si="7"/>
        <v>43709</v>
      </c>
      <c r="O29" s="7">
        <f t="shared" si="8"/>
        <v>15465.894854731545</v>
      </c>
    </row>
    <row r="30" spans="1:15" x14ac:dyDescent="0.2">
      <c r="A30" s="5">
        <f t="shared" si="0"/>
        <v>10</v>
      </c>
      <c r="B30" s="6">
        <f t="shared" si="1"/>
        <v>43739</v>
      </c>
      <c r="C30" s="7">
        <f t="shared" si="2"/>
        <v>631.35</v>
      </c>
      <c r="D30" s="9">
        <v>0</v>
      </c>
      <c r="E30" s="7"/>
      <c r="F30" s="7">
        <f t="shared" si="3"/>
        <v>109.55</v>
      </c>
      <c r="G30" s="7">
        <f t="shared" si="4"/>
        <v>521.80000000000007</v>
      </c>
      <c r="H30" s="7">
        <f t="shared" si="5"/>
        <v>14944.09</v>
      </c>
      <c r="I30" s="7"/>
      <c r="J30" s="7"/>
      <c r="M30" s="5">
        <f t="shared" si="6"/>
        <v>10</v>
      </c>
      <c r="N30" s="6">
        <f t="shared" si="7"/>
        <v>43739</v>
      </c>
      <c r="O30" s="7">
        <f t="shared" si="8"/>
        <v>14944.094943285902</v>
      </c>
    </row>
    <row r="31" spans="1:15" x14ac:dyDescent="0.2">
      <c r="A31" s="5">
        <f t="shared" si="0"/>
        <v>11</v>
      </c>
      <c r="B31" s="6">
        <f t="shared" si="1"/>
        <v>43770</v>
      </c>
      <c r="C31" s="7">
        <f t="shared" si="2"/>
        <v>631.35</v>
      </c>
      <c r="D31" s="9">
        <v>0</v>
      </c>
      <c r="E31" s="7"/>
      <c r="F31" s="7">
        <f t="shared" si="3"/>
        <v>105.85</v>
      </c>
      <c r="G31" s="7">
        <f t="shared" si="4"/>
        <v>525.5</v>
      </c>
      <c r="H31" s="7">
        <f t="shared" si="5"/>
        <v>14418.59</v>
      </c>
      <c r="I31" s="7"/>
      <c r="J31" s="7"/>
      <c r="M31" s="5">
        <f t="shared" si="6"/>
        <v>11</v>
      </c>
      <c r="N31" s="6">
        <f t="shared" si="7"/>
        <v>43770</v>
      </c>
      <c r="O31" s="7">
        <f t="shared" si="8"/>
        <v>14418.598949134182</v>
      </c>
    </row>
    <row r="32" spans="1:15" x14ac:dyDescent="0.2">
      <c r="A32" s="5">
        <f t="shared" si="0"/>
        <v>12</v>
      </c>
      <c r="B32" s="6">
        <f t="shared" si="1"/>
        <v>43800</v>
      </c>
      <c r="C32" s="7">
        <f t="shared" si="2"/>
        <v>631.35</v>
      </c>
      <c r="D32" s="9">
        <v>0</v>
      </c>
      <c r="E32" s="7"/>
      <c r="F32" s="7">
        <f t="shared" si="3"/>
        <v>102.13</v>
      </c>
      <c r="G32" s="7">
        <f t="shared" si="4"/>
        <v>529.22</v>
      </c>
      <c r="H32" s="7">
        <f t="shared" si="5"/>
        <v>13889.37</v>
      </c>
      <c r="I32" s="7"/>
      <c r="J32" s="7"/>
      <c r="M32" s="5">
        <f t="shared" si="6"/>
        <v>12</v>
      </c>
      <c r="N32" s="6">
        <f t="shared" si="7"/>
        <v>43800</v>
      </c>
      <c r="O32" s="7">
        <f t="shared" si="8"/>
        <v>13889.380691690531</v>
      </c>
    </row>
    <row r="33" spans="1:15" x14ac:dyDescent="0.2">
      <c r="A33" s="5">
        <f t="shared" si="0"/>
        <v>13</v>
      </c>
      <c r="B33" s="6">
        <f t="shared" si="1"/>
        <v>43831</v>
      </c>
      <c r="C33" s="7">
        <f t="shared" si="2"/>
        <v>631.35</v>
      </c>
      <c r="D33" s="9">
        <v>0</v>
      </c>
      <c r="E33" s="7"/>
      <c r="F33" s="7">
        <f t="shared" si="3"/>
        <v>98.38</v>
      </c>
      <c r="G33" s="7">
        <f t="shared" si="4"/>
        <v>532.97</v>
      </c>
      <c r="H33" s="7">
        <f t="shared" si="5"/>
        <v>13356.400000000001</v>
      </c>
      <c r="I33" s="7"/>
      <c r="J33" s="7"/>
      <c r="M33" s="5">
        <f t="shared" si="6"/>
        <v>13</v>
      </c>
      <c r="N33" s="6">
        <f t="shared" si="7"/>
        <v>43831</v>
      </c>
      <c r="O33" s="7">
        <f t="shared" si="8"/>
        <v>13356.41380492335</v>
      </c>
    </row>
    <row r="34" spans="1:15" x14ac:dyDescent="0.2">
      <c r="A34" s="5">
        <f t="shared" si="0"/>
        <v>14</v>
      </c>
      <c r="B34" s="6">
        <f t="shared" si="1"/>
        <v>43862</v>
      </c>
      <c r="C34" s="7">
        <f t="shared" si="2"/>
        <v>631.35</v>
      </c>
      <c r="D34" s="9">
        <v>0</v>
      </c>
      <c r="E34" s="7"/>
      <c r="F34" s="7">
        <f t="shared" si="3"/>
        <v>94.61</v>
      </c>
      <c r="G34" s="7">
        <f t="shared" si="4"/>
        <v>536.74</v>
      </c>
      <c r="H34" s="7">
        <f t="shared" si="5"/>
        <v>12819.660000000002</v>
      </c>
      <c r="I34" s="7"/>
      <c r="J34" s="7"/>
      <c r="M34" s="5">
        <f t="shared" si="6"/>
        <v>14</v>
      </c>
      <c r="N34" s="6">
        <f t="shared" si="7"/>
        <v>43862</v>
      </c>
      <c r="O34" s="7">
        <f t="shared" si="8"/>
        <v>12819.671736041553</v>
      </c>
    </row>
    <row r="35" spans="1:15" x14ac:dyDescent="0.2">
      <c r="A35" s="5">
        <f t="shared" si="0"/>
        <v>15</v>
      </c>
      <c r="B35" s="6">
        <f t="shared" si="1"/>
        <v>43891</v>
      </c>
      <c r="C35" s="7">
        <f t="shared" si="2"/>
        <v>631.35</v>
      </c>
      <c r="D35" s="9">
        <v>0</v>
      </c>
      <c r="E35" s="7"/>
      <c r="F35" s="7">
        <f t="shared" si="3"/>
        <v>90.81</v>
      </c>
      <c r="G35" s="7">
        <f t="shared" si="4"/>
        <v>540.54</v>
      </c>
      <c r="H35" s="7">
        <f t="shared" si="5"/>
        <v>12279.120000000003</v>
      </c>
      <c r="I35" s="7"/>
      <c r="J35" s="7"/>
      <c r="M35" s="5">
        <f t="shared" si="6"/>
        <v>15</v>
      </c>
      <c r="N35" s="6">
        <f t="shared" si="7"/>
        <v>43891</v>
      </c>
      <c r="O35" s="7">
        <f t="shared" si="8"/>
        <v>12279.127744171859</v>
      </c>
    </row>
    <row r="36" spans="1:15" x14ac:dyDescent="0.2">
      <c r="A36" s="5">
        <f t="shared" si="0"/>
        <v>16</v>
      </c>
      <c r="B36" s="6">
        <f t="shared" si="1"/>
        <v>43922</v>
      </c>
      <c r="C36" s="7">
        <f t="shared" si="2"/>
        <v>631.35</v>
      </c>
      <c r="D36" s="9">
        <v>0</v>
      </c>
      <c r="E36" s="7"/>
      <c r="F36" s="7">
        <f t="shared" si="3"/>
        <v>86.98</v>
      </c>
      <c r="G36" s="7">
        <f t="shared" si="4"/>
        <v>544.37</v>
      </c>
      <c r="H36" s="7">
        <f t="shared" si="5"/>
        <v>11734.750000000002</v>
      </c>
      <c r="I36" s="7"/>
      <c r="J36" s="7"/>
      <c r="M36" s="5">
        <f t="shared" si="6"/>
        <v>16</v>
      </c>
      <c r="N36" s="6">
        <f t="shared" si="7"/>
        <v>43922</v>
      </c>
      <c r="O36" s="7">
        <f t="shared" si="8"/>
        <v>11734.754899026393</v>
      </c>
    </row>
    <row r="37" spans="1:15" x14ac:dyDescent="0.2">
      <c r="A37" s="5">
        <f t="shared" si="0"/>
        <v>17</v>
      </c>
      <c r="B37" s="6">
        <f t="shared" si="1"/>
        <v>43952</v>
      </c>
      <c r="C37" s="7">
        <f t="shared" si="2"/>
        <v>631.35</v>
      </c>
      <c r="D37" s="9">
        <v>0</v>
      </c>
      <c r="E37" s="7"/>
      <c r="F37" s="7">
        <f t="shared" si="3"/>
        <v>83.12</v>
      </c>
      <c r="G37" s="7">
        <f t="shared" si="4"/>
        <v>548.23</v>
      </c>
      <c r="H37" s="7">
        <f t="shared" si="5"/>
        <v>11186.520000000002</v>
      </c>
      <c r="I37" s="7"/>
      <c r="J37" s="7"/>
      <c r="M37" s="5">
        <f t="shared" si="6"/>
        <v>17</v>
      </c>
      <c r="N37" s="6">
        <f t="shared" si="7"/>
        <v>43952</v>
      </c>
      <c r="O37" s="7">
        <f t="shared" si="8"/>
        <v>11186.526079561163</v>
      </c>
    </row>
    <row r="38" spans="1:15" x14ac:dyDescent="0.2">
      <c r="A38" s="5">
        <f t="shared" si="0"/>
        <v>18</v>
      </c>
      <c r="B38" s="6">
        <f t="shared" si="1"/>
        <v>43983</v>
      </c>
      <c r="C38" s="7">
        <f t="shared" si="2"/>
        <v>631.35</v>
      </c>
      <c r="D38" s="9">
        <v>0</v>
      </c>
      <c r="E38" s="7"/>
      <c r="F38" s="7">
        <f t="shared" si="3"/>
        <v>79.239999999999995</v>
      </c>
      <c r="G38" s="7">
        <f t="shared" si="4"/>
        <v>552.11</v>
      </c>
      <c r="H38" s="7">
        <f t="shared" si="5"/>
        <v>10634.410000000002</v>
      </c>
      <c r="I38" s="7"/>
      <c r="J38" s="7"/>
      <c r="M38" s="5">
        <f t="shared" si="6"/>
        <v>18</v>
      </c>
      <c r="N38" s="6">
        <f t="shared" si="7"/>
        <v>43983</v>
      </c>
      <c r="O38" s="7">
        <f t="shared" si="8"/>
        <v>10634.413972624721</v>
      </c>
    </row>
    <row r="39" spans="1:15" x14ac:dyDescent="0.2">
      <c r="A39" s="5">
        <f t="shared" si="0"/>
        <v>19</v>
      </c>
      <c r="B39" s="6">
        <f t="shared" si="1"/>
        <v>44013</v>
      </c>
      <c r="C39" s="7">
        <f t="shared" si="2"/>
        <v>631.35</v>
      </c>
      <c r="D39" s="9">
        <v>0</v>
      </c>
      <c r="E39" s="7"/>
      <c r="F39" s="7">
        <f t="shared" si="3"/>
        <v>75.33</v>
      </c>
      <c r="G39" s="7">
        <f t="shared" si="4"/>
        <v>556.02</v>
      </c>
      <c r="H39" s="7">
        <f t="shared" si="5"/>
        <v>10078.390000000001</v>
      </c>
      <c r="I39" s="7"/>
      <c r="J39" s="7"/>
      <c r="M39" s="5">
        <f t="shared" si="6"/>
        <v>19</v>
      </c>
      <c r="N39" s="6">
        <f t="shared" si="7"/>
        <v>44013</v>
      </c>
      <c r="O39" s="7">
        <f t="shared" si="8"/>
        <v>10078.391071597485</v>
      </c>
    </row>
    <row r="40" spans="1:15" x14ac:dyDescent="0.2">
      <c r="A40" s="5">
        <f t="shared" si="0"/>
        <v>20</v>
      </c>
      <c r="B40" s="6">
        <f t="shared" si="1"/>
        <v>44044</v>
      </c>
      <c r="C40" s="7">
        <f t="shared" si="2"/>
        <v>631.35</v>
      </c>
      <c r="D40" s="9">
        <v>0</v>
      </c>
      <c r="E40" s="7"/>
      <c r="F40" s="7">
        <f t="shared" si="3"/>
        <v>71.39</v>
      </c>
      <c r="G40" s="7">
        <f t="shared" si="4"/>
        <v>559.96</v>
      </c>
      <c r="H40" s="7">
        <f t="shared" si="5"/>
        <v>9518.43</v>
      </c>
      <c r="I40" s="7"/>
      <c r="J40" s="7"/>
      <c r="M40" s="5">
        <f t="shared" si="6"/>
        <v>20</v>
      </c>
      <c r="N40" s="6">
        <f t="shared" si="7"/>
        <v>44044</v>
      </c>
      <c r="O40" s="7">
        <f t="shared" si="8"/>
        <v>9518.4296750212852</v>
      </c>
    </row>
    <row r="41" spans="1:15" x14ac:dyDescent="0.2">
      <c r="A41" s="5">
        <f t="shared" si="0"/>
        <v>21</v>
      </c>
      <c r="B41" s="6">
        <f t="shared" si="1"/>
        <v>44075</v>
      </c>
      <c r="C41" s="7">
        <f t="shared" si="2"/>
        <v>631.35</v>
      </c>
      <c r="D41" s="9">
        <v>0</v>
      </c>
      <c r="E41" s="7"/>
      <c r="F41" s="7">
        <f t="shared" si="3"/>
        <v>67.42</v>
      </c>
      <c r="G41" s="7">
        <f t="shared" si="4"/>
        <v>563.93000000000006</v>
      </c>
      <c r="H41" s="7">
        <f t="shared" si="5"/>
        <v>8954.5</v>
      </c>
      <c r="I41" s="7"/>
      <c r="J41" s="7"/>
      <c r="M41" s="5">
        <f t="shared" si="6"/>
        <v>21</v>
      </c>
      <c r="N41" s="6">
        <f t="shared" si="7"/>
        <v>44075</v>
      </c>
      <c r="O41" s="7">
        <f t="shared" si="8"/>
        <v>8954.501885219368</v>
      </c>
    </row>
    <row r="42" spans="1:15" x14ac:dyDescent="0.2">
      <c r="A42" s="5">
        <f t="shared" si="0"/>
        <v>22</v>
      </c>
      <c r="B42" s="6">
        <f t="shared" si="1"/>
        <v>44105</v>
      </c>
      <c r="C42" s="7">
        <f t="shared" si="2"/>
        <v>631.35</v>
      </c>
      <c r="D42" s="9">
        <v>0</v>
      </c>
      <c r="E42" s="7"/>
      <c r="F42" s="7">
        <f t="shared" si="3"/>
        <v>63.43</v>
      </c>
      <c r="G42" s="7">
        <f t="shared" si="4"/>
        <v>567.92000000000007</v>
      </c>
      <c r="H42" s="7">
        <f t="shared" si="5"/>
        <v>8386.58</v>
      </c>
      <c r="I42" s="7"/>
      <c r="J42" s="7"/>
      <c r="M42" s="5">
        <f t="shared" si="6"/>
        <v>22</v>
      </c>
      <c r="N42" s="6">
        <f t="shared" si="7"/>
        <v>44105</v>
      </c>
      <c r="O42" s="7">
        <f t="shared" si="8"/>
        <v>8386.5796069063199</v>
      </c>
    </row>
    <row r="43" spans="1:15" x14ac:dyDescent="0.2">
      <c r="A43" s="5">
        <f t="shared" si="0"/>
        <v>23</v>
      </c>
      <c r="B43" s="6">
        <f t="shared" si="1"/>
        <v>44136</v>
      </c>
      <c r="C43" s="7">
        <f t="shared" si="2"/>
        <v>631.35</v>
      </c>
      <c r="D43" s="9">
        <v>0</v>
      </c>
      <c r="E43" s="7"/>
      <c r="F43" s="7">
        <f t="shared" si="3"/>
        <v>59.4</v>
      </c>
      <c r="G43" s="7">
        <f t="shared" si="4"/>
        <v>571.95000000000005</v>
      </c>
      <c r="H43" s="7">
        <f t="shared" si="5"/>
        <v>7814.63</v>
      </c>
      <c r="I43" s="7"/>
      <c r="J43" s="7"/>
      <c r="M43" s="5">
        <f t="shared" si="6"/>
        <v>23</v>
      </c>
      <c r="N43" s="6">
        <f t="shared" si="7"/>
        <v>44136</v>
      </c>
      <c r="O43" s="7">
        <f t="shared" si="8"/>
        <v>7814.6345457885836</v>
      </c>
    </row>
    <row r="44" spans="1:15" x14ac:dyDescent="0.2">
      <c r="A44" s="5">
        <f t="shared" si="0"/>
        <v>24</v>
      </c>
      <c r="B44" s="6">
        <f t="shared" si="1"/>
        <v>44166</v>
      </c>
      <c r="C44" s="7">
        <f t="shared" si="2"/>
        <v>631.35</v>
      </c>
      <c r="D44" s="9">
        <v>0</v>
      </c>
      <c r="E44" s="7"/>
      <c r="F44" s="7">
        <f t="shared" si="3"/>
        <v>55.35</v>
      </c>
      <c r="G44" s="7">
        <f t="shared" si="4"/>
        <v>576</v>
      </c>
      <c r="H44" s="7">
        <f t="shared" si="5"/>
        <v>7238.63</v>
      </c>
      <c r="I44" s="7"/>
      <c r="J44" s="7"/>
      <c r="M44" s="5">
        <f t="shared" si="6"/>
        <v>24</v>
      </c>
      <c r="N44" s="6">
        <f t="shared" si="7"/>
        <v>44166</v>
      </c>
      <c r="O44" s="7">
        <f t="shared" si="8"/>
        <v>7238.638207154574</v>
      </c>
    </row>
    <row r="45" spans="1:15" x14ac:dyDescent="0.2">
      <c r="A45" s="5">
        <f t="shared" si="0"/>
        <v>25</v>
      </c>
      <c r="B45" s="6">
        <f t="shared" si="1"/>
        <v>44197</v>
      </c>
      <c r="C45" s="7">
        <f t="shared" si="2"/>
        <v>631.35</v>
      </c>
      <c r="D45" s="9">
        <v>0</v>
      </c>
      <c r="E45" s="7"/>
      <c r="F45" s="7">
        <f t="shared" si="3"/>
        <v>51.27</v>
      </c>
      <c r="G45" s="7">
        <f t="shared" si="4"/>
        <v>580.08000000000004</v>
      </c>
      <c r="H45" s="7">
        <f t="shared" si="5"/>
        <v>6658.55</v>
      </c>
      <c r="I45" s="7"/>
      <c r="J45" s="7"/>
      <c r="M45" s="5">
        <f t="shared" si="6"/>
        <v>25</v>
      </c>
      <c r="N45" s="6">
        <f t="shared" si="7"/>
        <v>44197</v>
      </c>
      <c r="O45" s="7">
        <f t="shared" si="8"/>
        <v>6658.5618944552371</v>
      </c>
    </row>
    <row r="46" spans="1:15" x14ac:dyDescent="0.2">
      <c r="A46" s="5">
        <f t="shared" si="0"/>
        <v>26</v>
      </c>
      <c r="B46" s="6">
        <f t="shared" si="1"/>
        <v>44228</v>
      </c>
      <c r="C46" s="7">
        <f t="shared" si="2"/>
        <v>631.35</v>
      </c>
      <c r="D46" s="9">
        <v>0</v>
      </c>
      <c r="E46" s="7"/>
      <c r="F46" s="7">
        <f t="shared" si="3"/>
        <v>47.16</v>
      </c>
      <c r="G46" s="7">
        <f t="shared" si="4"/>
        <v>584.19000000000005</v>
      </c>
      <c r="H46" s="7">
        <f t="shared" si="5"/>
        <v>6074.3600000000006</v>
      </c>
      <c r="I46" s="7"/>
      <c r="J46" s="7"/>
      <c r="M46" s="5">
        <f t="shared" si="6"/>
        <v>26</v>
      </c>
      <c r="N46" s="6">
        <f t="shared" si="7"/>
        <v>44228</v>
      </c>
      <c r="O46" s="7">
        <f t="shared" si="8"/>
        <v>6074.3767078743113</v>
      </c>
    </row>
    <row r="47" spans="1:15" x14ac:dyDescent="0.2">
      <c r="A47" s="5">
        <f t="shared" si="0"/>
        <v>27</v>
      </c>
      <c r="B47" s="6">
        <f t="shared" si="1"/>
        <v>44256</v>
      </c>
      <c r="C47" s="7">
        <f t="shared" si="2"/>
        <v>631.35</v>
      </c>
      <c r="D47" s="9">
        <v>0</v>
      </c>
      <c r="E47" s="7"/>
      <c r="F47" s="7">
        <f t="shared" si="3"/>
        <v>43.03</v>
      </c>
      <c r="G47" s="7">
        <f t="shared" si="4"/>
        <v>588.32000000000005</v>
      </c>
      <c r="H47" s="7">
        <f t="shared" si="5"/>
        <v>5486.0400000000009</v>
      </c>
      <c r="I47" s="7"/>
      <c r="J47" s="7"/>
      <c r="M47" s="5">
        <f t="shared" si="6"/>
        <v>27</v>
      </c>
      <c r="N47" s="6">
        <f t="shared" si="7"/>
        <v>44256</v>
      </c>
      <c r="O47" s="7">
        <f t="shared" si="8"/>
        <v>5486.0535428884323</v>
      </c>
    </row>
    <row r="48" spans="1:15" x14ac:dyDescent="0.2">
      <c r="A48" s="5">
        <f t="shared" si="0"/>
        <v>28</v>
      </c>
      <c r="B48" s="6">
        <f t="shared" si="1"/>
        <v>44287</v>
      </c>
      <c r="C48" s="7">
        <f t="shared" si="2"/>
        <v>631.35</v>
      </c>
      <c r="D48" s="9">
        <v>0</v>
      </c>
      <c r="E48" s="7"/>
      <c r="F48" s="7">
        <f t="shared" si="3"/>
        <v>38.86</v>
      </c>
      <c r="G48" s="7">
        <f t="shared" si="4"/>
        <v>592.49</v>
      </c>
      <c r="H48" s="7">
        <f t="shared" si="5"/>
        <v>4893.5500000000011</v>
      </c>
      <c r="I48" s="7"/>
      <c r="J48" s="7"/>
      <c r="M48" s="5">
        <f t="shared" si="6"/>
        <v>28</v>
      </c>
      <c r="N48" s="6">
        <f t="shared" si="7"/>
        <v>44287</v>
      </c>
      <c r="O48" s="7">
        <f t="shared" si="8"/>
        <v>4893.5630888171981</v>
      </c>
    </row>
    <row r="49" spans="1:15" x14ac:dyDescent="0.2">
      <c r="A49" s="5">
        <f t="shared" si="0"/>
        <v>29</v>
      </c>
      <c r="B49" s="6">
        <f t="shared" si="1"/>
        <v>44317</v>
      </c>
      <c r="C49" s="7">
        <f t="shared" si="2"/>
        <v>631.35</v>
      </c>
      <c r="D49" s="9">
        <v>0</v>
      </c>
      <c r="E49" s="7"/>
      <c r="F49" s="7">
        <f t="shared" si="3"/>
        <v>34.659999999999997</v>
      </c>
      <c r="G49" s="7">
        <f t="shared" si="4"/>
        <v>596.69000000000005</v>
      </c>
      <c r="H49" s="7">
        <f t="shared" si="5"/>
        <v>4296.8600000000006</v>
      </c>
      <c r="I49" s="7"/>
      <c r="J49" s="7"/>
      <c r="M49" s="5">
        <f t="shared" si="6"/>
        <v>29</v>
      </c>
      <c r="N49" s="6">
        <f t="shared" si="7"/>
        <v>44317</v>
      </c>
      <c r="O49" s="7">
        <f t="shared" si="8"/>
        <v>4296.8758273630046</v>
      </c>
    </row>
    <row r="50" spans="1:15" x14ac:dyDescent="0.2">
      <c r="A50" s="5">
        <f t="shared" si="0"/>
        <v>30</v>
      </c>
      <c r="B50" s="6">
        <f t="shared" si="1"/>
        <v>44348</v>
      </c>
      <c r="C50" s="7">
        <f t="shared" si="2"/>
        <v>631.35</v>
      </c>
      <c r="D50" s="9">
        <v>0</v>
      </c>
      <c r="E50" s="7"/>
      <c r="F50" s="7">
        <f t="shared" si="3"/>
        <v>30.44</v>
      </c>
      <c r="G50" s="7">
        <f t="shared" si="4"/>
        <v>600.91</v>
      </c>
      <c r="H50" s="7">
        <f t="shared" si="5"/>
        <v>3695.9500000000007</v>
      </c>
      <c r="I50" s="7"/>
      <c r="J50" s="7"/>
      <c r="M50" s="5">
        <f t="shared" si="6"/>
        <v>30</v>
      </c>
      <c r="N50" s="6">
        <f t="shared" si="7"/>
        <v>44348</v>
      </c>
      <c r="O50" s="7">
        <f t="shared" si="8"/>
        <v>3695.9620311401522</v>
      </c>
    </row>
    <row r="51" spans="1:15" x14ac:dyDescent="0.2">
      <c r="A51" s="5">
        <f t="shared" si="0"/>
        <v>31</v>
      </c>
      <c r="B51" s="6">
        <f t="shared" si="1"/>
        <v>44378</v>
      </c>
      <c r="C51" s="7">
        <f t="shared" si="2"/>
        <v>631.35</v>
      </c>
      <c r="D51" s="9">
        <v>0</v>
      </c>
      <c r="E51" s="7"/>
      <c r="F51" s="7">
        <f t="shared" si="3"/>
        <v>26.18</v>
      </c>
      <c r="G51" s="7">
        <f t="shared" si="4"/>
        <v>605.17000000000007</v>
      </c>
      <c r="H51" s="7">
        <f t="shared" si="5"/>
        <v>3090.7800000000007</v>
      </c>
      <c r="I51" s="7"/>
      <c r="J51" s="7"/>
      <c r="M51" s="5">
        <f t="shared" si="6"/>
        <v>31</v>
      </c>
      <c r="N51" s="6">
        <f t="shared" si="7"/>
        <v>44378</v>
      </c>
      <c r="O51" s="7">
        <f t="shared" si="8"/>
        <v>3090.7917621940651</v>
      </c>
    </row>
    <row r="52" spans="1:15" x14ac:dyDescent="0.2">
      <c r="A52" s="5">
        <f t="shared" si="0"/>
        <v>32</v>
      </c>
      <c r="B52" s="6">
        <f t="shared" si="1"/>
        <v>44409</v>
      </c>
      <c r="C52" s="7">
        <f t="shared" si="2"/>
        <v>631.35</v>
      </c>
      <c r="D52" s="9">
        <v>0</v>
      </c>
      <c r="E52" s="7"/>
      <c r="F52" s="7">
        <f t="shared" si="3"/>
        <v>21.89</v>
      </c>
      <c r="G52" s="7">
        <f t="shared" si="4"/>
        <v>609.46</v>
      </c>
      <c r="H52" s="7">
        <f t="shared" si="5"/>
        <v>2481.3200000000006</v>
      </c>
      <c r="I52" s="7"/>
      <c r="J52" s="7"/>
      <c r="M52" s="5">
        <f t="shared" si="6"/>
        <v>32</v>
      </c>
      <c r="N52" s="6">
        <f t="shared" si="7"/>
        <v>44409</v>
      </c>
      <c r="O52" s="7">
        <f t="shared" si="8"/>
        <v>2481.3348705095959</v>
      </c>
    </row>
    <row r="53" spans="1:15" x14ac:dyDescent="0.2">
      <c r="A53" s="5">
        <f t="shared" ref="A53:A84" si="9">IF(H52="","",IF(OR(A52&gt;=nper,ROUND(H52,2)&lt;=0),"",A52+1))</f>
        <v>33</v>
      </c>
      <c r="B53" s="6">
        <f t="shared" ref="B53:B84" si="10">IF(A53="","",IF(periods_per_year=26,IF(A53=1,fpdate,B52+14),IF(periods_per_year=52,IF(A53=1,fpdate,B52+7),DATE(YEAR(fpdate),MONTH(fpdate)+(A53-1)*months_per_period,IF(periods_per_year=24,IF((1-MOD(A53,2))=1,DAY(fpdate)+14,DAY(fpdate)),DAY(fpdate))))))</f>
        <v>44440</v>
      </c>
      <c r="C53" s="7">
        <f t="shared" ref="C53:C84" si="11">IF(A53="","",IF(OR(A53=nper,payment&gt;ROUND((1+rate)*H52,2)),ROUND((1+rate)*H52,2),payment))</f>
        <v>631.35</v>
      </c>
      <c r="D53" s="9">
        <v>0</v>
      </c>
      <c r="E53" s="7"/>
      <c r="F53" s="7">
        <f t="shared" ref="F53:F84" si="12">IF(A53="","",ROUND(rate*H52,2))</f>
        <v>17.579999999999998</v>
      </c>
      <c r="G53" s="7">
        <f t="shared" ref="G53:G84" si="13">IF(A53="","",C53-F53+D53)</f>
        <v>613.77</v>
      </c>
      <c r="H53" s="7">
        <f t="shared" ref="H53:H84" si="14">IF(A53="","",H52-G53)</f>
        <v>1867.5500000000006</v>
      </c>
      <c r="I53" s="7"/>
      <c r="J53" s="7"/>
      <c r="M53" s="5">
        <f t="shared" ref="M53:M84" si="15">IF(M52="","",IF(M52+1&gt;nper,"",M52+1))</f>
        <v>33</v>
      </c>
      <c r="N53" s="6">
        <f t="shared" ref="N53:N84" si="16">IF(M53="","",IF(periods_per_year=26,IF(M53=1,fpdate,N52+14),IF(periods_per_year=52,IF(M53=1,fpdate,N52+7),DATE(YEAR(fpdate),MONTH(fpdate)+(M53-1)*months_per_period,IF(periods_per_year=24,IF((1-MOD(M53,2))=1,DAY(fpdate)+14,DAY(fpdate)),DAY(fpdate))))))</f>
        <v>44440</v>
      </c>
      <c r="O53" s="7">
        <f t="shared" ref="O53:O84" si="17">IF(M53="","",FV(rate,M53,payment,-loan_amount))</f>
        <v>1867.560992509043</v>
      </c>
    </row>
    <row r="54" spans="1:15" x14ac:dyDescent="0.2">
      <c r="A54" s="5">
        <f t="shared" si="9"/>
        <v>34</v>
      </c>
      <c r="B54" s="6">
        <f t="shared" si="10"/>
        <v>44470</v>
      </c>
      <c r="C54" s="7">
        <f t="shared" si="11"/>
        <v>631.35</v>
      </c>
      <c r="D54" s="9">
        <v>0</v>
      </c>
      <c r="E54" s="7"/>
      <c r="F54" s="7">
        <f t="shared" si="12"/>
        <v>13.23</v>
      </c>
      <c r="G54" s="7">
        <f t="shared" si="13"/>
        <v>618.12</v>
      </c>
      <c r="H54" s="7">
        <f t="shared" si="14"/>
        <v>1249.4300000000007</v>
      </c>
      <c r="I54" s="7"/>
      <c r="J54" s="7"/>
      <c r="M54" s="5">
        <f t="shared" si="15"/>
        <v>34</v>
      </c>
      <c r="N54" s="6">
        <f t="shared" si="16"/>
        <v>44470</v>
      </c>
      <c r="O54" s="7">
        <f t="shared" si="17"/>
        <v>1249.4395495393001</v>
      </c>
    </row>
    <row r="55" spans="1:15" x14ac:dyDescent="0.2">
      <c r="A55" s="5">
        <f t="shared" si="9"/>
        <v>35</v>
      </c>
      <c r="B55" s="6">
        <f t="shared" si="10"/>
        <v>44501</v>
      </c>
      <c r="C55" s="7">
        <f t="shared" si="11"/>
        <v>631.35</v>
      </c>
      <c r="D55" s="9">
        <v>0</v>
      </c>
      <c r="E55" s="7"/>
      <c r="F55" s="7">
        <f t="shared" si="12"/>
        <v>8.85</v>
      </c>
      <c r="G55" s="7">
        <f t="shared" si="13"/>
        <v>622.5</v>
      </c>
      <c r="H55" s="7">
        <f t="shared" si="14"/>
        <v>626.93000000000075</v>
      </c>
      <c r="I55" s="7"/>
      <c r="J55" s="7"/>
      <c r="K55" s="10"/>
      <c r="L55" s="8"/>
      <c r="M55" s="5">
        <f t="shared" si="15"/>
        <v>35</v>
      </c>
      <c r="N55" s="6">
        <f t="shared" si="16"/>
        <v>44501</v>
      </c>
      <c r="O55" s="7">
        <f t="shared" si="17"/>
        <v>626.93974634855476</v>
      </c>
    </row>
    <row r="56" spans="1:15" x14ac:dyDescent="0.2">
      <c r="A56" s="5">
        <f t="shared" si="9"/>
        <v>36</v>
      </c>
      <c r="B56" s="6">
        <f t="shared" si="10"/>
        <v>44531</v>
      </c>
      <c r="C56" s="7">
        <f t="shared" si="11"/>
        <v>631.37</v>
      </c>
      <c r="D56" s="9">
        <v>0</v>
      </c>
      <c r="E56" s="7"/>
      <c r="F56" s="7">
        <f t="shared" si="12"/>
        <v>4.4400000000000004</v>
      </c>
      <c r="G56" s="7">
        <f t="shared" si="13"/>
        <v>626.92999999999995</v>
      </c>
      <c r="H56" s="7">
        <f t="shared" si="14"/>
        <v>7.9580786405131221E-13</v>
      </c>
      <c r="I56" s="7"/>
      <c r="J56" s="7"/>
      <c r="M56" s="5">
        <f t="shared" si="15"/>
        <v>36</v>
      </c>
      <c r="N56" s="6">
        <f t="shared" si="16"/>
        <v>44531</v>
      </c>
      <c r="O56" s="7">
        <f t="shared" si="17"/>
        <v>3.0569551847293042E-2</v>
      </c>
    </row>
    <row r="57" spans="1:15" x14ac:dyDescent="0.2">
      <c r="A57" s="5" t="str">
        <f t="shared" si="9"/>
        <v/>
      </c>
      <c r="B57" s="6" t="str">
        <f t="shared" si="10"/>
        <v/>
      </c>
      <c r="C57" s="7" t="str">
        <f t="shared" si="11"/>
        <v/>
      </c>
      <c r="D57" s="9">
        <v>0</v>
      </c>
      <c r="E57" s="7"/>
      <c r="F57" s="7" t="str">
        <f t="shared" si="12"/>
        <v/>
      </c>
      <c r="G57" s="7" t="str">
        <f t="shared" si="13"/>
        <v/>
      </c>
      <c r="H57" s="7" t="str">
        <f t="shared" si="14"/>
        <v/>
      </c>
      <c r="I57" s="7"/>
      <c r="J57" s="7"/>
      <c r="M57" s="5" t="str">
        <f t="shared" si="15"/>
        <v/>
      </c>
      <c r="N57" s="6" t="str">
        <f t="shared" si="16"/>
        <v/>
      </c>
      <c r="O57" s="7" t="str">
        <f t="shared" si="17"/>
        <v/>
      </c>
    </row>
    <row r="58" spans="1:15" x14ac:dyDescent="0.2">
      <c r="A58" s="5" t="str">
        <f t="shared" si="9"/>
        <v/>
      </c>
      <c r="B58" s="6" t="str">
        <f t="shared" si="10"/>
        <v/>
      </c>
      <c r="C58" s="7" t="str">
        <f t="shared" si="11"/>
        <v/>
      </c>
      <c r="D58" s="9">
        <v>0</v>
      </c>
      <c r="E58" s="7"/>
      <c r="F58" s="7" t="str">
        <f t="shared" si="12"/>
        <v/>
      </c>
      <c r="G58" s="7" t="str">
        <f t="shared" si="13"/>
        <v/>
      </c>
      <c r="H58" s="7" t="str">
        <f t="shared" si="14"/>
        <v/>
      </c>
      <c r="I58" s="7"/>
      <c r="J58" s="7"/>
      <c r="M58" s="5" t="str">
        <f t="shared" si="15"/>
        <v/>
      </c>
      <c r="N58" s="6" t="str">
        <f t="shared" si="16"/>
        <v/>
      </c>
      <c r="O58" s="7" t="str">
        <f t="shared" si="17"/>
        <v/>
      </c>
    </row>
    <row r="59" spans="1:15" x14ac:dyDescent="0.2">
      <c r="A59" s="5" t="str">
        <f t="shared" si="9"/>
        <v/>
      </c>
      <c r="B59" s="6" t="str">
        <f t="shared" si="10"/>
        <v/>
      </c>
      <c r="C59" s="7" t="str">
        <f t="shared" si="11"/>
        <v/>
      </c>
      <c r="D59" s="9">
        <v>0</v>
      </c>
      <c r="E59" s="7"/>
      <c r="F59" s="7" t="str">
        <f t="shared" si="12"/>
        <v/>
      </c>
      <c r="G59" s="7" t="str">
        <f t="shared" si="13"/>
        <v/>
      </c>
      <c r="H59" s="7" t="str">
        <f t="shared" si="14"/>
        <v/>
      </c>
      <c r="I59" s="7"/>
      <c r="J59" s="7"/>
      <c r="M59" s="5" t="str">
        <f t="shared" si="15"/>
        <v/>
      </c>
      <c r="N59" s="6" t="str">
        <f t="shared" si="16"/>
        <v/>
      </c>
      <c r="O59" s="7" t="str">
        <f t="shared" si="17"/>
        <v/>
      </c>
    </row>
    <row r="60" spans="1:15" x14ac:dyDescent="0.2">
      <c r="A60" s="5" t="str">
        <f t="shared" si="9"/>
        <v/>
      </c>
      <c r="B60" s="6" t="str">
        <f t="shared" si="10"/>
        <v/>
      </c>
      <c r="C60" s="7" t="str">
        <f t="shared" si="11"/>
        <v/>
      </c>
      <c r="D60" s="9">
        <v>0</v>
      </c>
      <c r="E60" s="7"/>
      <c r="F60" s="7" t="str">
        <f t="shared" si="12"/>
        <v/>
      </c>
      <c r="G60" s="7" t="str">
        <f t="shared" si="13"/>
        <v/>
      </c>
      <c r="H60" s="7" t="str">
        <f t="shared" si="14"/>
        <v/>
      </c>
      <c r="I60" s="7"/>
      <c r="J60" s="7"/>
      <c r="M60" s="5" t="str">
        <f t="shared" si="15"/>
        <v/>
      </c>
      <c r="N60" s="6" t="str">
        <f t="shared" si="16"/>
        <v/>
      </c>
      <c r="O60" s="7" t="str">
        <f t="shared" si="17"/>
        <v/>
      </c>
    </row>
    <row r="61" spans="1:15" x14ac:dyDescent="0.2">
      <c r="A61" s="5" t="str">
        <f t="shared" si="9"/>
        <v/>
      </c>
      <c r="B61" s="6" t="str">
        <f t="shared" si="10"/>
        <v/>
      </c>
      <c r="C61" s="7" t="str">
        <f t="shared" si="11"/>
        <v/>
      </c>
      <c r="D61" s="9">
        <v>0</v>
      </c>
      <c r="E61" s="7"/>
      <c r="F61" s="7" t="str">
        <f t="shared" si="12"/>
        <v/>
      </c>
      <c r="G61" s="7" t="str">
        <f t="shared" si="13"/>
        <v/>
      </c>
      <c r="H61" s="7" t="str">
        <f t="shared" si="14"/>
        <v/>
      </c>
      <c r="I61" s="7"/>
      <c r="J61" s="7"/>
      <c r="M61" s="5" t="str">
        <f t="shared" si="15"/>
        <v/>
      </c>
      <c r="N61" s="6" t="str">
        <f t="shared" si="16"/>
        <v/>
      </c>
      <c r="O61" s="7" t="str">
        <f t="shared" si="17"/>
        <v/>
      </c>
    </row>
    <row r="62" spans="1:15" x14ac:dyDescent="0.2">
      <c r="A62" s="5" t="str">
        <f t="shared" si="9"/>
        <v/>
      </c>
      <c r="B62" s="6" t="str">
        <f t="shared" si="10"/>
        <v/>
      </c>
      <c r="C62" s="7" t="str">
        <f t="shared" si="11"/>
        <v/>
      </c>
      <c r="D62" s="9">
        <v>0</v>
      </c>
      <c r="E62" s="7"/>
      <c r="F62" s="7" t="str">
        <f t="shared" si="12"/>
        <v/>
      </c>
      <c r="G62" s="7" t="str">
        <f t="shared" si="13"/>
        <v/>
      </c>
      <c r="H62" s="7" t="str">
        <f t="shared" si="14"/>
        <v/>
      </c>
      <c r="I62" s="7"/>
      <c r="J62" s="7"/>
      <c r="M62" s="5" t="str">
        <f t="shared" si="15"/>
        <v/>
      </c>
      <c r="N62" s="6" t="str">
        <f t="shared" si="16"/>
        <v/>
      </c>
      <c r="O62" s="7" t="str">
        <f t="shared" si="17"/>
        <v/>
      </c>
    </row>
    <row r="63" spans="1:15" x14ac:dyDescent="0.2">
      <c r="A63" s="5" t="str">
        <f t="shared" si="9"/>
        <v/>
      </c>
      <c r="B63" s="6" t="str">
        <f t="shared" si="10"/>
        <v/>
      </c>
      <c r="C63" s="7" t="str">
        <f t="shared" si="11"/>
        <v/>
      </c>
      <c r="D63" s="9">
        <v>0</v>
      </c>
      <c r="E63" s="7"/>
      <c r="F63" s="7" t="str">
        <f t="shared" si="12"/>
        <v/>
      </c>
      <c r="G63" s="7" t="str">
        <f t="shared" si="13"/>
        <v/>
      </c>
      <c r="H63" s="7" t="str">
        <f t="shared" si="14"/>
        <v/>
      </c>
      <c r="I63" s="7"/>
      <c r="J63" s="7"/>
      <c r="M63" s="5" t="str">
        <f t="shared" si="15"/>
        <v/>
      </c>
      <c r="N63" s="6" t="str">
        <f t="shared" si="16"/>
        <v/>
      </c>
      <c r="O63" s="7" t="str">
        <f t="shared" si="17"/>
        <v/>
      </c>
    </row>
    <row r="64" spans="1:15" x14ac:dyDescent="0.2">
      <c r="A64" s="5" t="str">
        <f t="shared" si="9"/>
        <v/>
      </c>
      <c r="B64" s="6" t="str">
        <f t="shared" si="10"/>
        <v/>
      </c>
      <c r="C64" s="7" t="str">
        <f t="shared" si="11"/>
        <v/>
      </c>
      <c r="D64" s="9">
        <v>0</v>
      </c>
      <c r="E64" s="7"/>
      <c r="F64" s="7" t="str">
        <f t="shared" si="12"/>
        <v/>
      </c>
      <c r="G64" s="7" t="str">
        <f t="shared" si="13"/>
        <v/>
      </c>
      <c r="H64" s="7" t="str">
        <f t="shared" si="14"/>
        <v/>
      </c>
      <c r="I64" s="7"/>
      <c r="J64" s="7"/>
      <c r="M64" s="5" t="str">
        <f t="shared" si="15"/>
        <v/>
      </c>
      <c r="N64" s="6" t="str">
        <f t="shared" si="16"/>
        <v/>
      </c>
      <c r="O64" s="7" t="str">
        <f t="shared" si="17"/>
        <v/>
      </c>
    </row>
    <row r="65" spans="1:15" x14ac:dyDescent="0.2">
      <c r="A65" s="5" t="str">
        <f t="shared" si="9"/>
        <v/>
      </c>
      <c r="B65" s="6" t="str">
        <f t="shared" si="10"/>
        <v/>
      </c>
      <c r="C65" s="7" t="str">
        <f t="shared" si="11"/>
        <v/>
      </c>
      <c r="D65" s="9">
        <v>0</v>
      </c>
      <c r="E65" s="7"/>
      <c r="F65" s="7" t="str">
        <f t="shared" si="12"/>
        <v/>
      </c>
      <c r="G65" s="7" t="str">
        <f t="shared" si="13"/>
        <v/>
      </c>
      <c r="H65" s="7" t="str">
        <f t="shared" si="14"/>
        <v/>
      </c>
      <c r="I65" s="7"/>
      <c r="J65" s="7"/>
      <c r="M65" s="5" t="str">
        <f t="shared" si="15"/>
        <v/>
      </c>
      <c r="N65" s="6" t="str">
        <f t="shared" si="16"/>
        <v/>
      </c>
      <c r="O65" s="7" t="str">
        <f t="shared" si="17"/>
        <v/>
      </c>
    </row>
    <row r="66" spans="1:15" x14ac:dyDescent="0.2">
      <c r="A66" s="5" t="str">
        <f t="shared" si="9"/>
        <v/>
      </c>
      <c r="B66" s="6" t="str">
        <f t="shared" si="10"/>
        <v/>
      </c>
      <c r="C66" s="7" t="str">
        <f t="shared" si="11"/>
        <v/>
      </c>
      <c r="D66" s="9">
        <v>0</v>
      </c>
      <c r="E66" s="7"/>
      <c r="F66" s="7" t="str">
        <f t="shared" si="12"/>
        <v/>
      </c>
      <c r="G66" s="7" t="str">
        <f t="shared" si="13"/>
        <v/>
      </c>
      <c r="H66" s="7" t="str">
        <f t="shared" si="14"/>
        <v/>
      </c>
      <c r="I66" s="7"/>
      <c r="J66" s="7"/>
      <c r="M66" s="5" t="str">
        <f t="shared" si="15"/>
        <v/>
      </c>
      <c r="N66" s="6" t="str">
        <f t="shared" si="16"/>
        <v/>
      </c>
      <c r="O66" s="7" t="str">
        <f t="shared" si="17"/>
        <v/>
      </c>
    </row>
    <row r="67" spans="1:15" x14ac:dyDescent="0.2">
      <c r="A67" s="5" t="str">
        <f t="shared" si="9"/>
        <v/>
      </c>
      <c r="B67" s="6" t="str">
        <f t="shared" si="10"/>
        <v/>
      </c>
      <c r="C67" s="7" t="str">
        <f t="shared" si="11"/>
        <v/>
      </c>
      <c r="D67" s="9">
        <v>0</v>
      </c>
      <c r="E67" s="7"/>
      <c r="F67" s="7" t="str">
        <f t="shared" si="12"/>
        <v/>
      </c>
      <c r="G67" s="7" t="str">
        <f t="shared" si="13"/>
        <v/>
      </c>
      <c r="H67" s="7" t="str">
        <f t="shared" si="14"/>
        <v/>
      </c>
      <c r="I67" s="7"/>
      <c r="J67" s="7"/>
      <c r="M67" s="5" t="str">
        <f t="shared" si="15"/>
        <v/>
      </c>
      <c r="N67" s="6" t="str">
        <f t="shared" si="16"/>
        <v/>
      </c>
      <c r="O67" s="7" t="str">
        <f t="shared" si="17"/>
        <v/>
      </c>
    </row>
    <row r="68" spans="1:15" x14ac:dyDescent="0.2">
      <c r="A68" s="5" t="str">
        <f t="shared" si="9"/>
        <v/>
      </c>
      <c r="B68" s="6" t="str">
        <f t="shared" si="10"/>
        <v/>
      </c>
      <c r="C68" s="7" t="str">
        <f t="shared" si="11"/>
        <v/>
      </c>
      <c r="D68" s="9">
        <v>0</v>
      </c>
      <c r="E68" s="7"/>
      <c r="F68" s="7" t="str">
        <f t="shared" si="12"/>
        <v/>
      </c>
      <c r="G68" s="7" t="str">
        <f t="shared" si="13"/>
        <v/>
      </c>
      <c r="H68" s="7" t="str">
        <f t="shared" si="14"/>
        <v/>
      </c>
      <c r="I68" s="7"/>
      <c r="J68" s="7"/>
      <c r="M68" s="5" t="str">
        <f t="shared" si="15"/>
        <v/>
      </c>
      <c r="N68" s="6" t="str">
        <f t="shared" si="16"/>
        <v/>
      </c>
      <c r="O68" s="7" t="str">
        <f t="shared" si="17"/>
        <v/>
      </c>
    </row>
    <row r="69" spans="1:15" x14ac:dyDescent="0.2">
      <c r="A69" s="5" t="str">
        <f t="shared" si="9"/>
        <v/>
      </c>
      <c r="B69" s="6" t="str">
        <f t="shared" si="10"/>
        <v/>
      </c>
      <c r="C69" s="7" t="str">
        <f t="shared" si="11"/>
        <v/>
      </c>
      <c r="D69" s="9">
        <v>0</v>
      </c>
      <c r="E69" s="7"/>
      <c r="F69" s="7" t="str">
        <f t="shared" si="12"/>
        <v/>
      </c>
      <c r="G69" s="7" t="str">
        <f t="shared" si="13"/>
        <v/>
      </c>
      <c r="H69" s="7" t="str">
        <f t="shared" si="14"/>
        <v/>
      </c>
      <c r="I69" s="7"/>
      <c r="J69" s="7"/>
      <c r="M69" s="5" t="str">
        <f t="shared" si="15"/>
        <v/>
      </c>
      <c r="N69" s="6" t="str">
        <f t="shared" si="16"/>
        <v/>
      </c>
      <c r="O69" s="7" t="str">
        <f t="shared" si="17"/>
        <v/>
      </c>
    </row>
    <row r="70" spans="1:15" x14ac:dyDescent="0.2">
      <c r="A70" s="5" t="str">
        <f t="shared" si="9"/>
        <v/>
      </c>
      <c r="B70" s="6" t="str">
        <f t="shared" si="10"/>
        <v/>
      </c>
      <c r="C70" s="7" t="str">
        <f t="shared" si="11"/>
        <v/>
      </c>
      <c r="D70" s="9">
        <v>0</v>
      </c>
      <c r="E70" s="7"/>
      <c r="F70" s="7" t="str">
        <f t="shared" si="12"/>
        <v/>
      </c>
      <c r="G70" s="7" t="str">
        <f t="shared" si="13"/>
        <v/>
      </c>
      <c r="H70" s="7" t="str">
        <f t="shared" si="14"/>
        <v/>
      </c>
      <c r="I70" s="7"/>
      <c r="J70" s="7"/>
      <c r="M70" s="5" t="str">
        <f t="shared" si="15"/>
        <v/>
      </c>
      <c r="N70" s="6" t="str">
        <f t="shared" si="16"/>
        <v/>
      </c>
      <c r="O70" s="7" t="str">
        <f t="shared" si="17"/>
        <v/>
      </c>
    </row>
    <row r="71" spans="1:15" x14ac:dyDescent="0.2">
      <c r="A71" s="5" t="str">
        <f t="shared" si="9"/>
        <v/>
      </c>
      <c r="B71" s="6" t="str">
        <f t="shared" si="10"/>
        <v/>
      </c>
      <c r="C71" s="7" t="str">
        <f t="shared" si="11"/>
        <v/>
      </c>
      <c r="D71" s="9">
        <v>0</v>
      </c>
      <c r="E71" s="7"/>
      <c r="F71" s="7" t="str">
        <f t="shared" si="12"/>
        <v/>
      </c>
      <c r="G71" s="7" t="str">
        <f t="shared" si="13"/>
        <v/>
      </c>
      <c r="H71" s="7" t="str">
        <f t="shared" si="14"/>
        <v/>
      </c>
      <c r="I71" s="7"/>
      <c r="J71" s="7"/>
      <c r="M71" s="5" t="str">
        <f t="shared" si="15"/>
        <v/>
      </c>
      <c r="N71" s="6" t="str">
        <f t="shared" si="16"/>
        <v/>
      </c>
      <c r="O71" s="7" t="str">
        <f t="shared" si="17"/>
        <v/>
      </c>
    </row>
    <row r="72" spans="1:15" x14ac:dyDescent="0.2">
      <c r="A72" s="5" t="str">
        <f t="shared" si="9"/>
        <v/>
      </c>
      <c r="B72" s="6" t="str">
        <f t="shared" si="10"/>
        <v/>
      </c>
      <c r="C72" s="7" t="str">
        <f t="shared" si="11"/>
        <v/>
      </c>
      <c r="D72" s="9">
        <v>0</v>
      </c>
      <c r="E72" s="7"/>
      <c r="F72" s="7" t="str">
        <f t="shared" si="12"/>
        <v/>
      </c>
      <c r="G72" s="7" t="str">
        <f t="shared" si="13"/>
        <v/>
      </c>
      <c r="H72" s="7" t="str">
        <f t="shared" si="14"/>
        <v/>
      </c>
      <c r="I72" s="7"/>
      <c r="J72" s="7"/>
      <c r="M72" s="5" t="str">
        <f t="shared" si="15"/>
        <v/>
      </c>
      <c r="N72" s="6" t="str">
        <f t="shared" si="16"/>
        <v/>
      </c>
      <c r="O72" s="7" t="str">
        <f t="shared" si="17"/>
        <v/>
      </c>
    </row>
    <row r="73" spans="1:15" x14ac:dyDescent="0.2">
      <c r="A73" s="5" t="str">
        <f t="shared" si="9"/>
        <v/>
      </c>
      <c r="B73" s="6" t="str">
        <f t="shared" si="10"/>
        <v/>
      </c>
      <c r="C73" s="7" t="str">
        <f t="shared" si="11"/>
        <v/>
      </c>
      <c r="D73" s="9">
        <v>0</v>
      </c>
      <c r="E73" s="7"/>
      <c r="F73" s="7" t="str">
        <f t="shared" si="12"/>
        <v/>
      </c>
      <c r="G73" s="7" t="str">
        <f t="shared" si="13"/>
        <v/>
      </c>
      <c r="H73" s="7" t="str">
        <f t="shared" si="14"/>
        <v/>
      </c>
      <c r="I73" s="7"/>
      <c r="J73" s="7"/>
      <c r="M73" s="5" t="str">
        <f t="shared" si="15"/>
        <v/>
      </c>
      <c r="N73" s="6" t="str">
        <f t="shared" si="16"/>
        <v/>
      </c>
      <c r="O73" s="7" t="str">
        <f t="shared" si="17"/>
        <v/>
      </c>
    </row>
    <row r="74" spans="1:15" x14ac:dyDescent="0.2">
      <c r="A74" s="5" t="str">
        <f t="shared" si="9"/>
        <v/>
      </c>
      <c r="B74" s="6" t="str">
        <f t="shared" si="10"/>
        <v/>
      </c>
      <c r="C74" s="7" t="str">
        <f t="shared" si="11"/>
        <v/>
      </c>
      <c r="D74" s="9">
        <v>0</v>
      </c>
      <c r="E74" s="7"/>
      <c r="F74" s="7" t="str">
        <f t="shared" si="12"/>
        <v/>
      </c>
      <c r="G74" s="7" t="str">
        <f t="shared" si="13"/>
        <v/>
      </c>
      <c r="H74" s="7" t="str">
        <f t="shared" si="14"/>
        <v/>
      </c>
      <c r="I74" s="7"/>
      <c r="J74" s="7"/>
      <c r="M74" s="5" t="str">
        <f t="shared" si="15"/>
        <v/>
      </c>
      <c r="N74" s="6" t="str">
        <f t="shared" si="16"/>
        <v/>
      </c>
      <c r="O74" s="7" t="str">
        <f t="shared" si="17"/>
        <v/>
      </c>
    </row>
    <row r="75" spans="1:15" x14ac:dyDescent="0.2">
      <c r="A75" s="5" t="str">
        <f t="shared" si="9"/>
        <v/>
      </c>
      <c r="B75" s="6" t="str">
        <f t="shared" si="10"/>
        <v/>
      </c>
      <c r="C75" s="7" t="str">
        <f t="shared" si="11"/>
        <v/>
      </c>
      <c r="D75" s="9">
        <v>0</v>
      </c>
      <c r="E75" s="7"/>
      <c r="F75" s="7" t="str">
        <f t="shared" si="12"/>
        <v/>
      </c>
      <c r="G75" s="7" t="str">
        <f t="shared" si="13"/>
        <v/>
      </c>
      <c r="H75" s="7" t="str">
        <f t="shared" si="14"/>
        <v/>
      </c>
      <c r="I75" s="7"/>
      <c r="J75" s="7"/>
      <c r="M75" s="5" t="str">
        <f t="shared" si="15"/>
        <v/>
      </c>
      <c r="N75" s="6" t="str">
        <f t="shared" si="16"/>
        <v/>
      </c>
      <c r="O75" s="7" t="str">
        <f t="shared" si="17"/>
        <v/>
      </c>
    </row>
    <row r="76" spans="1:15" x14ac:dyDescent="0.2">
      <c r="A76" s="5" t="str">
        <f t="shared" si="9"/>
        <v/>
      </c>
      <c r="B76" s="6" t="str">
        <f t="shared" si="10"/>
        <v/>
      </c>
      <c r="C76" s="7" t="str">
        <f t="shared" si="11"/>
        <v/>
      </c>
      <c r="D76" s="9">
        <v>0</v>
      </c>
      <c r="E76" s="7"/>
      <c r="F76" s="7" t="str">
        <f t="shared" si="12"/>
        <v/>
      </c>
      <c r="G76" s="7" t="str">
        <f t="shared" si="13"/>
        <v/>
      </c>
      <c r="H76" s="7" t="str">
        <f t="shared" si="14"/>
        <v/>
      </c>
      <c r="I76" s="7"/>
      <c r="J76" s="7"/>
      <c r="M76" s="5" t="str">
        <f t="shared" si="15"/>
        <v/>
      </c>
      <c r="N76" s="6" t="str">
        <f t="shared" si="16"/>
        <v/>
      </c>
      <c r="O76" s="7" t="str">
        <f t="shared" si="17"/>
        <v/>
      </c>
    </row>
    <row r="77" spans="1:15" x14ac:dyDescent="0.2">
      <c r="A77" s="5" t="str">
        <f t="shared" si="9"/>
        <v/>
      </c>
      <c r="B77" s="6" t="str">
        <f t="shared" si="10"/>
        <v/>
      </c>
      <c r="C77" s="7" t="str">
        <f t="shared" si="11"/>
        <v/>
      </c>
      <c r="D77" s="9">
        <v>0</v>
      </c>
      <c r="E77" s="7"/>
      <c r="F77" s="7" t="str">
        <f t="shared" si="12"/>
        <v/>
      </c>
      <c r="G77" s="7" t="str">
        <f t="shared" si="13"/>
        <v/>
      </c>
      <c r="H77" s="7" t="str">
        <f t="shared" si="14"/>
        <v/>
      </c>
      <c r="I77" s="7"/>
      <c r="J77" s="7"/>
      <c r="M77" s="5" t="str">
        <f t="shared" si="15"/>
        <v/>
      </c>
      <c r="N77" s="6" t="str">
        <f t="shared" si="16"/>
        <v/>
      </c>
      <c r="O77" s="7" t="str">
        <f t="shared" si="17"/>
        <v/>
      </c>
    </row>
    <row r="78" spans="1:15" x14ac:dyDescent="0.2">
      <c r="A78" s="5" t="str">
        <f t="shared" si="9"/>
        <v/>
      </c>
      <c r="B78" s="6" t="str">
        <f t="shared" si="10"/>
        <v/>
      </c>
      <c r="C78" s="7" t="str">
        <f t="shared" si="11"/>
        <v/>
      </c>
      <c r="D78" s="9">
        <v>0</v>
      </c>
      <c r="E78" s="7"/>
      <c r="F78" s="7" t="str">
        <f t="shared" si="12"/>
        <v/>
      </c>
      <c r="G78" s="7" t="str">
        <f t="shared" si="13"/>
        <v/>
      </c>
      <c r="H78" s="7" t="str">
        <f t="shared" si="14"/>
        <v/>
      </c>
      <c r="I78" s="7"/>
      <c r="J78" s="7"/>
      <c r="M78" s="5" t="str">
        <f t="shared" si="15"/>
        <v/>
      </c>
      <c r="N78" s="6" t="str">
        <f t="shared" si="16"/>
        <v/>
      </c>
      <c r="O78" s="7" t="str">
        <f t="shared" si="17"/>
        <v/>
      </c>
    </row>
    <row r="79" spans="1:15" x14ac:dyDescent="0.2">
      <c r="A79" s="5" t="str">
        <f t="shared" si="9"/>
        <v/>
      </c>
      <c r="B79" s="6" t="str">
        <f t="shared" si="10"/>
        <v/>
      </c>
      <c r="C79" s="7" t="str">
        <f t="shared" si="11"/>
        <v/>
      </c>
      <c r="D79" s="9">
        <v>0</v>
      </c>
      <c r="E79" s="7"/>
      <c r="F79" s="7" t="str">
        <f t="shared" si="12"/>
        <v/>
      </c>
      <c r="G79" s="7" t="str">
        <f t="shared" si="13"/>
        <v/>
      </c>
      <c r="H79" s="7" t="str">
        <f t="shared" si="14"/>
        <v/>
      </c>
      <c r="I79" s="7"/>
      <c r="J79" s="7"/>
      <c r="M79" s="5" t="str">
        <f t="shared" si="15"/>
        <v/>
      </c>
      <c r="N79" s="6" t="str">
        <f t="shared" si="16"/>
        <v/>
      </c>
      <c r="O79" s="7" t="str">
        <f t="shared" si="17"/>
        <v/>
      </c>
    </row>
    <row r="80" spans="1:15" x14ac:dyDescent="0.2">
      <c r="A80" s="5" t="str">
        <f t="shared" si="9"/>
        <v/>
      </c>
      <c r="B80" s="6" t="str">
        <f t="shared" si="10"/>
        <v/>
      </c>
      <c r="C80" s="7" t="str">
        <f t="shared" si="11"/>
        <v/>
      </c>
      <c r="D80" s="9">
        <v>0</v>
      </c>
      <c r="E80" s="7"/>
      <c r="F80" s="7" t="str">
        <f t="shared" si="12"/>
        <v/>
      </c>
      <c r="G80" s="7" t="str">
        <f t="shared" si="13"/>
        <v/>
      </c>
      <c r="H80" s="7" t="str">
        <f t="shared" si="14"/>
        <v/>
      </c>
      <c r="I80" s="7"/>
      <c r="J80" s="7"/>
      <c r="M80" s="5" t="str">
        <f t="shared" si="15"/>
        <v/>
      </c>
      <c r="N80" s="6" t="str">
        <f t="shared" si="16"/>
        <v/>
      </c>
      <c r="O80" s="7" t="str">
        <f t="shared" si="17"/>
        <v/>
      </c>
    </row>
    <row r="81" spans="1:15" x14ac:dyDescent="0.2">
      <c r="A81" s="5" t="str">
        <f t="shared" si="9"/>
        <v/>
      </c>
      <c r="B81" s="6" t="str">
        <f t="shared" si="10"/>
        <v/>
      </c>
      <c r="C81" s="7" t="str">
        <f t="shared" si="11"/>
        <v/>
      </c>
      <c r="D81" s="9">
        <v>0</v>
      </c>
      <c r="E81" s="7"/>
      <c r="F81" s="7" t="str">
        <f t="shared" si="12"/>
        <v/>
      </c>
      <c r="G81" s="7" t="str">
        <f t="shared" si="13"/>
        <v/>
      </c>
      <c r="H81" s="7" t="str">
        <f t="shared" si="14"/>
        <v/>
      </c>
      <c r="I81" s="7"/>
      <c r="J81" s="7"/>
      <c r="M81" s="5" t="str">
        <f t="shared" si="15"/>
        <v/>
      </c>
      <c r="N81" s="6" t="str">
        <f t="shared" si="16"/>
        <v/>
      </c>
      <c r="O81" s="7" t="str">
        <f t="shared" si="17"/>
        <v/>
      </c>
    </row>
    <row r="82" spans="1:15" x14ac:dyDescent="0.2">
      <c r="A82" s="5" t="str">
        <f t="shared" si="9"/>
        <v/>
      </c>
      <c r="B82" s="6" t="str">
        <f t="shared" si="10"/>
        <v/>
      </c>
      <c r="C82" s="7" t="str">
        <f t="shared" si="11"/>
        <v/>
      </c>
      <c r="D82" s="9">
        <v>0</v>
      </c>
      <c r="E82" s="7"/>
      <c r="F82" s="7" t="str">
        <f t="shared" si="12"/>
        <v/>
      </c>
      <c r="G82" s="7" t="str">
        <f t="shared" si="13"/>
        <v/>
      </c>
      <c r="H82" s="7" t="str">
        <f t="shared" si="14"/>
        <v/>
      </c>
      <c r="I82" s="7"/>
      <c r="J82" s="7"/>
      <c r="M82" s="5" t="str">
        <f t="shared" si="15"/>
        <v/>
      </c>
      <c r="N82" s="6" t="str">
        <f t="shared" si="16"/>
        <v/>
      </c>
      <c r="O82" s="7" t="str">
        <f t="shared" si="17"/>
        <v/>
      </c>
    </row>
    <row r="83" spans="1:15" x14ac:dyDescent="0.2">
      <c r="A83" s="5" t="str">
        <f t="shared" si="9"/>
        <v/>
      </c>
      <c r="B83" s="6" t="str">
        <f t="shared" si="10"/>
        <v/>
      </c>
      <c r="C83" s="7" t="str">
        <f t="shared" si="11"/>
        <v/>
      </c>
      <c r="D83" s="9">
        <v>0</v>
      </c>
      <c r="E83" s="7"/>
      <c r="F83" s="7" t="str">
        <f t="shared" si="12"/>
        <v/>
      </c>
      <c r="G83" s="7" t="str">
        <f t="shared" si="13"/>
        <v/>
      </c>
      <c r="H83" s="7" t="str">
        <f t="shared" si="14"/>
        <v/>
      </c>
      <c r="I83" s="7"/>
      <c r="J83" s="7"/>
      <c r="M83" s="5" t="str">
        <f t="shared" si="15"/>
        <v/>
      </c>
      <c r="N83" s="6" t="str">
        <f t="shared" si="16"/>
        <v/>
      </c>
      <c r="O83" s="7" t="str">
        <f t="shared" si="17"/>
        <v/>
      </c>
    </row>
    <row r="84" spans="1:15" x14ac:dyDescent="0.2">
      <c r="A84" s="5" t="str">
        <f t="shared" si="9"/>
        <v/>
      </c>
      <c r="B84" s="6" t="str">
        <f t="shared" si="10"/>
        <v/>
      </c>
      <c r="C84" s="7" t="str">
        <f t="shared" si="11"/>
        <v/>
      </c>
      <c r="D84" s="9">
        <v>0</v>
      </c>
      <c r="E84" s="7"/>
      <c r="F84" s="7" t="str">
        <f t="shared" si="12"/>
        <v/>
      </c>
      <c r="G84" s="7" t="str">
        <f t="shared" si="13"/>
        <v/>
      </c>
      <c r="H84" s="7" t="str">
        <f t="shared" si="14"/>
        <v/>
      </c>
      <c r="I84" s="7"/>
      <c r="J84" s="7"/>
      <c r="M84" s="5" t="str">
        <f t="shared" si="15"/>
        <v/>
      </c>
      <c r="N84" s="6" t="str">
        <f t="shared" si="16"/>
        <v/>
      </c>
      <c r="O84" s="7" t="str">
        <f t="shared" si="17"/>
        <v/>
      </c>
    </row>
    <row r="85" spans="1:15" x14ac:dyDescent="0.2">
      <c r="A85" s="5" t="str">
        <f t="shared" ref="A85:A116" si="18">IF(H84="","",IF(OR(A84&gt;=nper,ROUND(H84,2)&lt;=0),"",A84+1))</f>
        <v/>
      </c>
      <c r="B85" s="6" t="str">
        <f t="shared" ref="B85:B116" si="19">IF(A85="","",IF(periods_per_year=26,IF(A85=1,fpdate,B84+14),IF(periods_per_year=52,IF(A85=1,fpdate,B84+7),DATE(YEAR(fpdate),MONTH(fpdate)+(A85-1)*months_per_period,IF(periods_per_year=24,IF((1-MOD(A85,2))=1,DAY(fpdate)+14,DAY(fpdate)),DAY(fpdate))))))</f>
        <v/>
      </c>
      <c r="C85" s="7" t="str">
        <f t="shared" ref="C85:C116" si="20">IF(A85="","",IF(OR(A85=nper,payment&gt;ROUND((1+rate)*H84,2)),ROUND((1+rate)*H84,2),payment))</f>
        <v/>
      </c>
      <c r="D85" s="9">
        <v>0</v>
      </c>
      <c r="E85" s="7"/>
      <c r="F85" s="7" t="str">
        <f t="shared" ref="F85:F148" si="21">IF(A85="","",ROUND(rate*H84,2))</f>
        <v/>
      </c>
      <c r="G85" s="7" t="str">
        <f t="shared" ref="G85:G148" si="22">IF(A85="","",C85-F85+D85)</f>
        <v/>
      </c>
      <c r="H85" s="7" t="str">
        <f t="shared" ref="H85:H148" si="23">IF(A85="","",H84-G85)</f>
        <v/>
      </c>
      <c r="I85" s="7"/>
      <c r="J85" s="7"/>
      <c r="M85" s="5" t="str">
        <f t="shared" ref="M85:M116" si="24">IF(M84="","",IF(M84+1&gt;nper,"",M84+1))</f>
        <v/>
      </c>
      <c r="N85" s="6" t="str">
        <f t="shared" ref="N85:N116" si="25">IF(M85="","",IF(periods_per_year=26,IF(M85=1,fpdate,N84+14),IF(periods_per_year=52,IF(M85=1,fpdate,N84+7),DATE(YEAR(fpdate),MONTH(fpdate)+(M85-1)*months_per_period,IF(periods_per_year=24,IF((1-MOD(M85,2))=1,DAY(fpdate)+14,DAY(fpdate)),DAY(fpdate))))))</f>
        <v/>
      </c>
      <c r="O85" s="7" t="str">
        <f t="shared" ref="O85:O116" si="26">IF(M85="","",FV(rate,M85,payment,-loan_amount))</f>
        <v/>
      </c>
    </row>
    <row r="86" spans="1:15" x14ac:dyDescent="0.2">
      <c r="A86" s="5" t="str">
        <f t="shared" si="18"/>
        <v/>
      </c>
      <c r="B86" s="6" t="str">
        <f t="shared" si="19"/>
        <v/>
      </c>
      <c r="C86" s="7" t="str">
        <f t="shared" si="20"/>
        <v/>
      </c>
      <c r="D86" s="9">
        <v>0</v>
      </c>
      <c r="E86" s="7"/>
      <c r="F86" s="7" t="str">
        <f t="shared" si="21"/>
        <v/>
      </c>
      <c r="G86" s="7" t="str">
        <f t="shared" si="22"/>
        <v/>
      </c>
      <c r="H86" s="7" t="str">
        <f t="shared" si="23"/>
        <v/>
      </c>
      <c r="I86" s="7"/>
      <c r="J86" s="7"/>
      <c r="M86" s="5" t="str">
        <f t="shared" si="24"/>
        <v/>
      </c>
      <c r="N86" s="6" t="str">
        <f t="shared" si="25"/>
        <v/>
      </c>
      <c r="O86" s="7" t="str">
        <f t="shared" si="26"/>
        <v/>
      </c>
    </row>
    <row r="87" spans="1:15" x14ac:dyDescent="0.2">
      <c r="A87" s="5" t="str">
        <f t="shared" si="18"/>
        <v/>
      </c>
      <c r="B87" s="6" t="str">
        <f t="shared" si="19"/>
        <v/>
      </c>
      <c r="C87" s="7" t="str">
        <f t="shared" si="20"/>
        <v/>
      </c>
      <c r="D87" s="9">
        <v>0</v>
      </c>
      <c r="E87" s="7"/>
      <c r="F87" s="7" t="str">
        <f t="shared" si="21"/>
        <v/>
      </c>
      <c r="G87" s="7" t="str">
        <f t="shared" si="22"/>
        <v/>
      </c>
      <c r="H87" s="7" t="str">
        <f t="shared" si="23"/>
        <v/>
      </c>
      <c r="I87" s="7"/>
      <c r="J87" s="7"/>
      <c r="M87" s="5" t="str">
        <f t="shared" si="24"/>
        <v/>
      </c>
      <c r="N87" s="6" t="str">
        <f t="shared" si="25"/>
        <v/>
      </c>
      <c r="O87" s="7" t="str">
        <f t="shared" si="26"/>
        <v/>
      </c>
    </row>
    <row r="88" spans="1:15" x14ac:dyDescent="0.2">
      <c r="A88" s="5" t="str">
        <f t="shared" si="18"/>
        <v/>
      </c>
      <c r="B88" s="6" t="str">
        <f t="shared" si="19"/>
        <v/>
      </c>
      <c r="C88" s="7" t="str">
        <f t="shared" si="20"/>
        <v/>
      </c>
      <c r="D88" s="9">
        <v>0</v>
      </c>
      <c r="E88" s="7"/>
      <c r="F88" s="7" t="str">
        <f t="shared" si="21"/>
        <v/>
      </c>
      <c r="G88" s="7" t="str">
        <f t="shared" si="22"/>
        <v/>
      </c>
      <c r="H88" s="7" t="str">
        <f t="shared" si="23"/>
        <v/>
      </c>
      <c r="I88" s="7"/>
      <c r="J88" s="7"/>
      <c r="M88" s="5" t="str">
        <f t="shared" si="24"/>
        <v/>
      </c>
      <c r="N88" s="6" t="str">
        <f t="shared" si="25"/>
        <v/>
      </c>
      <c r="O88" s="7" t="str">
        <f t="shared" si="26"/>
        <v/>
      </c>
    </row>
    <row r="89" spans="1:15" x14ac:dyDescent="0.2">
      <c r="A89" s="5" t="str">
        <f t="shared" si="18"/>
        <v/>
      </c>
      <c r="B89" s="6" t="str">
        <f t="shared" si="19"/>
        <v/>
      </c>
      <c r="C89" s="7" t="str">
        <f t="shared" si="20"/>
        <v/>
      </c>
      <c r="D89" s="9">
        <v>0</v>
      </c>
      <c r="E89" s="7"/>
      <c r="F89" s="7" t="str">
        <f t="shared" si="21"/>
        <v/>
      </c>
      <c r="G89" s="7" t="str">
        <f t="shared" si="22"/>
        <v/>
      </c>
      <c r="H89" s="7" t="str">
        <f t="shared" si="23"/>
        <v/>
      </c>
      <c r="I89" s="7"/>
      <c r="J89" s="7"/>
      <c r="M89" s="5" t="str">
        <f t="shared" si="24"/>
        <v/>
      </c>
      <c r="N89" s="6" t="str">
        <f t="shared" si="25"/>
        <v/>
      </c>
      <c r="O89" s="7" t="str">
        <f t="shared" si="26"/>
        <v/>
      </c>
    </row>
    <row r="90" spans="1:15" x14ac:dyDescent="0.2">
      <c r="A90" s="5" t="str">
        <f t="shared" si="18"/>
        <v/>
      </c>
      <c r="B90" s="6" t="str">
        <f t="shared" si="19"/>
        <v/>
      </c>
      <c r="C90" s="7" t="str">
        <f t="shared" si="20"/>
        <v/>
      </c>
      <c r="D90" s="9">
        <v>0</v>
      </c>
      <c r="E90" s="7"/>
      <c r="F90" s="7" t="str">
        <f t="shared" si="21"/>
        <v/>
      </c>
      <c r="G90" s="7" t="str">
        <f t="shared" si="22"/>
        <v/>
      </c>
      <c r="H90" s="7" t="str">
        <f t="shared" si="23"/>
        <v/>
      </c>
      <c r="I90" s="7"/>
      <c r="J90" s="7"/>
      <c r="M90" s="5" t="str">
        <f t="shared" si="24"/>
        <v/>
      </c>
      <c r="N90" s="6" t="str">
        <f t="shared" si="25"/>
        <v/>
      </c>
      <c r="O90" s="7" t="str">
        <f t="shared" si="26"/>
        <v/>
      </c>
    </row>
    <row r="91" spans="1:15" x14ac:dyDescent="0.2">
      <c r="A91" s="5" t="str">
        <f t="shared" si="18"/>
        <v/>
      </c>
      <c r="B91" s="6" t="str">
        <f t="shared" si="19"/>
        <v/>
      </c>
      <c r="C91" s="7" t="str">
        <f t="shared" si="20"/>
        <v/>
      </c>
      <c r="D91" s="9">
        <v>0</v>
      </c>
      <c r="E91" s="7"/>
      <c r="F91" s="7" t="str">
        <f t="shared" si="21"/>
        <v/>
      </c>
      <c r="G91" s="7" t="str">
        <f t="shared" si="22"/>
        <v/>
      </c>
      <c r="H91" s="7" t="str">
        <f t="shared" si="23"/>
        <v/>
      </c>
      <c r="I91" s="7"/>
      <c r="J91" s="7"/>
      <c r="M91" s="5" t="str">
        <f t="shared" si="24"/>
        <v/>
      </c>
      <c r="N91" s="6" t="str">
        <f t="shared" si="25"/>
        <v/>
      </c>
      <c r="O91" s="7" t="str">
        <f t="shared" si="26"/>
        <v/>
      </c>
    </row>
    <row r="92" spans="1:15" x14ac:dyDescent="0.2">
      <c r="A92" s="5" t="str">
        <f t="shared" si="18"/>
        <v/>
      </c>
      <c r="B92" s="6" t="str">
        <f t="shared" si="19"/>
        <v/>
      </c>
      <c r="C92" s="7" t="str">
        <f t="shared" si="20"/>
        <v/>
      </c>
      <c r="D92" s="9">
        <v>0</v>
      </c>
      <c r="E92" s="7"/>
      <c r="F92" s="7" t="str">
        <f t="shared" si="21"/>
        <v/>
      </c>
      <c r="G92" s="7" t="str">
        <f t="shared" si="22"/>
        <v/>
      </c>
      <c r="H92" s="7" t="str">
        <f t="shared" si="23"/>
        <v/>
      </c>
      <c r="I92" s="7"/>
      <c r="J92" s="7"/>
      <c r="M92" s="5" t="str">
        <f t="shared" si="24"/>
        <v/>
      </c>
      <c r="N92" s="6" t="str">
        <f t="shared" si="25"/>
        <v/>
      </c>
      <c r="O92" s="7" t="str">
        <f t="shared" si="26"/>
        <v/>
      </c>
    </row>
    <row r="93" spans="1:15" x14ac:dyDescent="0.2">
      <c r="A93" s="5" t="str">
        <f t="shared" si="18"/>
        <v/>
      </c>
      <c r="B93" s="6" t="str">
        <f t="shared" si="19"/>
        <v/>
      </c>
      <c r="C93" s="7" t="str">
        <f t="shared" si="20"/>
        <v/>
      </c>
      <c r="D93" s="9">
        <v>0</v>
      </c>
      <c r="E93" s="7"/>
      <c r="F93" s="7" t="str">
        <f t="shared" si="21"/>
        <v/>
      </c>
      <c r="G93" s="7" t="str">
        <f t="shared" si="22"/>
        <v/>
      </c>
      <c r="H93" s="7" t="str">
        <f t="shared" si="23"/>
        <v/>
      </c>
      <c r="I93" s="7"/>
      <c r="J93" s="7"/>
      <c r="M93" s="5" t="str">
        <f t="shared" si="24"/>
        <v/>
      </c>
      <c r="N93" s="6" t="str">
        <f t="shared" si="25"/>
        <v/>
      </c>
      <c r="O93" s="7" t="str">
        <f t="shared" si="26"/>
        <v/>
      </c>
    </row>
    <row r="94" spans="1:15" x14ac:dyDescent="0.2">
      <c r="A94" s="5" t="str">
        <f t="shared" si="18"/>
        <v/>
      </c>
      <c r="B94" s="6" t="str">
        <f t="shared" si="19"/>
        <v/>
      </c>
      <c r="C94" s="7" t="str">
        <f t="shared" si="20"/>
        <v/>
      </c>
      <c r="D94" s="9">
        <v>0</v>
      </c>
      <c r="E94" s="7"/>
      <c r="F94" s="7" t="str">
        <f t="shared" si="21"/>
        <v/>
      </c>
      <c r="G94" s="7" t="str">
        <f t="shared" si="22"/>
        <v/>
      </c>
      <c r="H94" s="7" t="str">
        <f t="shared" si="23"/>
        <v/>
      </c>
      <c r="I94" s="7"/>
      <c r="J94" s="7"/>
      <c r="M94" s="5" t="str">
        <f t="shared" si="24"/>
        <v/>
      </c>
      <c r="N94" s="6" t="str">
        <f t="shared" si="25"/>
        <v/>
      </c>
      <c r="O94" s="7" t="str">
        <f t="shared" si="26"/>
        <v/>
      </c>
    </row>
    <row r="95" spans="1:15" x14ac:dyDescent="0.2">
      <c r="A95" s="5" t="str">
        <f t="shared" si="18"/>
        <v/>
      </c>
      <c r="B95" s="6" t="str">
        <f t="shared" si="19"/>
        <v/>
      </c>
      <c r="C95" s="7" t="str">
        <f t="shared" si="20"/>
        <v/>
      </c>
      <c r="D95" s="9">
        <v>0</v>
      </c>
      <c r="E95" s="7"/>
      <c r="F95" s="7" t="str">
        <f t="shared" si="21"/>
        <v/>
      </c>
      <c r="G95" s="7" t="str">
        <f t="shared" si="22"/>
        <v/>
      </c>
      <c r="H95" s="7" t="str">
        <f t="shared" si="23"/>
        <v/>
      </c>
      <c r="I95" s="7"/>
      <c r="J95" s="7"/>
      <c r="M95" s="5" t="str">
        <f t="shared" si="24"/>
        <v/>
      </c>
      <c r="N95" s="6" t="str">
        <f t="shared" si="25"/>
        <v/>
      </c>
      <c r="O95" s="7" t="str">
        <f t="shared" si="26"/>
        <v/>
      </c>
    </row>
    <row r="96" spans="1:15" x14ac:dyDescent="0.2">
      <c r="A96" s="5" t="str">
        <f t="shared" si="18"/>
        <v/>
      </c>
      <c r="B96" s="6" t="str">
        <f t="shared" si="19"/>
        <v/>
      </c>
      <c r="C96" s="7" t="str">
        <f t="shared" si="20"/>
        <v/>
      </c>
      <c r="D96" s="9">
        <v>0</v>
      </c>
      <c r="E96" s="7"/>
      <c r="F96" s="7" t="str">
        <f t="shared" si="21"/>
        <v/>
      </c>
      <c r="G96" s="7" t="str">
        <f t="shared" si="22"/>
        <v/>
      </c>
      <c r="H96" s="7" t="str">
        <f t="shared" si="23"/>
        <v/>
      </c>
      <c r="I96" s="7"/>
      <c r="J96" s="7"/>
      <c r="M96" s="5" t="str">
        <f t="shared" si="24"/>
        <v/>
      </c>
      <c r="N96" s="6" t="str">
        <f t="shared" si="25"/>
        <v/>
      </c>
      <c r="O96" s="7" t="str">
        <f t="shared" si="26"/>
        <v/>
      </c>
    </row>
    <row r="97" spans="1:15" x14ac:dyDescent="0.2">
      <c r="A97" s="5" t="str">
        <f t="shared" si="18"/>
        <v/>
      </c>
      <c r="B97" s="6" t="str">
        <f t="shared" si="19"/>
        <v/>
      </c>
      <c r="C97" s="7" t="str">
        <f t="shared" si="20"/>
        <v/>
      </c>
      <c r="D97" s="9">
        <v>0</v>
      </c>
      <c r="E97" s="7"/>
      <c r="F97" s="7" t="str">
        <f t="shared" si="21"/>
        <v/>
      </c>
      <c r="G97" s="7" t="str">
        <f t="shared" si="22"/>
        <v/>
      </c>
      <c r="H97" s="7" t="str">
        <f t="shared" si="23"/>
        <v/>
      </c>
      <c r="I97" s="7"/>
      <c r="J97" s="7"/>
      <c r="M97" s="5" t="str">
        <f t="shared" si="24"/>
        <v/>
      </c>
      <c r="N97" s="6" t="str">
        <f t="shared" si="25"/>
        <v/>
      </c>
      <c r="O97" s="7" t="str">
        <f t="shared" si="26"/>
        <v/>
      </c>
    </row>
    <row r="98" spans="1:15" x14ac:dyDescent="0.2">
      <c r="A98" s="5" t="str">
        <f t="shared" si="18"/>
        <v/>
      </c>
      <c r="B98" s="6" t="str">
        <f t="shared" si="19"/>
        <v/>
      </c>
      <c r="C98" s="7" t="str">
        <f t="shared" si="20"/>
        <v/>
      </c>
      <c r="D98" s="9">
        <v>0</v>
      </c>
      <c r="E98" s="7"/>
      <c r="F98" s="7" t="str">
        <f t="shared" si="21"/>
        <v/>
      </c>
      <c r="G98" s="7" t="str">
        <f t="shared" si="22"/>
        <v/>
      </c>
      <c r="H98" s="7" t="str">
        <f t="shared" si="23"/>
        <v/>
      </c>
      <c r="I98" s="7"/>
      <c r="J98" s="7"/>
      <c r="M98" s="5" t="str">
        <f t="shared" si="24"/>
        <v/>
      </c>
      <c r="N98" s="6" t="str">
        <f t="shared" si="25"/>
        <v/>
      </c>
      <c r="O98" s="7" t="str">
        <f t="shared" si="26"/>
        <v/>
      </c>
    </row>
    <row r="99" spans="1:15" x14ac:dyDescent="0.2">
      <c r="A99" s="5" t="str">
        <f t="shared" si="18"/>
        <v/>
      </c>
      <c r="B99" s="6" t="str">
        <f t="shared" si="19"/>
        <v/>
      </c>
      <c r="C99" s="7" t="str">
        <f t="shared" si="20"/>
        <v/>
      </c>
      <c r="D99" s="9">
        <v>0</v>
      </c>
      <c r="E99" s="7"/>
      <c r="F99" s="7" t="str">
        <f t="shared" si="21"/>
        <v/>
      </c>
      <c r="G99" s="7" t="str">
        <f t="shared" si="22"/>
        <v/>
      </c>
      <c r="H99" s="7" t="str">
        <f t="shared" si="23"/>
        <v/>
      </c>
      <c r="I99" s="7"/>
      <c r="J99" s="7"/>
      <c r="M99" s="5" t="str">
        <f t="shared" si="24"/>
        <v/>
      </c>
      <c r="N99" s="6" t="str">
        <f t="shared" si="25"/>
        <v/>
      </c>
      <c r="O99" s="7" t="str">
        <f t="shared" si="26"/>
        <v/>
      </c>
    </row>
    <row r="100" spans="1:15" x14ac:dyDescent="0.2">
      <c r="A100" s="5" t="str">
        <f t="shared" si="18"/>
        <v/>
      </c>
      <c r="B100" s="6" t="str">
        <f t="shared" si="19"/>
        <v/>
      </c>
      <c r="C100" s="7" t="str">
        <f t="shared" si="20"/>
        <v/>
      </c>
      <c r="D100" s="9">
        <v>0</v>
      </c>
      <c r="E100" s="7"/>
      <c r="F100" s="7" t="str">
        <f t="shared" si="21"/>
        <v/>
      </c>
      <c r="G100" s="7" t="str">
        <f t="shared" si="22"/>
        <v/>
      </c>
      <c r="H100" s="7" t="str">
        <f t="shared" si="23"/>
        <v/>
      </c>
      <c r="I100" s="7"/>
      <c r="J100" s="7"/>
      <c r="M100" s="5" t="str">
        <f t="shared" si="24"/>
        <v/>
      </c>
      <c r="N100" s="6" t="str">
        <f t="shared" si="25"/>
        <v/>
      </c>
      <c r="O100" s="7" t="str">
        <f t="shared" si="26"/>
        <v/>
      </c>
    </row>
    <row r="101" spans="1:15" x14ac:dyDescent="0.2">
      <c r="A101" s="5" t="str">
        <f t="shared" si="18"/>
        <v/>
      </c>
      <c r="B101" s="6" t="str">
        <f t="shared" si="19"/>
        <v/>
      </c>
      <c r="C101" s="7" t="str">
        <f t="shared" si="20"/>
        <v/>
      </c>
      <c r="D101" s="9">
        <v>0</v>
      </c>
      <c r="E101" s="7"/>
      <c r="F101" s="7" t="str">
        <f t="shared" si="21"/>
        <v/>
      </c>
      <c r="G101" s="7" t="str">
        <f t="shared" si="22"/>
        <v/>
      </c>
      <c r="H101" s="7" t="str">
        <f t="shared" si="23"/>
        <v/>
      </c>
      <c r="I101" s="7"/>
      <c r="J101" s="7"/>
      <c r="M101" s="5" t="str">
        <f t="shared" si="24"/>
        <v/>
      </c>
      <c r="N101" s="6" t="str">
        <f t="shared" si="25"/>
        <v/>
      </c>
      <c r="O101" s="7" t="str">
        <f t="shared" si="26"/>
        <v/>
      </c>
    </row>
    <row r="102" spans="1:15" x14ac:dyDescent="0.2">
      <c r="A102" s="5" t="str">
        <f t="shared" si="18"/>
        <v/>
      </c>
      <c r="B102" s="6" t="str">
        <f t="shared" si="19"/>
        <v/>
      </c>
      <c r="C102" s="7" t="str">
        <f t="shared" si="20"/>
        <v/>
      </c>
      <c r="D102" s="9">
        <v>0</v>
      </c>
      <c r="E102" s="7"/>
      <c r="F102" s="7" t="str">
        <f t="shared" si="21"/>
        <v/>
      </c>
      <c r="G102" s="7" t="str">
        <f t="shared" si="22"/>
        <v/>
      </c>
      <c r="H102" s="7" t="str">
        <f t="shared" si="23"/>
        <v/>
      </c>
      <c r="I102" s="7"/>
      <c r="J102" s="7"/>
      <c r="M102" s="5" t="str">
        <f t="shared" si="24"/>
        <v/>
      </c>
      <c r="N102" s="6" t="str">
        <f t="shared" si="25"/>
        <v/>
      </c>
      <c r="O102" s="7" t="str">
        <f t="shared" si="26"/>
        <v/>
      </c>
    </row>
    <row r="103" spans="1:15" x14ac:dyDescent="0.2">
      <c r="A103" s="5" t="str">
        <f t="shared" si="18"/>
        <v/>
      </c>
      <c r="B103" s="6" t="str">
        <f t="shared" si="19"/>
        <v/>
      </c>
      <c r="C103" s="7" t="str">
        <f t="shared" si="20"/>
        <v/>
      </c>
      <c r="D103" s="9">
        <v>0</v>
      </c>
      <c r="E103" s="7"/>
      <c r="F103" s="7" t="str">
        <f t="shared" si="21"/>
        <v/>
      </c>
      <c r="G103" s="7" t="str">
        <f t="shared" si="22"/>
        <v/>
      </c>
      <c r="H103" s="7" t="str">
        <f t="shared" si="23"/>
        <v/>
      </c>
      <c r="I103" s="7"/>
      <c r="J103" s="7"/>
      <c r="M103" s="5" t="str">
        <f t="shared" si="24"/>
        <v/>
      </c>
      <c r="N103" s="6" t="str">
        <f t="shared" si="25"/>
        <v/>
      </c>
      <c r="O103" s="7" t="str">
        <f t="shared" si="26"/>
        <v/>
      </c>
    </row>
    <row r="104" spans="1:15" x14ac:dyDescent="0.2">
      <c r="A104" s="5" t="str">
        <f t="shared" si="18"/>
        <v/>
      </c>
      <c r="B104" s="6" t="str">
        <f t="shared" si="19"/>
        <v/>
      </c>
      <c r="C104" s="7" t="str">
        <f t="shared" si="20"/>
        <v/>
      </c>
      <c r="D104" s="9">
        <v>0</v>
      </c>
      <c r="E104" s="7"/>
      <c r="F104" s="7" t="str">
        <f t="shared" si="21"/>
        <v/>
      </c>
      <c r="G104" s="7" t="str">
        <f t="shared" si="22"/>
        <v/>
      </c>
      <c r="H104" s="7" t="str">
        <f t="shared" si="23"/>
        <v/>
      </c>
      <c r="I104" s="7"/>
      <c r="J104" s="7"/>
      <c r="M104" s="5" t="str">
        <f t="shared" si="24"/>
        <v/>
      </c>
      <c r="N104" s="6" t="str">
        <f t="shared" si="25"/>
        <v/>
      </c>
      <c r="O104" s="7" t="str">
        <f t="shared" si="26"/>
        <v/>
      </c>
    </row>
    <row r="105" spans="1:15" x14ac:dyDescent="0.2">
      <c r="A105" s="5" t="str">
        <f t="shared" si="18"/>
        <v/>
      </c>
      <c r="B105" s="6" t="str">
        <f t="shared" si="19"/>
        <v/>
      </c>
      <c r="C105" s="7" t="str">
        <f t="shared" si="20"/>
        <v/>
      </c>
      <c r="D105" s="9">
        <v>0</v>
      </c>
      <c r="E105" s="7"/>
      <c r="F105" s="7" t="str">
        <f t="shared" si="21"/>
        <v/>
      </c>
      <c r="G105" s="7" t="str">
        <f t="shared" si="22"/>
        <v/>
      </c>
      <c r="H105" s="7" t="str">
        <f t="shared" si="23"/>
        <v/>
      </c>
      <c r="I105" s="7"/>
      <c r="J105" s="7"/>
      <c r="M105" s="5" t="str">
        <f t="shared" si="24"/>
        <v/>
      </c>
      <c r="N105" s="6" t="str">
        <f t="shared" si="25"/>
        <v/>
      </c>
      <c r="O105" s="7" t="str">
        <f t="shared" si="26"/>
        <v/>
      </c>
    </row>
    <row r="106" spans="1:15" x14ac:dyDescent="0.2">
      <c r="A106" s="5" t="str">
        <f t="shared" si="18"/>
        <v/>
      </c>
      <c r="B106" s="6" t="str">
        <f t="shared" si="19"/>
        <v/>
      </c>
      <c r="C106" s="7" t="str">
        <f t="shared" si="20"/>
        <v/>
      </c>
      <c r="D106" s="9">
        <v>0</v>
      </c>
      <c r="E106" s="7"/>
      <c r="F106" s="7" t="str">
        <f t="shared" si="21"/>
        <v/>
      </c>
      <c r="G106" s="7" t="str">
        <f t="shared" si="22"/>
        <v/>
      </c>
      <c r="H106" s="7" t="str">
        <f t="shared" si="23"/>
        <v/>
      </c>
      <c r="I106" s="7"/>
      <c r="J106" s="7"/>
      <c r="M106" s="5" t="str">
        <f t="shared" si="24"/>
        <v/>
      </c>
      <c r="N106" s="6" t="str">
        <f t="shared" si="25"/>
        <v/>
      </c>
      <c r="O106" s="7" t="str">
        <f t="shared" si="26"/>
        <v/>
      </c>
    </row>
    <row r="107" spans="1:15" x14ac:dyDescent="0.2">
      <c r="A107" s="5" t="str">
        <f t="shared" si="18"/>
        <v/>
      </c>
      <c r="B107" s="6" t="str">
        <f t="shared" si="19"/>
        <v/>
      </c>
      <c r="C107" s="7" t="str">
        <f t="shared" si="20"/>
        <v/>
      </c>
      <c r="D107" s="9">
        <v>0</v>
      </c>
      <c r="E107" s="7"/>
      <c r="F107" s="7" t="str">
        <f t="shared" si="21"/>
        <v/>
      </c>
      <c r="G107" s="7" t="str">
        <f t="shared" si="22"/>
        <v/>
      </c>
      <c r="H107" s="7" t="str">
        <f t="shared" si="23"/>
        <v/>
      </c>
      <c r="I107" s="7"/>
      <c r="J107" s="7"/>
      <c r="M107" s="5" t="str">
        <f t="shared" si="24"/>
        <v/>
      </c>
      <c r="N107" s="6" t="str">
        <f t="shared" si="25"/>
        <v/>
      </c>
      <c r="O107" s="7" t="str">
        <f t="shared" si="26"/>
        <v/>
      </c>
    </row>
    <row r="108" spans="1:15" x14ac:dyDescent="0.2">
      <c r="A108" s="5" t="str">
        <f t="shared" si="18"/>
        <v/>
      </c>
      <c r="B108" s="6" t="str">
        <f t="shared" si="19"/>
        <v/>
      </c>
      <c r="C108" s="7" t="str">
        <f t="shared" si="20"/>
        <v/>
      </c>
      <c r="D108" s="9">
        <v>0</v>
      </c>
      <c r="E108" s="7"/>
      <c r="F108" s="7" t="str">
        <f t="shared" si="21"/>
        <v/>
      </c>
      <c r="G108" s="7" t="str">
        <f t="shared" si="22"/>
        <v/>
      </c>
      <c r="H108" s="7" t="str">
        <f t="shared" si="23"/>
        <v/>
      </c>
      <c r="I108" s="7"/>
      <c r="J108" s="7"/>
      <c r="M108" s="5" t="str">
        <f t="shared" si="24"/>
        <v/>
      </c>
      <c r="N108" s="6" t="str">
        <f t="shared" si="25"/>
        <v/>
      </c>
      <c r="O108" s="7" t="str">
        <f t="shared" si="26"/>
        <v/>
      </c>
    </row>
    <row r="109" spans="1:15" x14ac:dyDescent="0.2">
      <c r="A109" s="5" t="str">
        <f t="shared" si="18"/>
        <v/>
      </c>
      <c r="B109" s="6" t="str">
        <f t="shared" si="19"/>
        <v/>
      </c>
      <c r="C109" s="7" t="str">
        <f t="shared" si="20"/>
        <v/>
      </c>
      <c r="D109" s="9">
        <v>0</v>
      </c>
      <c r="E109" s="7"/>
      <c r="F109" s="7" t="str">
        <f t="shared" si="21"/>
        <v/>
      </c>
      <c r="G109" s="7" t="str">
        <f t="shared" si="22"/>
        <v/>
      </c>
      <c r="H109" s="7" t="str">
        <f t="shared" si="23"/>
        <v/>
      </c>
      <c r="I109" s="7"/>
      <c r="J109" s="7"/>
      <c r="M109" s="5" t="str">
        <f t="shared" si="24"/>
        <v/>
      </c>
      <c r="N109" s="6" t="str">
        <f t="shared" si="25"/>
        <v/>
      </c>
      <c r="O109" s="7" t="str">
        <f t="shared" si="26"/>
        <v/>
      </c>
    </row>
    <row r="110" spans="1:15" x14ac:dyDescent="0.2">
      <c r="A110" s="5" t="str">
        <f t="shared" si="18"/>
        <v/>
      </c>
      <c r="B110" s="6" t="str">
        <f t="shared" si="19"/>
        <v/>
      </c>
      <c r="C110" s="7" t="str">
        <f t="shared" si="20"/>
        <v/>
      </c>
      <c r="D110" s="9">
        <v>0</v>
      </c>
      <c r="E110" s="7"/>
      <c r="F110" s="7" t="str">
        <f t="shared" si="21"/>
        <v/>
      </c>
      <c r="G110" s="7" t="str">
        <f t="shared" si="22"/>
        <v/>
      </c>
      <c r="H110" s="7" t="str">
        <f t="shared" si="23"/>
        <v/>
      </c>
      <c r="I110" s="7"/>
      <c r="J110" s="7"/>
      <c r="M110" s="5" t="str">
        <f t="shared" si="24"/>
        <v/>
      </c>
      <c r="N110" s="6" t="str">
        <f t="shared" si="25"/>
        <v/>
      </c>
      <c r="O110" s="7" t="str">
        <f t="shared" si="26"/>
        <v/>
      </c>
    </row>
    <row r="111" spans="1:15" x14ac:dyDescent="0.2">
      <c r="A111" s="5" t="str">
        <f t="shared" si="18"/>
        <v/>
      </c>
      <c r="B111" s="6" t="str">
        <f t="shared" si="19"/>
        <v/>
      </c>
      <c r="C111" s="7" t="str">
        <f t="shared" si="20"/>
        <v/>
      </c>
      <c r="D111" s="9">
        <v>0</v>
      </c>
      <c r="E111" s="7"/>
      <c r="F111" s="7" t="str">
        <f t="shared" si="21"/>
        <v/>
      </c>
      <c r="G111" s="7" t="str">
        <f t="shared" si="22"/>
        <v/>
      </c>
      <c r="H111" s="7" t="str">
        <f t="shared" si="23"/>
        <v/>
      </c>
      <c r="I111" s="7"/>
      <c r="J111" s="7"/>
      <c r="M111" s="5" t="str">
        <f t="shared" si="24"/>
        <v/>
      </c>
      <c r="N111" s="6" t="str">
        <f t="shared" si="25"/>
        <v/>
      </c>
      <c r="O111" s="7" t="str">
        <f t="shared" si="26"/>
        <v/>
      </c>
    </row>
    <row r="112" spans="1:15" x14ac:dyDescent="0.2">
      <c r="A112" s="5" t="str">
        <f t="shared" si="18"/>
        <v/>
      </c>
      <c r="B112" s="6" t="str">
        <f t="shared" si="19"/>
        <v/>
      </c>
      <c r="C112" s="7" t="str">
        <f t="shared" si="20"/>
        <v/>
      </c>
      <c r="D112" s="9">
        <v>0</v>
      </c>
      <c r="E112" s="7"/>
      <c r="F112" s="7" t="str">
        <f t="shared" si="21"/>
        <v/>
      </c>
      <c r="G112" s="7" t="str">
        <f t="shared" si="22"/>
        <v/>
      </c>
      <c r="H112" s="7" t="str">
        <f t="shared" si="23"/>
        <v/>
      </c>
      <c r="I112" s="7"/>
      <c r="J112" s="7"/>
      <c r="M112" s="5" t="str">
        <f t="shared" si="24"/>
        <v/>
      </c>
      <c r="N112" s="6" t="str">
        <f t="shared" si="25"/>
        <v/>
      </c>
      <c r="O112" s="7" t="str">
        <f t="shared" si="26"/>
        <v/>
      </c>
    </row>
    <row r="113" spans="1:15" x14ac:dyDescent="0.2">
      <c r="A113" s="5" t="str">
        <f t="shared" si="18"/>
        <v/>
      </c>
      <c r="B113" s="6" t="str">
        <f t="shared" si="19"/>
        <v/>
      </c>
      <c r="C113" s="7" t="str">
        <f t="shared" si="20"/>
        <v/>
      </c>
      <c r="D113" s="9">
        <v>0</v>
      </c>
      <c r="E113" s="7"/>
      <c r="F113" s="7" t="str">
        <f t="shared" si="21"/>
        <v/>
      </c>
      <c r="G113" s="7" t="str">
        <f t="shared" si="22"/>
        <v/>
      </c>
      <c r="H113" s="7" t="str">
        <f t="shared" si="23"/>
        <v/>
      </c>
      <c r="I113" s="7"/>
      <c r="J113" s="7"/>
      <c r="M113" s="5" t="str">
        <f t="shared" si="24"/>
        <v/>
      </c>
      <c r="N113" s="6" t="str">
        <f t="shared" si="25"/>
        <v/>
      </c>
      <c r="O113" s="7" t="str">
        <f t="shared" si="26"/>
        <v/>
      </c>
    </row>
    <row r="114" spans="1:15" x14ac:dyDescent="0.2">
      <c r="A114" s="5" t="str">
        <f t="shared" si="18"/>
        <v/>
      </c>
      <c r="B114" s="6" t="str">
        <f t="shared" si="19"/>
        <v/>
      </c>
      <c r="C114" s="7" t="str">
        <f t="shared" si="20"/>
        <v/>
      </c>
      <c r="D114" s="9">
        <v>0</v>
      </c>
      <c r="E114" s="7"/>
      <c r="F114" s="7" t="str">
        <f t="shared" si="21"/>
        <v/>
      </c>
      <c r="G114" s="7" t="str">
        <f t="shared" si="22"/>
        <v/>
      </c>
      <c r="H114" s="7" t="str">
        <f t="shared" si="23"/>
        <v/>
      </c>
      <c r="I114" s="7"/>
      <c r="J114" s="7"/>
      <c r="M114" s="5" t="str">
        <f t="shared" si="24"/>
        <v/>
      </c>
      <c r="N114" s="6" t="str">
        <f t="shared" si="25"/>
        <v/>
      </c>
      <c r="O114" s="7" t="str">
        <f t="shared" si="26"/>
        <v/>
      </c>
    </row>
    <row r="115" spans="1:15" x14ac:dyDescent="0.2">
      <c r="A115" s="5" t="str">
        <f t="shared" si="18"/>
        <v/>
      </c>
      <c r="B115" s="6" t="str">
        <f t="shared" si="19"/>
        <v/>
      </c>
      <c r="C115" s="7" t="str">
        <f t="shared" si="20"/>
        <v/>
      </c>
      <c r="D115" s="9">
        <v>0</v>
      </c>
      <c r="E115" s="7"/>
      <c r="F115" s="7" t="str">
        <f t="shared" si="21"/>
        <v/>
      </c>
      <c r="G115" s="7" t="str">
        <f t="shared" si="22"/>
        <v/>
      </c>
      <c r="H115" s="7" t="str">
        <f t="shared" si="23"/>
        <v/>
      </c>
      <c r="I115" s="7"/>
      <c r="J115" s="7"/>
      <c r="M115" s="5" t="str">
        <f t="shared" si="24"/>
        <v/>
      </c>
      <c r="N115" s="6" t="str">
        <f t="shared" si="25"/>
        <v/>
      </c>
      <c r="O115" s="7" t="str">
        <f t="shared" si="26"/>
        <v/>
      </c>
    </row>
    <row r="116" spans="1:15" x14ac:dyDescent="0.2">
      <c r="A116" s="5" t="str">
        <f t="shared" si="18"/>
        <v/>
      </c>
      <c r="B116" s="6" t="str">
        <f t="shared" si="19"/>
        <v/>
      </c>
      <c r="C116" s="7" t="str">
        <f t="shared" si="20"/>
        <v/>
      </c>
      <c r="D116" s="9">
        <v>0</v>
      </c>
      <c r="E116" s="7"/>
      <c r="F116" s="7" t="str">
        <f t="shared" si="21"/>
        <v/>
      </c>
      <c r="G116" s="7" t="str">
        <f t="shared" si="22"/>
        <v/>
      </c>
      <c r="H116" s="7" t="str">
        <f t="shared" si="23"/>
        <v/>
      </c>
      <c r="I116" s="7"/>
      <c r="J116" s="7"/>
      <c r="M116" s="5" t="str">
        <f t="shared" si="24"/>
        <v/>
      </c>
      <c r="N116" s="6" t="str">
        <f t="shared" si="25"/>
        <v/>
      </c>
      <c r="O116" s="7" t="str">
        <f t="shared" si="26"/>
        <v/>
      </c>
    </row>
    <row r="117" spans="1:15" x14ac:dyDescent="0.2">
      <c r="A117" s="5" t="str">
        <f t="shared" ref="A117:A148" si="27">IF(H116="","",IF(OR(A116&gt;=nper,ROUND(H116,2)&lt;=0),"",A116+1))</f>
        <v/>
      </c>
      <c r="B117" s="6" t="str">
        <f t="shared" ref="B117:B148" si="28">IF(A117="","",IF(periods_per_year=26,IF(A117=1,fpdate,B116+14),IF(periods_per_year=52,IF(A117=1,fpdate,B116+7),DATE(YEAR(fpdate),MONTH(fpdate)+(A117-1)*months_per_period,IF(periods_per_year=24,IF((1-MOD(A117,2))=1,DAY(fpdate)+14,DAY(fpdate)),DAY(fpdate))))))</f>
        <v/>
      </c>
      <c r="C117" s="7" t="str">
        <f t="shared" ref="C117:C148" si="29">IF(A117="","",IF(OR(A117=nper,payment&gt;ROUND((1+rate)*H116,2)),ROUND((1+rate)*H116,2),payment))</f>
        <v/>
      </c>
      <c r="D117" s="9">
        <v>0</v>
      </c>
      <c r="E117" s="7"/>
      <c r="F117" s="7" t="str">
        <f t="shared" si="21"/>
        <v/>
      </c>
      <c r="G117" s="7" t="str">
        <f t="shared" si="22"/>
        <v/>
      </c>
      <c r="H117" s="7" t="str">
        <f t="shared" si="23"/>
        <v/>
      </c>
      <c r="I117" s="7"/>
      <c r="J117" s="7"/>
      <c r="M117" s="5" t="str">
        <f t="shared" ref="M117:M148" si="30">IF(M116="","",IF(M116+1&gt;nper,"",M116+1))</f>
        <v/>
      </c>
      <c r="N117" s="6" t="str">
        <f t="shared" ref="N117:N148" si="31">IF(M117="","",IF(periods_per_year=26,IF(M117=1,fpdate,N116+14),IF(periods_per_year=52,IF(M117=1,fpdate,N116+7),DATE(YEAR(fpdate),MONTH(fpdate)+(M117-1)*months_per_period,IF(periods_per_year=24,IF((1-MOD(M117,2))=1,DAY(fpdate)+14,DAY(fpdate)),DAY(fpdate))))))</f>
        <v/>
      </c>
      <c r="O117" s="7" t="str">
        <f t="shared" ref="O117:O148" si="32">IF(M117="","",FV(rate,M117,payment,-loan_amount))</f>
        <v/>
      </c>
    </row>
    <row r="118" spans="1:15" x14ac:dyDescent="0.2">
      <c r="A118" s="5" t="str">
        <f t="shared" si="27"/>
        <v/>
      </c>
      <c r="B118" s="6" t="str">
        <f t="shared" si="28"/>
        <v/>
      </c>
      <c r="C118" s="7" t="str">
        <f t="shared" si="29"/>
        <v/>
      </c>
      <c r="D118" s="9">
        <v>0</v>
      </c>
      <c r="E118" s="7"/>
      <c r="F118" s="7" t="str">
        <f t="shared" si="21"/>
        <v/>
      </c>
      <c r="G118" s="7" t="str">
        <f t="shared" si="22"/>
        <v/>
      </c>
      <c r="H118" s="7" t="str">
        <f t="shared" si="23"/>
        <v/>
      </c>
      <c r="I118" s="7"/>
      <c r="J118" s="7"/>
      <c r="M118" s="5" t="str">
        <f t="shared" si="30"/>
        <v/>
      </c>
      <c r="N118" s="6" t="str">
        <f t="shared" si="31"/>
        <v/>
      </c>
      <c r="O118" s="7" t="str">
        <f t="shared" si="32"/>
        <v/>
      </c>
    </row>
    <row r="119" spans="1:15" x14ac:dyDescent="0.2">
      <c r="A119" s="5" t="str">
        <f t="shared" si="27"/>
        <v/>
      </c>
      <c r="B119" s="6" t="str">
        <f t="shared" si="28"/>
        <v/>
      </c>
      <c r="C119" s="7" t="str">
        <f t="shared" si="29"/>
        <v/>
      </c>
      <c r="D119" s="9">
        <v>0</v>
      </c>
      <c r="E119" s="7"/>
      <c r="F119" s="7" t="str">
        <f t="shared" si="21"/>
        <v/>
      </c>
      <c r="G119" s="7" t="str">
        <f t="shared" si="22"/>
        <v/>
      </c>
      <c r="H119" s="7" t="str">
        <f t="shared" si="23"/>
        <v/>
      </c>
      <c r="I119" s="7"/>
      <c r="J119" s="7"/>
      <c r="M119" s="5" t="str">
        <f t="shared" si="30"/>
        <v/>
      </c>
      <c r="N119" s="6" t="str">
        <f t="shared" si="31"/>
        <v/>
      </c>
      <c r="O119" s="7" t="str">
        <f t="shared" si="32"/>
        <v/>
      </c>
    </row>
    <row r="120" spans="1:15" x14ac:dyDescent="0.2">
      <c r="A120" s="5" t="str">
        <f t="shared" si="27"/>
        <v/>
      </c>
      <c r="B120" s="6" t="str">
        <f t="shared" si="28"/>
        <v/>
      </c>
      <c r="C120" s="7" t="str">
        <f t="shared" si="29"/>
        <v/>
      </c>
      <c r="D120" s="9">
        <v>0</v>
      </c>
      <c r="E120" s="7"/>
      <c r="F120" s="7" t="str">
        <f t="shared" si="21"/>
        <v/>
      </c>
      <c r="G120" s="7" t="str">
        <f t="shared" si="22"/>
        <v/>
      </c>
      <c r="H120" s="7" t="str">
        <f t="shared" si="23"/>
        <v/>
      </c>
      <c r="I120" s="7"/>
      <c r="J120" s="7"/>
      <c r="M120" s="5" t="str">
        <f t="shared" si="30"/>
        <v/>
      </c>
      <c r="N120" s="6" t="str">
        <f t="shared" si="31"/>
        <v/>
      </c>
      <c r="O120" s="7" t="str">
        <f t="shared" si="32"/>
        <v/>
      </c>
    </row>
    <row r="121" spans="1:15" x14ac:dyDescent="0.2">
      <c r="A121" s="5" t="str">
        <f t="shared" si="27"/>
        <v/>
      </c>
      <c r="B121" s="6" t="str">
        <f t="shared" si="28"/>
        <v/>
      </c>
      <c r="C121" s="7" t="str">
        <f t="shared" si="29"/>
        <v/>
      </c>
      <c r="D121" s="9">
        <v>0</v>
      </c>
      <c r="E121" s="7"/>
      <c r="F121" s="7" t="str">
        <f t="shared" si="21"/>
        <v/>
      </c>
      <c r="G121" s="7" t="str">
        <f t="shared" si="22"/>
        <v/>
      </c>
      <c r="H121" s="7" t="str">
        <f t="shared" si="23"/>
        <v/>
      </c>
      <c r="I121" s="7"/>
      <c r="J121" s="7"/>
      <c r="M121" s="5" t="str">
        <f t="shared" si="30"/>
        <v/>
      </c>
      <c r="N121" s="6" t="str">
        <f t="shared" si="31"/>
        <v/>
      </c>
      <c r="O121" s="7" t="str">
        <f t="shared" si="32"/>
        <v/>
      </c>
    </row>
    <row r="122" spans="1:15" x14ac:dyDescent="0.2">
      <c r="A122" s="5" t="str">
        <f t="shared" si="27"/>
        <v/>
      </c>
      <c r="B122" s="6" t="str">
        <f t="shared" si="28"/>
        <v/>
      </c>
      <c r="C122" s="7" t="str">
        <f t="shared" si="29"/>
        <v/>
      </c>
      <c r="D122" s="9">
        <v>0</v>
      </c>
      <c r="E122" s="7"/>
      <c r="F122" s="7" t="str">
        <f t="shared" si="21"/>
        <v/>
      </c>
      <c r="G122" s="7" t="str">
        <f t="shared" si="22"/>
        <v/>
      </c>
      <c r="H122" s="7" t="str">
        <f t="shared" si="23"/>
        <v/>
      </c>
      <c r="I122" s="7"/>
      <c r="J122" s="7"/>
      <c r="M122" s="5" t="str">
        <f t="shared" si="30"/>
        <v/>
      </c>
      <c r="N122" s="6" t="str">
        <f t="shared" si="31"/>
        <v/>
      </c>
      <c r="O122" s="7" t="str">
        <f t="shared" si="32"/>
        <v/>
      </c>
    </row>
    <row r="123" spans="1:15" x14ac:dyDescent="0.2">
      <c r="A123" s="5" t="str">
        <f t="shared" si="27"/>
        <v/>
      </c>
      <c r="B123" s="6" t="str">
        <f t="shared" si="28"/>
        <v/>
      </c>
      <c r="C123" s="7" t="str">
        <f t="shared" si="29"/>
        <v/>
      </c>
      <c r="D123" s="9">
        <v>0</v>
      </c>
      <c r="E123" s="7"/>
      <c r="F123" s="7" t="str">
        <f t="shared" si="21"/>
        <v/>
      </c>
      <c r="G123" s="7" t="str">
        <f t="shared" si="22"/>
        <v/>
      </c>
      <c r="H123" s="7" t="str">
        <f t="shared" si="23"/>
        <v/>
      </c>
      <c r="I123" s="7"/>
      <c r="J123" s="7"/>
      <c r="M123" s="5" t="str">
        <f t="shared" si="30"/>
        <v/>
      </c>
      <c r="N123" s="6" t="str">
        <f t="shared" si="31"/>
        <v/>
      </c>
      <c r="O123" s="7" t="str">
        <f t="shared" si="32"/>
        <v/>
      </c>
    </row>
    <row r="124" spans="1:15" x14ac:dyDescent="0.2">
      <c r="A124" s="5" t="str">
        <f t="shared" si="27"/>
        <v/>
      </c>
      <c r="B124" s="6" t="str">
        <f t="shared" si="28"/>
        <v/>
      </c>
      <c r="C124" s="7" t="str">
        <f t="shared" si="29"/>
        <v/>
      </c>
      <c r="D124" s="9">
        <v>0</v>
      </c>
      <c r="E124" s="7"/>
      <c r="F124" s="7" t="str">
        <f t="shared" si="21"/>
        <v/>
      </c>
      <c r="G124" s="7" t="str">
        <f t="shared" si="22"/>
        <v/>
      </c>
      <c r="H124" s="7" t="str">
        <f t="shared" si="23"/>
        <v/>
      </c>
      <c r="I124" s="7"/>
      <c r="J124" s="7"/>
      <c r="M124" s="5" t="str">
        <f t="shared" si="30"/>
        <v/>
      </c>
      <c r="N124" s="6" t="str">
        <f t="shared" si="31"/>
        <v/>
      </c>
      <c r="O124" s="7" t="str">
        <f t="shared" si="32"/>
        <v/>
      </c>
    </row>
    <row r="125" spans="1:15" x14ac:dyDescent="0.2">
      <c r="A125" s="5" t="str">
        <f t="shared" si="27"/>
        <v/>
      </c>
      <c r="B125" s="6" t="str">
        <f t="shared" si="28"/>
        <v/>
      </c>
      <c r="C125" s="7" t="str">
        <f t="shared" si="29"/>
        <v/>
      </c>
      <c r="D125" s="9">
        <v>0</v>
      </c>
      <c r="E125" s="7"/>
      <c r="F125" s="7" t="str">
        <f t="shared" si="21"/>
        <v/>
      </c>
      <c r="G125" s="7" t="str">
        <f t="shared" si="22"/>
        <v/>
      </c>
      <c r="H125" s="7" t="str">
        <f t="shared" si="23"/>
        <v/>
      </c>
      <c r="I125" s="7"/>
      <c r="J125" s="7"/>
      <c r="M125" s="5" t="str">
        <f t="shared" si="30"/>
        <v/>
      </c>
      <c r="N125" s="6" t="str">
        <f t="shared" si="31"/>
        <v/>
      </c>
      <c r="O125" s="7" t="str">
        <f t="shared" si="32"/>
        <v/>
      </c>
    </row>
    <row r="126" spans="1:15" x14ac:dyDescent="0.2">
      <c r="A126" s="5" t="str">
        <f t="shared" si="27"/>
        <v/>
      </c>
      <c r="B126" s="6" t="str">
        <f t="shared" si="28"/>
        <v/>
      </c>
      <c r="C126" s="7" t="str">
        <f t="shared" si="29"/>
        <v/>
      </c>
      <c r="D126" s="9">
        <v>0</v>
      </c>
      <c r="E126" s="7"/>
      <c r="F126" s="7" t="str">
        <f t="shared" si="21"/>
        <v/>
      </c>
      <c r="G126" s="7" t="str">
        <f t="shared" si="22"/>
        <v/>
      </c>
      <c r="H126" s="7" t="str">
        <f t="shared" si="23"/>
        <v/>
      </c>
      <c r="I126" s="7"/>
      <c r="J126" s="7"/>
      <c r="M126" s="5" t="str">
        <f t="shared" si="30"/>
        <v/>
      </c>
      <c r="N126" s="6" t="str">
        <f t="shared" si="31"/>
        <v/>
      </c>
      <c r="O126" s="7" t="str">
        <f t="shared" si="32"/>
        <v/>
      </c>
    </row>
    <row r="127" spans="1:15" x14ac:dyDescent="0.2">
      <c r="A127" s="5" t="str">
        <f t="shared" si="27"/>
        <v/>
      </c>
      <c r="B127" s="6" t="str">
        <f t="shared" si="28"/>
        <v/>
      </c>
      <c r="C127" s="7" t="str">
        <f t="shared" si="29"/>
        <v/>
      </c>
      <c r="D127" s="9">
        <v>0</v>
      </c>
      <c r="E127" s="7"/>
      <c r="F127" s="7" t="str">
        <f t="shared" si="21"/>
        <v/>
      </c>
      <c r="G127" s="7" t="str">
        <f t="shared" si="22"/>
        <v/>
      </c>
      <c r="H127" s="7" t="str">
        <f t="shared" si="23"/>
        <v/>
      </c>
      <c r="I127" s="7"/>
      <c r="J127" s="7"/>
      <c r="M127" s="5" t="str">
        <f t="shared" si="30"/>
        <v/>
      </c>
      <c r="N127" s="6" t="str">
        <f t="shared" si="31"/>
        <v/>
      </c>
      <c r="O127" s="7" t="str">
        <f t="shared" si="32"/>
        <v/>
      </c>
    </row>
    <row r="128" spans="1:15" x14ac:dyDescent="0.2">
      <c r="A128" s="5" t="str">
        <f t="shared" si="27"/>
        <v/>
      </c>
      <c r="B128" s="6" t="str">
        <f t="shared" si="28"/>
        <v/>
      </c>
      <c r="C128" s="7" t="str">
        <f t="shared" si="29"/>
        <v/>
      </c>
      <c r="D128" s="9">
        <v>0</v>
      </c>
      <c r="E128" s="7"/>
      <c r="F128" s="7" t="str">
        <f t="shared" si="21"/>
        <v/>
      </c>
      <c r="G128" s="7" t="str">
        <f t="shared" si="22"/>
        <v/>
      </c>
      <c r="H128" s="7" t="str">
        <f t="shared" si="23"/>
        <v/>
      </c>
      <c r="I128" s="7"/>
      <c r="J128" s="7"/>
      <c r="M128" s="5" t="str">
        <f t="shared" si="30"/>
        <v/>
      </c>
      <c r="N128" s="6" t="str">
        <f t="shared" si="31"/>
        <v/>
      </c>
      <c r="O128" s="7" t="str">
        <f t="shared" si="32"/>
        <v/>
      </c>
    </row>
    <row r="129" spans="1:15" x14ac:dyDescent="0.2">
      <c r="A129" s="5" t="str">
        <f t="shared" si="27"/>
        <v/>
      </c>
      <c r="B129" s="6" t="str">
        <f t="shared" si="28"/>
        <v/>
      </c>
      <c r="C129" s="7" t="str">
        <f t="shared" si="29"/>
        <v/>
      </c>
      <c r="D129" s="9">
        <v>0</v>
      </c>
      <c r="E129" s="7"/>
      <c r="F129" s="7" t="str">
        <f t="shared" si="21"/>
        <v/>
      </c>
      <c r="G129" s="7" t="str">
        <f t="shared" si="22"/>
        <v/>
      </c>
      <c r="H129" s="7" t="str">
        <f t="shared" si="23"/>
        <v/>
      </c>
      <c r="I129" s="7"/>
      <c r="J129" s="7"/>
      <c r="M129" s="5" t="str">
        <f t="shared" si="30"/>
        <v/>
      </c>
      <c r="N129" s="6" t="str">
        <f t="shared" si="31"/>
        <v/>
      </c>
      <c r="O129" s="7" t="str">
        <f t="shared" si="32"/>
        <v/>
      </c>
    </row>
    <row r="130" spans="1:15" x14ac:dyDescent="0.2">
      <c r="A130" s="5" t="str">
        <f t="shared" si="27"/>
        <v/>
      </c>
      <c r="B130" s="6" t="str">
        <f t="shared" si="28"/>
        <v/>
      </c>
      <c r="C130" s="7" t="str">
        <f t="shared" si="29"/>
        <v/>
      </c>
      <c r="D130" s="9">
        <v>0</v>
      </c>
      <c r="E130" s="7"/>
      <c r="F130" s="7" t="str">
        <f t="shared" si="21"/>
        <v/>
      </c>
      <c r="G130" s="7" t="str">
        <f t="shared" si="22"/>
        <v/>
      </c>
      <c r="H130" s="7" t="str">
        <f t="shared" si="23"/>
        <v/>
      </c>
      <c r="I130" s="7"/>
      <c r="J130" s="7"/>
      <c r="M130" s="5" t="str">
        <f t="shared" si="30"/>
        <v/>
      </c>
      <c r="N130" s="6" t="str">
        <f t="shared" si="31"/>
        <v/>
      </c>
      <c r="O130" s="7" t="str">
        <f t="shared" si="32"/>
        <v/>
      </c>
    </row>
    <row r="131" spans="1:15" x14ac:dyDescent="0.2">
      <c r="A131" s="5" t="str">
        <f t="shared" si="27"/>
        <v/>
      </c>
      <c r="B131" s="6" t="str">
        <f t="shared" si="28"/>
        <v/>
      </c>
      <c r="C131" s="7" t="str">
        <f t="shared" si="29"/>
        <v/>
      </c>
      <c r="D131" s="9">
        <v>0</v>
      </c>
      <c r="E131" s="7"/>
      <c r="F131" s="7" t="str">
        <f t="shared" si="21"/>
        <v/>
      </c>
      <c r="G131" s="7" t="str">
        <f t="shared" si="22"/>
        <v/>
      </c>
      <c r="H131" s="7" t="str">
        <f t="shared" si="23"/>
        <v/>
      </c>
      <c r="I131" s="7"/>
      <c r="J131" s="7"/>
      <c r="M131" s="5" t="str">
        <f t="shared" si="30"/>
        <v/>
      </c>
      <c r="N131" s="6" t="str">
        <f t="shared" si="31"/>
        <v/>
      </c>
      <c r="O131" s="7" t="str">
        <f t="shared" si="32"/>
        <v/>
      </c>
    </row>
    <row r="132" spans="1:15" x14ac:dyDescent="0.2">
      <c r="A132" s="5" t="str">
        <f t="shared" si="27"/>
        <v/>
      </c>
      <c r="B132" s="6" t="str">
        <f t="shared" si="28"/>
        <v/>
      </c>
      <c r="C132" s="7" t="str">
        <f t="shared" si="29"/>
        <v/>
      </c>
      <c r="D132" s="9">
        <v>0</v>
      </c>
      <c r="E132" s="7"/>
      <c r="F132" s="7" t="str">
        <f t="shared" si="21"/>
        <v/>
      </c>
      <c r="G132" s="7" t="str">
        <f t="shared" si="22"/>
        <v/>
      </c>
      <c r="H132" s="7" t="str">
        <f t="shared" si="23"/>
        <v/>
      </c>
      <c r="I132" s="7"/>
      <c r="J132" s="7"/>
      <c r="M132" s="5" t="str">
        <f t="shared" si="30"/>
        <v/>
      </c>
      <c r="N132" s="6" t="str">
        <f t="shared" si="31"/>
        <v/>
      </c>
      <c r="O132" s="7" t="str">
        <f t="shared" si="32"/>
        <v/>
      </c>
    </row>
    <row r="133" spans="1:15" x14ac:dyDescent="0.2">
      <c r="A133" s="5" t="str">
        <f t="shared" si="27"/>
        <v/>
      </c>
      <c r="B133" s="6" t="str">
        <f t="shared" si="28"/>
        <v/>
      </c>
      <c r="C133" s="7" t="str">
        <f t="shared" si="29"/>
        <v/>
      </c>
      <c r="D133" s="9">
        <v>0</v>
      </c>
      <c r="E133" s="7"/>
      <c r="F133" s="7" t="str">
        <f t="shared" si="21"/>
        <v/>
      </c>
      <c r="G133" s="7" t="str">
        <f t="shared" si="22"/>
        <v/>
      </c>
      <c r="H133" s="7" t="str">
        <f t="shared" si="23"/>
        <v/>
      </c>
      <c r="I133" s="7"/>
      <c r="J133" s="7"/>
      <c r="M133" s="5" t="str">
        <f t="shared" si="30"/>
        <v/>
      </c>
      <c r="N133" s="6" t="str">
        <f t="shared" si="31"/>
        <v/>
      </c>
      <c r="O133" s="7" t="str">
        <f t="shared" si="32"/>
        <v/>
      </c>
    </row>
    <row r="134" spans="1:15" x14ac:dyDescent="0.2">
      <c r="A134" s="5" t="str">
        <f t="shared" si="27"/>
        <v/>
      </c>
      <c r="B134" s="6" t="str">
        <f t="shared" si="28"/>
        <v/>
      </c>
      <c r="C134" s="7" t="str">
        <f t="shared" si="29"/>
        <v/>
      </c>
      <c r="D134" s="9">
        <v>0</v>
      </c>
      <c r="E134" s="7"/>
      <c r="F134" s="7" t="str">
        <f t="shared" si="21"/>
        <v/>
      </c>
      <c r="G134" s="7" t="str">
        <f t="shared" si="22"/>
        <v/>
      </c>
      <c r="H134" s="7" t="str">
        <f t="shared" si="23"/>
        <v/>
      </c>
      <c r="I134" s="7"/>
      <c r="J134" s="7"/>
      <c r="M134" s="5" t="str">
        <f t="shared" si="30"/>
        <v/>
      </c>
      <c r="N134" s="6" t="str">
        <f t="shared" si="31"/>
        <v/>
      </c>
      <c r="O134" s="7" t="str">
        <f t="shared" si="32"/>
        <v/>
      </c>
    </row>
    <row r="135" spans="1:15" x14ac:dyDescent="0.2">
      <c r="A135" s="5" t="str">
        <f t="shared" si="27"/>
        <v/>
      </c>
      <c r="B135" s="6" t="str">
        <f t="shared" si="28"/>
        <v/>
      </c>
      <c r="C135" s="7" t="str">
        <f t="shared" si="29"/>
        <v/>
      </c>
      <c r="D135" s="9">
        <v>0</v>
      </c>
      <c r="E135" s="7"/>
      <c r="F135" s="7" t="str">
        <f t="shared" si="21"/>
        <v/>
      </c>
      <c r="G135" s="7" t="str">
        <f t="shared" si="22"/>
        <v/>
      </c>
      <c r="H135" s="7" t="str">
        <f t="shared" si="23"/>
        <v/>
      </c>
      <c r="I135" s="7"/>
      <c r="J135" s="7"/>
      <c r="M135" s="5" t="str">
        <f t="shared" si="30"/>
        <v/>
      </c>
      <c r="N135" s="6" t="str">
        <f t="shared" si="31"/>
        <v/>
      </c>
      <c r="O135" s="7" t="str">
        <f t="shared" si="32"/>
        <v/>
      </c>
    </row>
    <row r="136" spans="1:15" x14ac:dyDescent="0.2">
      <c r="A136" s="5" t="str">
        <f t="shared" si="27"/>
        <v/>
      </c>
      <c r="B136" s="6" t="str">
        <f t="shared" si="28"/>
        <v/>
      </c>
      <c r="C136" s="7" t="str">
        <f t="shared" si="29"/>
        <v/>
      </c>
      <c r="D136" s="9">
        <v>0</v>
      </c>
      <c r="E136" s="7"/>
      <c r="F136" s="7" t="str">
        <f t="shared" si="21"/>
        <v/>
      </c>
      <c r="G136" s="7" t="str">
        <f t="shared" si="22"/>
        <v/>
      </c>
      <c r="H136" s="7" t="str">
        <f t="shared" si="23"/>
        <v/>
      </c>
      <c r="I136" s="7"/>
      <c r="J136" s="7"/>
      <c r="M136" s="5" t="str">
        <f t="shared" si="30"/>
        <v/>
      </c>
      <c r="N136" s="6" t="str">
        <f t="shared" si="31"/>
        <v/>
      </c>
      <c r="O136" s="7" t="str">
        <f t="shared" si="32"/>
        <v/>
      </c>
    </row>
    <row r="137" spans="1:15" x14ac:dyDescent="0.2">
      <c r="A137" s="5" t="str">
        <f t="shared" si="27"/>
        <v/>
      </c>
      <c r="B137" s="6" t="str">
        <f t="shared" si="28"/>
        <v/>
      </c>
      <c r="C137" s="7" t="str">
        <f t="shared" si="29"/>
        <v/>
      </c>
      <c r="D137" s="9">
        <v>0</v>
      </c>
      <c r="E137" s="7"/>
      <c r="F137" s="7" t="str">
        <f t="shared" si="21"/>
        <v/>
      </c>
      <c r="G137" s="7" t="str">
        <f t="shared" si="22"/>
        <v/>
      </c>
      <c r="H137" s="7" t="str">
        <f t="shared" si="23"/>
        <v/>
      </c>
      <c r="I137" s="7"/>
      <c r="J137" s="7"/>
      <c r="M137" s="5" t="str">
        <f t="shared" si="30"/>
        <v/>
      </c>
      <c r="N137" s="6" t="str">
        <f t="shared" si="31"/>
        <v/>
      </c>
      <c r="O137" s="7" t="str">
        <f t="shared" si="32"/>
        <v/>
      </c>
    </row>
    <row r="138" spans="1:15" x14ac:dyDescent="0.2">
      <c r="A138" s="5" t="str">
        <f t="shared" si="27"/>
        <v/>
      </c>
      <c r="B138" s="6" t="str">
        <f t="shared" si="28"/>
        <v/>
      </c>
      <c r="C138" s="7" t="str">
        <f t="shared" si="29"/>
        <v/>
      </c>
      <c r="D138" s="9">
        <v>0</v>
      </c>
      <c r="E138" s="7"/>
      <c r="F138" s="7" t="str">
        <f t="shared" si="21"/>
        <v/>
      </c>
      <c r="G138" s="7" t="str">
        <f t="shared" si="22"/>
        <v/>
      </c>
      <c r="H138" s="7" t="str">
        <f t="shared" si="23"/>
        <v/>
      </c>
      <c r="I138" s="7"/>
      <c r="J138" s="7"/>
      <c r="M138" s="5" t="str">
        <f t="shared" si="30"/>
        <v/>
      </c>
      <c r="N138" s="6" t="str">
        <f t="shared" si="31"/>
        <v/>
      </c>
      <c r="O138" s="7" t="str">
        <f t="shared" si="32"/>
        <v/>
      </c>
    </row>
    <row r="139" spans="1:15" x14ac:dyDescent="0.2">
      <c r="A139" s="5" t="str">
        <f t="shared" si="27"/>
        <v/>
      </c>
      <c r="B139" s="6" t="str">
        <f t="shared" si="28"/>
        <v/>
      </c>
      <c r="C139" s="7" t="str">
        <f t="shared" si="29"/>
        <v/>
      </c>
      <c r="D139" s="9">
        <v>0</v>
      </c>
      <c r="E139" s="7"/>
      <c r="F139" s="7" t="str">
        <f t="shared" si="21"/>
        <v/>
      </c>
      <c r="G139" s="7" t="str">
        <f t="shared" si="22"/>
        <v/>
      </c>
      <c r="H139" s="7" t="str">
        <f t="shared" si="23"/>
        <v/>
      </c>
      <c r="I139" s="7"/>
      <c r="J139" s="7"/>
      <c r="M139" s="5" t="str">
        <f t="shared" si="30"/>
        <v/>
      </c>
      <c r="N139" s="6" t="str">
        <f t="shared" si="31"/>
        <v/>
      </c>
      <c r="O139" s="7" t="str">
        <f t="shared" si="32"/>
        <v/>
      </c>
    </row>
    <row r="140" spans="1:15" x14ac:dyDescent="0.2">
      <c r="A140" s="5" t="str">
        <f t="shared" si="27"/>
        <v/>
      </c>
      <c r="B140" s="6" t="str">
        <f t="shared" si="28"/>
        <v/>
      </c>
      <c r="C140" s="7" t="str">
        <f t="shared" si="29"/>
        <v/>
      </c>
      <c r="D140" s="9">
        <v>0</v>
      </c>
      <c r="E140" s="7"/>
      <c r="F140" s="7" t="str">
        <f t="shared" si="21"/>
        <v/>
      </c>
      <c r="G140" s="7" t="str">
        <f t="shared" si="22"/>
        <v/>
      </c>
      <c r="H140" s="7" t="str">
        <f t="shared" si="23"/>
        <v/>
      </c>
      <c r="I140" s="7"/>
      <c r="J140" s="7"/>
      <c r="M140" s="5" t="str">
        <f t="shared" si="30"/>
        <v/>
      </c>
      <c r="N140" s="6" t="str">
        <f t="shared" si="31"/>
        <v/>
      </c>
      <c r="O140" s="7" t="str">
        <f t="shared" si="32"/>
        <v/>
      </c>
    </row>
    <row r="141" spans="1:15" x14ac:dyDescent="0.2">
      <c r="A141" s="5" t="str">
        <f t="shared" si="27"/>
        <v/>
      </c>
      <c r="B141" s="6" t="str">
        <f t="shared" si="28"/>
        <v/>
      </c>
      <c r="C141" s="7" t="str">
        <f t="shared" si="29"/>
        <v/>
      </c>
      <c r="D141" s="9">
        <v>0</v>
      </c>
      <c r="E141" s="7"/>
      <c r="F141" s="7" t="str">
        <f t="shared" si="21"/>
        <v/>
      </c>
      <c r="G141" s="7" t="str">
        <f t="shared" si="22"/>
        <v/>
      </c>
      <c r="H141" s="7" t="str">
        <f t="shared" si="23"/>
        <v/>
      </c>
      <c r="I141" s="7"/>
      <c r="J141" s="7"/>
      <c r="M141" s="5" t="str">
        <f t="shared" si="30"/>
        <v/>
      </c>
      <c r="N141" s="6" t="str">
        <f t="shared" si="31"/>
        <v/>
      </c>
      <c r="O141" s="7" t="str">
        <f t="shared" si="32"/>
        <v/>
      </c>
    </row>
    <row r="142" spans="1:15" x14ac:dyDescent="0.2">
      <c r="A142" s="5" t="str">
        <f t="shared" si="27"/>
        <v/>
      </c>
      <c r="B142" s="6" t="str">
        <f t="shared" si="28"/>
        <v/>
      </c>
      <c r="C142" s="7" t="str">
        <f t="shared" si="29"/>
        <v/>
      </c>
      <c r="D142" s="9">
        <v>0</v>
      </c>
      <c r="E142" s="7"/>
      <c r="F142" s="7" t="str">
        <f t="shared" si="21"/>
        <v/>
      </c>
      <c r="G142" s="7" t="str">
        <f t="shared" si="22"/>
        <v/>
      </c>
      <c r="H142" s="7" t="str">
        <f t="shared" si="23"/>
        <v/>
      </c>
      <c r="I142" s="7"/>
      <c r="J142" s="7"/>
      <c r="M142" s="5" t="str">
        <f t="shared" si="30"/>
        <v/>
      </c>
      <c r="N142" s="6" t="str">
        <f t="shared" si="31"/>
        <v/>
      </c>
      <c r="O142" s="7" t="str">
        <f t="shared" si="32"/>
        <v/>
      </c>
    </row>
    <row r="143" spans="1:15" x14ac:dyDescent="0.2">
      <c r="A143" s="5" t="str">
        <f t="shared" si="27"/>
        <v/>
      </c>
      <c r="B143" s="6" t="str">
        <f t="shared" si="28"/>
        <v/>
      </c>
      <c r="C143" s="7" t="str">
        <f t="shared" si="29"/>
        <v/>
      </c>
      <c r="D143" s="9">
        <v>0</v>
      </c>
      <c r="E143" s="7"/>
      <c r="F143" s="7" t="str">
        <f t="shared" si="21"/>
        <v/>
      </c>
      <c r="G143" s="7" t="str">
        <f t="shared" si="22"/>
        <v/>
      </c>
      <c r="H143" s="7" t="str">
        <f t="shared" si="23"/>
        <v/>
      </c>
      <c r="I143" s="7"/>
      <c r="J143" s="7"/>
      <c r="M143" s="5" t="str">
        <f t="shared" si="30"/>
        <v/>
      </c>
      <c r="N143" s="6" t="str">
        <f t="shared" si="31"/>
        <v/>
      </c>
      <c r="O143" s="7" t="str">
        <f t="shared" si="32"/>
        <v/>
      </c>
    </row>
    <row r="144" spans="1:15" x14ac:dyDescent="0.2">
      <c r="A144" s="5" t="str">
        <f t="shared" si="27"/>
        <v/>
      </c>
      <c r="B144" s="6" t="str">
        <f t="shared" si="28"/>
        <v/>
      </c>
      <c r="C144" s="7" t="str">
        <f t="shared" si="29"/>
        <v/>
      </c>
      <c r="D144" s="9">
        <v>0</v>
      </c>
      <c r="E144" s="7"/>
      <c r="F144" s="7" t="str">
        <f t="shared" si="21"/>
        <v/>
      </c>
      <c r="G144" s="7" t="str">
        <f t="shared" si="22"/>
        <v/>
      </c>
      <c r="H144" s="7" t="str">
        <f t="shared" si="23"/>
        <v/>
      </c>
      <c r="I144" s="7"/>
      <c r="J144" s="7"/>
      <c r="M144" s="5" t="str">
        <f t="shared" si="30"/>
        <v/>
      </c>
      <c r="N144" s="6" t="str">
        <f t="shared" si="31"/>
        <v/>
      </c>
      <c r="O144" s="7" t="str">
        <f t="shared" si="32"/>
        <v/>
      </c>
    </row>
    <row r="145" spans="1:15" x14ac:dyDescent="0.2">
      <c r="A145" s="5" t="str">
        <f t="shared" si="27"/>
        <v/>
      </c>
      <c r="B145" s="6" t="str">
        <f t="shared" si="28"/>
        <v/>
      </c>
      <c r="C145" s="7" t="str">
        <f t="shared" si="29"/>
        <v/>
      </c>
      <c r="D145" s="9">
        <v>0</v>
      </c>
      <c r="E145" s="7"/>
      <c r="F145" s="7" t="str">
        <f t="shared" si="21"/>
        <v/>
      </c>
      <c r="G145" s="7" t="str">
        <f t="shared" si="22"/>
        <v/>
      </c>
      <c r="H145" s="7" t="str">
        <f t="shared" si="23"/>
        <v/>
      </c>
      <c r="I145" s="7"/>
      <c r="J145" s="7"/>
      <c r="M145" s="5" t="str">
        <f t="shared" si="30"/>
        <v/>
      </c>
      <c r="N145" s="6" t="str">
        <f t="shared" si="31"/>
        <v/>
      </c>
      <c r="O145" s="7" t="str">
        <f t="shared" si="32"/>
        <v/>
      </c>
    </row>
    <row r="146" spans="1:15" x14ac:dyDescent="0.2">
      <c r="A146" s="5" t="str">
        <f t="shared" si="27"/>
        <v/>
      </c>
      <c r="B146" s="6" t="str">
        <f t="shared" si="28"/>
        <v/>
      </c>
      <c r="C146" s="7" t="str">
        <f t="shared" si="29"/>
        <v/>
      </c>
      <c r="D146" s="9">
        <v>0</v>
      </c>
      <c r="E146" s="7"/>
      <c r="F146" s="7" t="str">
        <f t="shared" si="21"/>
        <v/>
      </c>
      <c r="G146" s="7" t="str">
        <f t="shared" si="22"/>
        <v/>
      </c>
      <c r="H146" s="7" t="str">
        <f t="shared" si="23"/>
        <v/>
      </c>
      <c r="I146" s="7"/>
      <c r="J146" s="7"/>
      <c r="M146" s="5" t="str">
        <f t="shared" si="30"/>
        <v/>
      </c>
      <c r="N146" s="6" t="str">
        <f t="shared" si="31"/>
        <v/>
      </c>
      <c r="O146" s="7" t="str">
        <f t="shared" si="32"/>
        <v/>
      </c>
    </row>
    <row r="147" spans="1:15" x14ac:dyDescent="0.2">
      <c r="A147" s="5" t="str">
        <f t="shared" si="27"/>
        <v/>
      </c>
      <c r="B147" s="6" t="str">
        <f t="shared" si="28"/>
        <v/>
      </c>
      <c r="C147" s="7" t="str">
        <f t="shared" si="29"/>
        <v/>
      </c>
      <c r="D147" s="9">
        <v>0</v>
      </c>
      <c r="E147" s="7"/>
      <c r="F147" s="7" t="str">
        <f t="shared" si="21"/>
        <v/>
      </c>
      <c r="G147" s="7" t="str">
        <f t="shared" si="22"/>
        <v/>
      </c>
      <c r="H147" s="7" t="str">
        <f t="shared" si="23"/>
        <v/>
      </c>
      <c r="I147" s="7"/>
      <c r="J147" s="7"/>
      <c r="M147" s="5" t="str">
        <f t="shared" si="30"/>
        <v/>
      </c>
      <c r="N147" s="6" t="str">
        <f t="shared" si="31"/>
        <v/>
      </c>
      <c r="O147" s="7" t="str">
        <f t="shared" si="32"/>
        <v/>
      </c>
    </row>
    <row r="148" spans="1:15" x14ac:dyDescent="0.2">
      <c r="A148" s="5" t="str">
        <f t="shared" si="27"/>
        <v/>
      </c>
      <c r="B148" s="6" t="str">
        <f t="shared" si="28"/>
        <v/>
      </c>
      <c r="C148" s="7" t="str">
        <f t="shared" si="29"/>
        <v/>
      </c>
      <c r="D148" s="9">
        <v>0</v>
      </c>
      <c r="E148" s="7"/>
      <c r="F148" s="7" t="str">
        <f t="shared" si="21"/>
        <v/>
      </c>
      <c r="G148" s="7" t="str">
        <f t="shared" si="22"/>
        <v/>
      </c>
      <c r="H148" s="7" t="str">
        <f t="shared" si="23"/>
        <v/>
      </c>
      <c r="I148" s="7"/>
      <c r="J148" s="7"/>
      <c r="M148" s="5" t="str">
        <f t="shared" si="30"/>
        <v/>
      </c>
      <c r="N148" s="6" t="str">
        <f t="shared" si="31"/>
        <v/>
      </c>
      <c r="O148" s="7" t="str">
        <f t="shared" si="32"/>
        <v/>
      </c>
    </row>
    <row r="149" spans="1:15" x14ac:dyDescent="0.2">
      <c r="A149" s="5" t="str">
        <f t="shared" ref="A149:A176" si="33">IF(H148="","",IF(OR(A148&gt;=nper,ROUND(H148,2)&lt;=0),"",A148+1))</f>
        <v/>
      </c>
      <c r="B149" s="6" t="str">
        <f t="shared" ref="B149:B176" si="34">IF(A149="","",IF(periods_per_year=26,IF(A149=1,fpdate,B148+14),IF(periods_per_year=52,IF(A149=1,fpdate,B148+7),DATE(YEAR(fpdate),MONTH(fpdate)+(A149-1)*months_per_period,IF(periods_per_year=24,IF((1-MOD(A149,2))=1,DAY(fpdate)+14,DAY(fpdate)),DAY(fpdate))))))</f>
        <v/>
      </c>
      <c r="C149" s="7" t="str">
        <f t="shared" ref="C149:C176" si="35">IF(A149="","",IF(OR(A149=nper,payment&gt;ROUND((1+rate)*H148,2)),ROUND((1+rate)*H148,2),payment))</f>
        <v/>
      </c>
      <c r="D149" s="9">
        <v>0</v>
      </c>
      <c r="E149" s="7"/>
      <c r="F149" s="7" t="str">
        <f t="shared" ref="F149:F176" si="36">IF(A149="","",ROUND(rate*H148,2))</f>
        <v/>
      </c>
      <c r="G149" s="7" t="str">
        <f t="shared" ref="G149:G176" si="37">IF(A149="","",C149-F149+D149)</f>
        <v/>
      </c>
      <c r="H149" s="7" t="str">
        <f t="shared" ref="H149:H176" si="38">IF(A149="","",H148-G149)</f>
        <v/>
      </c>
      <c r="I149" s="7"/>
      <c r="J149" s="7"/>
      <c r="M149" s="5" t="str">
        <f t="shared" ref="M149:M176" si="39">IF(M148="","",IF(M148+1&gt;nper,"",M148+1))</f>
        <v/>
      </c>
      <c r="N149" s="6" t="str">
        <f t="shared" ref="N149:N176" si="40">IF(M149="","",IF(periods_per_year=26,IF(M149=1,fpdate,N148+14),IF(periods_per_year=52,IF(M149=1,fpdate,N148+7),DATE(YEAR(fpdate),MONTH(fpdate)+(M149-1)*months_per_period,IF(periods_per_year=24,IF((1-MOD(M149,2))=1,DAY(fpdate)+14,DAY(fpdate)),DAY(fpdate))))))</f>
        <v/>
      </c>
      <c r="O149" s="7" t="str">
        <f t="shared" ref="O149:O176" si="41">IF(M149="","",FV(rate,M149,payment,-loan_amount))</f>
        <v/>
      </c>
    </row>
    <row r="150" spans="1:15" x14ac:dyDescent="0.2">
      <c r="A150" s="5" t="str">
        <f t="shared" si="33"/>
        <v/>
      </c>
      <c r="B150" s="6" t="str">
        <f t="shared" si="34"/>
        <v/>
      </c>
      <c r="C150" s="7" t="str">
        <f t="shared" si="35"/>
        <v/>
      </c>
      <c r="D150" s="9">
        <v>0</v>
      </c>
      <c r="E150" s="7"/>
      <c r="F150" s="7" t="str">
        <f t="shared" si="36"/>
        <v/>
      </c>
      <c r="G150" s="7" t="str">
        <f t="shared" si="37"/>
        <v/>
      </c>
      <c r="H150" s="7" t="str">
        <f t="shared" si="38"/>
        <v/>
      </c>
      <c r="I150" s="7"/>
      <c r="J150" s="7"/>
      <c r="M150" s="5" t="str">
        <f t="shared" si="39"/>
        <v/>
      </c>
      <c r="N150" s="6" t="str">
        <f t="shared" si="40"/>
        <v/>
      </c>
      <c r="O150" s="7" t="str">
        <f t="shared" si="41"/>
        <v/>
      </c>
    </row>
    <row r="151" spans="1:15" x14ac:dyDescent="0.2">
      <c r="A151" s="5" t="str">
        <f t="shared" si="33"/>
        <v/>
      </c>
      <c r="B151" s="6" t="str">
        <f t="shared" si="34"/>
        <v/>
      </c>
      <c r="C151" s="7" t="str">
        <f t="shared" si="35"/>
        <v/>
      </c>
      <c r="D151" s="9">
        <v>0</v>
      </c>
      <c r="E151" s="7"/>
      <c r="F151" s="7" t="str">
        <f t="shared" si="36"/>
        <v/>
      </c>
      <c r="G151" s="7" t="str">
        <f t="shared" si="37"/>
        <v/>
      </c>
      <c r="H151" s="7" t="str">
        <f t="shared" si="38"/>
        <v/>
      </c>
      <c r="I151" s="7"/>
      <c r="J151" s="7"/>
      <c r="M151" s="5" t="str">
        <f t="shared" si="39"/>
        <v/>
      </c>
      <c r="N151" s="6" t="str">
        <f t="shared" si="40"/>
        <v/>
      </c>
      <c r="O151" s="7" t="str">
        <f t="shared" si="41"/>
        <v/>
      </c>
    </row>
    <row r="152" spans="1:15" x14ac:dyDescent="0.2">
      <c r="A152" s="5" t="str">
        <f t="shared" si="33"/>
        <v/>
      </c>
      <c r="B152" s="6" t="str">
        <f t="shared" si="34"/>
        <v/>
      </c>
      <c r="C152" s="7" t="str">
        <f t="shared" si="35"/>
        <v/>
      </c>
      <c r="D152" s="9">
        <v>0</v>
      </c>
      <c r="E152" s="7"/>
      <c r="F152" s="7" t="str">
        <f t="shared" si="36"/>
        <v/>
      </c>
      <c r="G152" s="7" t="str">
        <f t="shared" si="37"/>
        <v/>
      </c>
      <c r="H152" s="7" t="str">
        <f t="shared" si="38"/>
        <v/>
      </c>
      <c r="I152" s="7"/>
      <c r="J152" s="7"/>
      <c r="M152" s="5" t="str">
        <f t="shared" si="39"/>
        <v/>
      </c>
      <c r="N152" s="6" t="str">
        <f t="shared" si="40"/>
        <v/>
      </c>
      <c r="O152" s="7" t="str">
        <f t="shared" si="41"/>
        <v/>
      </c>
    </row>
    <row r="153" spans="1:15" x14ac:dyDescent="0.2">
      <c r="A153" s="5" t="str">
        <f t="shared" si="33"/>
        <v/>
      </c>
      <c r="B153" s="6" t="str">
        <f t="shared" si="34"/>
        <v/>
      </c>
      <c r="C153" s="7" t="str">
        <f t="shared" si="35"/>
        <v/>
      </c>
      <c r="D153" s="9">
        <v>0</v>
      </c>
      <c r="E153" s="7"/>
      <c r="F153" s="7" t="str">
        <f t="shared" si="36"/>
        <v/>
      </c>
      <c r="G153" s="7" t="str">
        <f t="shared" si="37"/>
        <v/>
      </c>
      <c r="H153" s="7" t="str">
        <f t="shared" si="38"/>
        <v/>
      </c>
      <c r="I153" s="7"/>
      <c r="J153" s="7"/>
      <c r="M153" s="5" t="str">
        <f t="shared" si="39"/>
        <v/>
      </c>
      <c r="N153" s="6" t="str">
        <f t="shared" si="40"/>
        <v/>
      </c>
      <c r="O153" s="7" t="str">
        <f t="shared" si="41"/>
        <v/>
      </c>
    </row>
    <row r="154" spans="1:15" x14ac:dyDescent="0.2">
      <c r="A154" s="5" t="str">
        <f t="shared" si="33"/>
        <v/>
      </c>
      <c r="B154" s="6" t="str">
        <f t="shared" si="34"/>
        <v/>
      </c>
      <c r="C154" s="7" t="str">
        <f t="shared" si="35"/>
        <v/>
      </c>
      <c r="D154" s="9">
        <v>0</v>
      </c>
      <c r="E154" s="7"/>
      <c r="F154" s="7" t="str">
        <f t="shared" si="36"/>
        <v/>
      </c>
      <c r="G154" s="7" t="str">
        <f t="shared" si="37"/>
        <v/>
      </c>
      <c r="H154" s="7" t="str">
        <f t="shared" si="38"/>
        <v/>
      </c>
      <c r="I154" s="7"/>
      <c r="J154" s="7"/>
      <c r="M154" s="5" t="str">
        <f t="shared" si="39"/>
        <v/>
      </c>
      <c r="N154" s="6" t="str">
        <f t="shared" si="40"/>
        <v/>
      </c>
      <c r="O154" s="7" t="str">
        <f t="shared" si="41"/>
        <v/>
      </c>
    </row>
    <row r="155" spans="1:15" x14ac:dyDescent="0.2">
      <c r="A155" s="5" t="str">
        <f t="shared" si="33"/>
        <v/>
      </c>
      <c r="B155" s="6" t="str">
        <f t="shared" si="34"/>
        <v/>
      </c>
      <c r="C155" s="7" t="str">
        <f t="shared" si="35"/>
        <v/>
      </c>
      <c r="D155" s="9">
        <v>0</v>
      </c>
      <c r="E155" s="7"/>
      <c r="F155" s="7" t="str">
        <f t="shared" si="36"/>
        <v/>
      </c>
      <c r="G155" s="7" t="str">
        <f t="shared" si="37"/>
        <v/>
      </c>
      <c r="H155" s="7" t="str">
        <f t="shared" si="38"/>
        <v/>
      </c>
      <c r="I155" s="7"/>
      <c r="J155" s="7"/>
      <c r="M155" s="5" t="str">
        <f t="shared" si="39"/>
        <v/>
      </c>
      <c r="N155" s="6" t="str">
        <f t="shared" si="40"/>
        <v/>
      </c>
      <c r="O155" s="7" t="str">
        <f t="shared" si="41"/>
        <v/>
      </c>
    </row>
    <row r="156" spans="1:15" x14ac:dyDescent="0.2">
      <c r="A156" s="5" t="str">
        <f t="shared" si="33"/>
        <v/>
      </c>
      <c r="B156" s="6" t="str">
        <f t="shared" si="34"/>
        <v/>
      </c>
      <c r="C156" s="7" t="str">
        <f t="shared" si="35"/>
        <v/>
      </c>
      <c r="D156" s="9">
        <v>0</v>
      </c>
      <c r="E156" s="7"/>
      <c r="F156" s="7" t="str">
        <f t="shared" si="36"/>
        <v/>
      </c>
      <c r="G156" s="7" t="str">
        <f t="shared" si="37"/>
        <v/>
      </c>
      <c r="H156" s="7" t="str">
        <f t="shared" si="38"/>
        <v/>
      </c>
      <c r="I156" s="7"/>
      <c r="J156" s="7"/>
      <c r="M156" s="5" t="str">
        <f t="shared" si="39"/>
        <v/>
      </c>
      <c r="N156" s="6" t="str">
        <f t="shared" si="40"/>
        <v/>
      </c>
      <c r="O156" s="7" t="str">
        <f t="shared" si="41"/>
        <v/>
      </c>
    </row>
    <row r="157" spans="1:15" x14ac:dyDescent="0.2">
      <c r="A157" s="5" t="str">
        <f t="shared" si="33"/>
        <v/>
      </c>
      <c r="B157" s="6" t="str">
        <f t="shared" si="34"/>
        <v/>
      </c>
      <c r="C157" s="7" t="str">
        <f t="shared" si="35"/>
        <v/>
      </c>
      <c r="D157" s="9">
        <v>0</v>
      </c>
      <c r="E157" s="7"/>
      <c r="F157" s="7" t="str">
        <f t="shared" si="36"/>
        <v/>
      </c>
      <c r="G157" s="7" t="str">
        <f t="shared" si="37"/>
        <v/>
      </c>
      <c r="H157" s="7" t="str">
        <f t="shared" si="38"/>
        <v/>
      </c>
      <c r="I157" s="7"/>
      <c r="J157" s="7"/>
      <c r="M157" s="5" t="str">
        <f t="shared" si="39"/>
        <v/>
      </c>
      <c r="N157" s="6" t="str">
        <f t="shared" si="40"/>
        <v/>
      </c>
      <c r="O157" s="7" t="str">
        <f t="shared" si="41"/>
        <v/>
      </c>
    </row>
    <row r="158" spans="1:15" x14ac:dyDescent="0.2">
      <c r="A158" s="5" t="str">
        <f t="shared" si="33"/>
        <v/>
      </c>
      <c r="B158" s="6" t="str">
        <f t="shared" si="34"/>
        <v/>
      </c>
      <c r="C158" s="7" t="str">
        <f t="shared" si="35"/>
        <v/>
      </c>
      <c r="D158" s="9">
        <v>0</v>
      </c>
      <c r="E158" s="7"/>
      <c r="F158" s="7" t="str">
        <f t="shared" si="36"/>
        <v/>
      </c>
      <c r="G158" s="7" t="str">
        <f t="shared" si="37"/>
        <v/>
      </c>
      <c r="H158" s="7" t="str">
        <f t="shared" si="38"/>
        <v/>
      </c>
      <c r="I158" s="7"/>
      <c r="J158" s="7"/>
      <c r="M158" s="5" t="str">
        <f t="shared" si="39"/>
        <v/>
      </c>
      <c r="N158" s="6" t="str">
        <f t="shared" si="40"/>
        <v/>
      </c>
      <c r="O158" s="7" t="str">
        <f t="shared" si="41"/>
        <v/>
      </c>
    </row>
    <row r="159" spans="1:15" x14ac:dyDescent="0.2">
      <c r="A159" s="5" t="str">
        <f t="shared" si="33"/>
        <v/>
      </c>
      <c r="B159" s="6" t="str">
        <f t="shared" si="34"/>
        <v/>
      </c>
      <c r="C159" s="7" t="str">
        <f t="shared" si="35"/>
        <v/>
      </c>
      <c r="D159" s="9">
        <v>0</v>
      </c>
      <c r="E159" s="7"/>
      <c r="F159" s="7" t="str">
        <f t="shared" si="36"/>
        <v/>
      </c>
      <c r="G159" s="7" t="str">
        <f t="shared" si="37"/>
        <v/>
      </c>
      <c r="H159" s="7" t="str">
        <f t="shared" si="38"/>
        <v/>
      </c>
      <c r="I159" s="7"/>
      <c r="J159" s="7"/>
      <c r="M159" s="5" t="str">
        <f t="shared" si="39"/>
        <v/>
      </c>
      <c r="N159" s="6" t="str">
        <f t="shared" si="40"/>
        <v/>
      </c>
      <c r="O159" s="7" t="str">
        <f t="shared" si="41"/>
        <v/>
      </c>
    </row>
    <row r="160" spans="1:15" x14ac:dyDescent="0.2">
      <c r="A160" s="5" t="str">
        <f t="shared" si="33"/>
        <v/>
      </c>
      <c r="B160" s="6" t="str">
        <f t="shared" si="34"/>
        <v/>
      </c>
      <c r="C160" s="7" t="str">
        <f t="shared" si="35"/>
        <v/>
      </c>
      <c r="D160" s="9">
        <v>0</v>
      </c>
      <c r="E160" s="7"/>
      <c r="F160" s="7" t="str">
        <f t="shared" si="36"/>
        <v/>
      </c>
      <c r="G160" s="7" t="str">
        <f t="shared" si="37"/>
        <v/>
      </c>
      <c r="H160" s="7" t="str">
        <f t="shared" si="38"/>
        <v/>
      </c>
      <c r="I160" s="7"/>
      <c r="J160" s="7"/>
      <c r="M160" s="5" t="str">
        <f t="shared" si="39"/>
        <v/>
      </c>
      <c r="N160" s="6" t="str">
        <f t="shared" si="40"/>
        <v/>
      </c>
      <c r="O160" s="7" t="str">
        <f t="shared" si="41"/>
        <v/>
      </c>
    </row>
    <row r="161" spans="1:15" x14ac:dyDescent="0.2">
      <c r="A161" s="5" t="str">
        <f t="shared" si="33"/>
        <v/>
      </c>
      <c r="B161" s="6" t="str">
        <f t="shared" si="34"/>
        <v/>
      </c>
      <c r="C161" s="7" t="str">
        <f t="shared" si="35"/>
        <v/>
      </c>
      <c r="D161" s="9">
        <v>0</v>
      </c>
      <c r="E161" s="7"/>
      <c r="F161" s="7" t="str">
        <f t="shared" si="36"/>
        <v/>
      </c>
      <c r="G161" s="7" t="str">
        <f t="shared" si="37"/>
        <v/>
      </c>
      <c r="H161" s="7" t="str">
        <f t="shared" si="38"/>
        <v/>
      </c>
      <c r="I161" s="7"/>
      <c r="J161" s="7"/>
      <c r="M161" s="5" t="str">
        <f t="shared" si="39"/>
        <v/>
      </c>
      <c r="N161" s="6" t="str">
        <f t="shared" si="40"/>
        <v/>
      </c>
      <c r="O161" s="7" t="str">
        <f t="shared" si="41"/>
        <v/>
      </c>
    </row>
    <row r="162" spans="1:15" x14ac:dyDescent="0.2">
      <c r="A162" s="5" t="str">
        <f t="shared" si="33"/>
        <v/>
      </c>
      <c r="B162" s="6" t="str">
        <f t="shared" si="34"/>
        <v/>
      </c>
      <c r="C162" s="7" t="str">
        <f t="shared" si="35"/>
        <v/>
      </c>
      <c r="D162" s="9">
        <v>0</v>
      </c>
      <c r="E162" s="7"/>
      <c r="F162" s="7" t="str">
        <f t="shared" si="36"/>
        <v/>
      </c>
      <c r="G162" s="7" t="str">
        <f t="shared" si="37"/>
        <v/>
      </c>
      <c r="H162" s="7" t="str">
        <f t="shared" si="38"/>
        <v/>
      </c>
      <c r="I162" s="7"/>
      <c r="J162" s="7"/>
      <c r="M162" s="5" t="str">
        <f t="shared" si="39"/>
        <v/>
      </c>
      <c r="N162" s="6" t="str">
        <f t="shared" si="40"/>
        <v/>
      </c>
      <c r="O162" s="7" t="str">
        <f t="shared" si="41"/>
        <v/>
      </c>
    </row>
    <row r="163" spans="1:15" x14ac:dyDescent="0.2">
      <c r="A163" s="5" t="str">
        <f t="shared" si="33"/>
        <v/>
      </c>
      <c r="B163" s="6" t="str">
        <f t="shared" si="34"/>
        <v/>
      </c>
      <c r="C163" s="7" t="str">
        <f t="shared" si="35"/>
        <v/>
      </c>
      <c r="D163" s="9">
        <v>0</v>
      </c>
      <c r="E163" s="7"/>
      <c r="F163" s="7" t="str">
        <f t="shared" si="36"/>
        <v/>
      </c>
      <c r="G163" s="7" t="str">
        <f t="shared" si="37"/>
        <v/>
      </c>
      <c r="H163" s="7" t="str">
        <f t="shared" si="38"/>
        <v/>
      </c>
      <c r="I163" s="7"/>
      <c r="J163" s="7"/>
      <c r="M163" s="5" t="str">
        <f t="shared" si="39"/>
        <v/>
      </c>
      <c r="N163" s="6" t="str">
        <f t="shared" si="40"/>
        <v/>
      </c>
      <c r="O163" s="7" t="str">
        <f t="shared" si="41"/>
        <v/>
      </c>
    </row>
    <row r="164" spans="1:15" x14ac:dyDescent="0.2">
      <c r="A164" s="5" t="str">
        <f t="shared" si="33"/>
        <v/>
      </c>
      <c r="B164" s="6" t="str">
        <f t="shared" si="34"/>
        <v/>
      </c>
      <c r="C164" s="7" t="str">
        <f t="shared" si="35"/>
        <v/>
      </c>
      <c r="D164" s="9">
        <v>0</v>
      </c>
      <c r="E164" s="7"/>
      <c r="F164" s="7" t="str">
        <f t="shared" si="36"/>
        <v/>
      </c>
      <c r="G164" s="7" t="str">
        <f t="shared" si="37"/>
        <v/>
      </c>
      <c r="H164" s="7" t="str">
        <f t="shared" si="38"/>
        <v/>
      </c>
      <c r="I164" s="7"/>
      <c r="J164" s="7"/>
      <c r="M164" s="5" t="str">
        <f t="shared" si="39"/>
        <v/>
      </c>
      <c r="N164" s="6" t="str">
        <f t="shared" si="40"/>
        <v/>
      </c>
      <c r="O164" s="7" t="str">
        <f t="shared" si="41"/>
        <v/>
      </c>
    </row>
    <row r="165" spans="1:15" x14ac:dyDescent="0.2">
      <c r="A165" s="5" t="str">
        <f t="shared" si="33"/>
        <v/>
      </c>
      <c r="B165" s="6" t="str">
        <f t="shared" si="34"/>
        <v/>
      </c>
      <c r="C165" s="7" t="str">
        <f t="shared" si="35"/>
        <v/>
      </c>
      <c r="D165" s="9">
        <v>0</v>
      </c>
      <c r="E165" s="7"/>
      <c r="F165" s="7" t="str">
        <f t="shared" si="36"/>
        <v/>
      </c>
      <c r="G165" s="7" t="str">
        <f t="shared" si="37"/>
        <v/>
      </c>
      <c r="H165" s="7" t="str">
        <f t="shared" si="38"/>
        <v/>
      </c>
      <c r="I165" s="7"/>
      <c r="J165" s="7"/>
      <c r="M165" s="5" t="str">
        <f t="shared" si="39"/>
        <v/>
      </c>
      <c r="N165" s="6" t="str">
        <f t="shared" si="40"/>
        <v/>
      </c>
      <c r="O165" s="7" t="str">
        <f t="shared" si="41"/>
        <v/>
      </c>
    </row>
    <row r="166" spans="1:15" x14ac:dyDescent="0.2">
      <c r="A166" s="5" t="str">
        <f t="shared" si="33"/>
        <v/>
      </c>
      <c r="B166" s="6" t="str">
        <f t="shared" si="34"/>
        <v/>
      </c>
      <c r="C166" s="7" t="str">
        <f t="shared" si="35"/>
        <v/>
      </c>
      <c r="D166" s="9">
        <v>0</v>
      </c>
      <c r="E166" s="7"/>
      <c r="F166" s="7" t="str">
        <f t="shared" si="36"/>
        <v/>
      </c>
      <c r="G166" s="7" t="str">
        <f t="shared" si="37"/>
        <v/>
      </c>
      <c r="H166" s="7" t="str">
        <f t="shared" si="38"/>
        <v/>
      </c>
      <c r="I166" s="7"/>
      <c r="J166" s="7"/>
      <c r="M166" s="5" t="str">
        <f t="shared" si="39"/>
        <v/>
      </c>
      <c r="N166" s="6" t="str">
        <f t="shared" si="40"/>
        <v/>
      </c>
      <c r="O166" s="7" t="str">
        <f t="shared" si="41"/>
        <v/>
      </c>
    </row>
    <row r="167" spans="1:15" x14ac:dyDescent="0.2">
      <c r="A167" s="5" t="str">
        <f t="shared" si="33"/>
        <v/>
      </c>
      <c r="B167" s="6" t="str">
        <f t="shared" si="34"/>
        <v/>
      </c>
      <c r="C167" s="7" t="str">
        <f t="shared" si="35"/>
        <v/>
      </c>
      <c r="D167" s="9">
        <v>0</v>
      </c>
      <c r="E167" s="7"/>
      <c r="F167" s="7" t="str">
        <f t="shared" si="36"/>
        <v/>
      </c>
      <c r="G167" s="7" t="str">
        <f t="shared" si="37"/>
        <v/>
      </c>
      <c r="H167" s="7" t="str">
        <f t="shared" si="38"/>
        <v/>
      </c>
      <c r="I167" s="7"/>
      <c r="J167" s="7"/>
      <c r="M167" s="5" t="str">
        <f t="shared" si="39"/>
        <v/>
      </c>
      <c r="N167" s="6" t="str">
        <f t="shared" si="40"/>
        <v/>
      </c>
      <c r="O167" s="7" t="str">
        <f t="shared" si="41"/>
        <v/>
      </c>
    </row>
    <row r="168" spans="1:15" x14ac:dyDescent="0.2">
      <c r="A168" s="5" t="str">
        <f t="shared" si="33"/>
        <v/>
      </c>
      <c r="B168" s="6" t="str">
        <f t="shared" si="34"/>
        <v/>
      </c>
      <c r="C168" s="7" t="str">
        <f t="shared" si="35"/>
        <v/>
      </c>
      <c r="D168" s="9">
        <v>0</v>
      </c>
      <c r="E168" s="7"/>
      <c r="F168" s="7" t="str">
        <f t="shared" si="36"/>
        <v/>
      </c>
      <c r="G168" s="7" t="str">
        <f t="shared" si="37"/>
        <v/>
      </c>
      <c r="H168" s="7" t="str">
        <f t="shared" si="38"/>
        <v/>
      </c>
      <c r="I168" s="7"/>
      <c r="J168" s="7"/>
      <c r="M168" s="5" t="str">
        <f t="shared" si="39"/>
        <v/>
      </c>
      <c r="N168" s="6" t="str">
        <f t="shared" si="40"/>
        <v/>
      </c>
      <c r="O168" s="7" t="str">
        <f t="shared" si="41"/>
        <v/>
      </c>
    </row>
    <row r="169" spans="1:15" x14ac:dyDescent="0.2">
      <c r="A169" s="5" t="str">
        <f t="shared" si="33"/>
        <v/>
      </c>
      <c r="B169" s="6" t="str">
        <f t="shared" si="34"/>
        <v/>
      </c>
      <c r="C169" s="7" t="str">
        <f t="shared" si="35"/>
        <v/>
      </c>
      <c r="D169" s="9">
        <v>0</v>
      </c>
      <c r="E169" s="7"/>
      <c r="F169" s="7" t="str">
        <f t="shared" si="36"/>
        <v/>
      </c>
      <c r="G169" s="7" t="str">
        <f t="shared" si="37"/>
        <v/>
      </c>
      <c r="H169" s="7" t="str">
        <f t="shared" si="38"/>
        <v/>
      </c>
      <c r="I169" s="7"/>
      <c r="J169" s="7"/>
      <c r="M169" s="5" t="str">
        <f t="shared" si="39"/>
        <v/>
      </c>
      <c r="N169" s="6" t="str">
        <f t="shared" si="40"/>
        <v/>
      </c>
      <c r="O169" s="7" t="str">
        <f t="shared" si="41"/>
        <v/>
      </c>
    </row>
    <row r="170" spans="1:15" x14ac:dyDescent="0.2">
      <c r="A170" s="5" t="str">
        <f t="shared" si="33"/>
        <v/>
      </c>
      <c r="B170" s="6" t="str">
        <f t="shared" si="34"/>
        <v/>
      </c>
      <c r="C170" s="7" t="str">
        <f t="shared" si="35"/>
        <v/>
      </c>
      <c r="D170" s="9">
        <v>0</v>
      </c>
      <c r="E170" s="7"/>
      <c r="F170" s="7" t="str">
        <f t="shared" si="36"/>
        <v/>
      </c>
      <c r="G170" s="7" t="str">
        <f t="shared" si="37"/>
        <v/>
      </c>
      <c r="H170" s="7" t="str">
        <f t="shared" si="38"/>
        <v/>
      </c>
      <c r="I170" s="7"/>
      <c r="J170" s="7"/>
      <c r="M170" s="5" t="str">
        <f t="shared" si="39"/>
        <v/>
      </c>
      <c r="N170" s="6" t="str">
        <f t="shared" si="40"/>
        <v/>
      </c>
      <c r="O170" s="7" t="str">
        <f t="shared" si="41"/>
        <v/>
      </c>
    </row>
    <row r="171" spans="1:15" x14ac:dyDescent="0.2">
      <c r="A171" s="5" t="str">
        <f t="shared" si="33"/>
        <v/>
      </c>
      <c r="B171" s="6" t="str">
        <f t="shared" si="34"/>
        <v/>
      </c>
      <c r="C171" s="7" t="str">
        <f t="shared" si="35"/>
        <v/>
      </c>
      <c r="D171" s="9">
        <v>0</v>
      </c>
      <c r="E171" s="7"/>
      <c r="F171" s="7" t="str">
        <f t="shared" si="36"/>
        <v/>
      </c>
      <c r="G171" s="7" t="str">
        <f t="shared" si="37"/>
        <v/>
      </c>
      <c r="H171" s="7" t="str">
        <f t="shared" si="38"/>
        <v/>
      </c>
      <c r="I171" s="7"/>
      <c r="J171" s="7"/>
      <c r="M171" s="5" t="str">
        <f t="shared" si="39"/>
        <v/>
      </c>
      <c r="N171" s="6" t="str">
        <f t="shared" si="40"/>
        <v/>
      </c>
      <c r="O171" s="7" t="str">
        <f t="shared" si="41"/>
        <v/>
      </c>
    </row>
    <row r="172" spans="1:15" x14ac:dyDescent="0.2">
      <c r="A172" s="5" t="str">
        <f t="shared" si="33"/>
        <v/>
      </c>
      <c r="B172" s="6" t="str">
        <f t="shared" si="34"/>
        <v/>
      </c>
      <c r="C172" s="7" t="str">
        <f t="shared" si="35"/>
        <v/>
      </c>
      <c r="D172" s="9">
        <v>0</v>
      </c>
      <c r="E172" s="7"/>
      <c r="F172" s="7" t="str">
        <f t="shared" si="36"/>
        <v/>
      </c>
      <c r="G172" s="7" t="str">
        <f t="shared" si="37"/>
        <v/>
      </c>
      <c r="H172" s="7" t="str">
        <f t="shared" si="38"/>
        <v/>
      </c>
      <c r="I172" s="7"/>
      <c r="J172" s="7"/>
      <c r="M172" s="5" t="str">
        <f t="shared" si="39"/>
        <v/>
      </c>
      <c r="N172" s="6" t="str">
        <f t="shared" si="40"/>
        <v/>
      </c>
      <c r="O172" s="7" t="str">
        <f t="shared" si="41"/>
        <v/>
      </c>
    </row>
    <row r="173" spans="1:15" x14ac:dyDescent="0.2">
      <c r="A173" s="5" t="str">
        <f t="shared" si="33"/>
        <v/>
      </c>
      <c r="B173" s="6" t="str">
        <f t="shared" si="34"/>
        <v/>
      </c>
      <c r="C173" s="7" t="str">
        <f t="shared" si="35"/>
        <v/>
      </c>
      <c r="D173" s="9">
        <v>0</v>
      </c>
      <c r="E173" s="7"/>
      <c r="F173" s="7" t="str">
        <f t="shared" si="36"/>
        <v/>
      </c>
      <c r="G173" s="7" t="str">
        <f t="shared" si="37"/>
        <v/>
      </c>
      <c r="H173" s="7" t="str">
        <f t="shared" si="38"/>
        <v/>
      </c>
      <c r="I173" s="7"/>
      <c r="J173" s="7"/>
      <c r="M173" s="5" t="str">
        <f t="shared" si="39"/>
        <v/>
      </c>
      <c r="N173" s="6" t="str">
        <f t="shared" si="40"/>
        <v/>
      </c>
      <c r="O173" s="7" t="str">
        <f t="shared" si="41"/>
        <v/>
      </c>
    </row>
    <row r="174" spans="1:15" x14ac:dyDescent="0.2">
      <c r="A174" s="5" t="str">
        <f t="shared" si="33"/>
        <v/>
      </c>
      <c r="B174" s="6" t="str">
        <f t="shared" si="34"/>
        <v/>
      </c>
      <c r="C174" s="7" t="str">
        <f t="shared" si="35"/>
        <v/>
      </c>
      <c r="D174" s="9">
        <v>0</v>
      </c>
      <c r="E174" s="7"/>
      <c r="F174" s="7" t="str">
        <f t="shared" si="36"/>
        <v/>
      </c>
      <c r="G174" s="7" t="str">
        <f t="shared" si="37"/>
        <v/>
      </c>
      <c r="H174" s="7" t="str">
        <f t="shared" si="38"/>
        <v/>
      </c>
      <c r="I174" s="7"/>
      <c r="J174" s="7"/>
      <c r="M174" s="5" t="str">
        <f t="shared" si="39"/>
        <v/>
      </c>
      <c r="N174" s="6" t="str">
        <f t="shared" si="40"/>
        <v/>
      </c>
      <c r="O174" s="7" t="str">
        <f t="shared" si="41"/>
        <v/>
      </c>
    </row>
    <row r="175" spans="1:15" x14ac:dyDescent="0.2">
      <c r="A175" s="5" t="str">
        <f t="shared" si="33"/>
        <v/>
      </c>
      <c r="B175" s="6" t="str">
        <f t="shared" si="34"/>
        <v/>
      </c>
      <c r="C175" s="7" t="str">
        <f t="shared" si="35"/>
        <v/>
      </c>
      <c r="D175" s="9">
        <v>0</v>
      </c>
      <c r="E175" s="7"/>
      <c r="F175" s="7" t="str">
        <f t="shared" si="36"/>
        <v/>
      </c>
      <c r="G175" s="7" t="str">
        <f t="shared" si="37"/>
        <v/>
      </c>
      <c r="H175" s="7" t="str">
        <f t="shared" si="38"/>
        <v/>
      </c>
      <c r="I175" s="7"/>
      <c r="J175" s="7"/>
      <c r="M175" s="5" t="str">
        <f t="shared" si="39"/>
        <v/>
      </c>
      <c r="N175" s="6" t="str">
        <f t="shared" si="40"/>
        <v/>
      </c>
      <c r="O175" s="7" t="str">
        <f t="shared" si="41"/>
        <v/>
      </c>
    </row>
    <row r="176" spans="1:15" x14ac:dyDescent="0.2">
      <c r="A176" s="5" t="str">
        <f t="shared" si="33"/>
        <v/>
      </c>
      <c r="B176" s="6" t="str">
        <f t="shared" si="34"/>
        <v/>
      </c>
      <c r="C176" s="7" t="str">
        <f t="shared" si="35"/>
        <v/>
      </c>
      <c r="D176" s="9">
        <v>0</v>
      </c>
      <c r="E176" s="7"/>
      <c r="F176" s="7" t="str">
        <f t="shared" si="36"/>
        <v/>
      </c>
      <c r="G176" s="7" t="str">
        <f t="shared" si="37"/>
        <v/>
      </c>
      <c r="H176" s="7" t="str">
        <f t="shared" si="38"/>
        <v/>
      </c>
      <c r="I176" s="7"/>
      <c r="J176" s="7"/>
      <c r="M176" s="5" t="str">
        <f t="shared" si="39"/>
        <v/>
      </c>
      <c r="N176" s="6" t="str">
        <f t="shared" si="40"/>
        <v/>
      </c>
      <c r="O176" s="7" t="str">
        <f t="shared" si="41"/>
        <v/>
      </c>
    </row>
    <row r="177" spans="1:13" x14ac:dyDescent="0.2">
      <c r="A177" s="1"/>
      <c r="B177" s="1"/>
      <c r="C177" s="1"/>
      <c r="D177" s="1"/>
      <c r="E177" s="12"/>
      <c r="F177" s="1"/>
      <c r="G177" s="11" t="s">
        <v>28</v>
      </c>
      <c r="H177" s="12" t="str">
        <f ca="1">IF(OFFSET(H177,-1,0,1,1)="","",ROUND(OFFSET(H177,-1,0,1,1),0))</f>
        <v/>
      </c>
      <c r="I177" s="12"/>
      <c r="J177" s="12"/>
      <c r="M177" s="1"/>
    </row>
    <row r="178" spans="1:13" x14ac:dyDescent="0.2">
      <c r="A178" s="23" t="s">
        <v>77</v>
      </c>
    </row>
  </sheetData>
  <mergeCells count="5">
    <mergeCell ref="K13:K15"/>
    <mergeCell ref="G1:H1"/>
    <mergeCell ref="G2:I2"/>
    <mergeCell ref="K2:K9"/>
    <mergeCell ref="K10:K11"/>
  </mergeCells>
  <phoneticPr fontId="2" type="noConversion"/>
  <conditionalFormatting sqref="B21:B176">
    <cfRule type="expression" dxfId="1" priority="2" stopIfTrue="1">
      <formula>($C21=$C$6+1)</formula>
    </cfRule>
  </conditionalFormatting>
  <conditionalFormatting sqref="N21:N176">
    <cfRule type="expression" dxfId="0" priority="1" stopIfTrue="1">
      <formula>($C21=$C$6+1)</formula>
    </cfRule>
  </conditionalFormatting>
  <dataValidations count="1">
    <dataValidation type="list" showInputMessage="1" showErrorMessage="1" sqref="D9">
      <formula1>$M$6:$M$12</formula1>
    </dataValidation>
  </dataValidations>
  <printOptions horizontalCentered="1"/>
  <pageMargins left="0.5" right="0.5" top="0.5" bottom="0.5" header="0.25" footer="0.25"/>
  <pageSetup orientation="portrait" r:id="rId1"/>
  <headerFooter differentFirst="1" scaleWithDoc="0">
    <oddFooter>&amp;L&amp;"Arial,Regular"&amp;8© 2007 Vertex42 LLC&amp;C&amp;"Arial,Regular"&amp;8https://www.vertex42.com/Calculators/auto-loan-calculator.html&amp;R&amp;"Arial,Regular"&amp;8&amp;P of &amp;N</oddFooter>
    <firstFooter>&amp;R&amp;"Arial,Regular"&amp;8&amp;P of &amp;N</first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showGridLines="0" topLeftCell="A28" workbookViewId="0">
      <selection activeCell="J23" sqref="J23"/>
    </sheetView>
  </sheetViews>
  <sheetFormatPr defaultRowHeight="12.75" x14ac:dyDescent="0.2"/>
  <cols>
    <col min="1" max="1" width="13.85546875" customWidth="1"/>
    <col min="2" max="4" width="10.7109375" customWidth="1"/>
    <col min="5" max="5" width="15.140625" customWidth="1"/>
    <col min="6" max="6" width="13.28515625" customWidth="1"/>
    <col min="7" max="7" width="11.7109375" customWidth="1"/>
    <col min="8" max="8" width="9.7109375" customWidth="1"/>
    <col min="9" max="9" width="3.7109375" customWidth="1"/>
    <col min="10" max="10" width="37.140625" customWidth="1"/>
  </cols>
  <sheetData>
    <row r="1" spans="1:10" s="2" customFormat="1" ht="30" customHeight="1" x14ac:dyDescent="0.2">
      <c r="A1" s="24" t="s">
        <v>74</v>
      </c>
      <c r="B1" s="25"/>
      <c r="C1" s="25"/>
      <c r="D1" s="25"/>
      <c r="E1" s="25"/>
      <c r="F1" s="25"/>
      <c r="G1" s="112"/>
      <c r="H1" s="112"/>
      <c r="J1" s="56" t="s">
        <v>85</v>
      </c>
    </row>
    <row r="2" spans="1:10" s="2" customFormat="1" ht="12.75" customHeight="1" x14ac:dyDescent="0.2">
      <c r="A2" s="37"/>
      <c r="B2" s="38"/>
      <c r="C2" s="39"/>
      <c r="D2" s="38"/>
      <c r="E2" s="38"/>
      <c r="F2" s="117"/>
      <c r="G2" s="118"/>
      <c r="H2" s="118"/>
      <c r="J2" s="119" t="s">
        <v>84</v>
      </c>
    </row>
    <row r="3" spans="1:10" s="2" customFormat="1" x14ac:dyDescent="0.2">
      <c r="A3" s="40"/>
      <c r="B3" s="38"/>
      <c r="C3" s="39"/>
      <c r="D3" s="38"/>
      <c r="E3" s="38"/>
      <c r="F3" s="41"/>
      <c r="G3" s="41"/>
      <c r="H3" s="41"/>
      <c r="J3" s="120"/>
    </row>
    <row r="4" spans="1:10" ht="12.75" customHeight="1" x14ac:dyDescent="0.2">
      <c r="A4" s="57"/>
      <c r="B4" s="42" t="s">
        <v>26</v>
      </c>
      <c r="C4" s="45">
        <f>loan_amount</f>
        <v>20000</v>
      </c>
      <c r="D4" s="38"/>
      <c r="E4" s="44" t="s">
        <v>2</v>
      </c>
      <c r="F4" s="47">
        <f>term</f>
        <v>3</v>
      </c>
      <c r="G4" s="38"/>
      <c r="H4" s="38"/>
      <c r="J4" s="120"/>
    </row>
    <row r="5" spans="1:10" x14ac:dyDescent="0.2">
      <c r="A5" s="57"/>
      <c r="B5" s="43" t="s">
        <v>1</v>
      </c>
      <c r="C5" s="46">
        <f>PaymentCalculator!D6</f>
        <v>8.5000000000000006E-2</v>
      </c>
      <c r="D5" s="38"/>
      <c r="E5" s="43" t="s">
        <v>4</v>
      </c>
      <c r="F5" s="48" t="str">
        <f>PaymentCalculator!D9</f>
        <v>Monthly</v>
      </c>
      <c r="G5" s="38"/>
      <c r="H5" s="38"/>
      <c r="J5" s="120"/>
    </row>
    <row r="6" spans="1:10" s="2" customFormat="1" x14ac:dyDescent="0.2">
      <c r="A6" s="40"/>
      <c r="B6" s="38"/>
      <c r="C6" s="39"/>
      <c r="D6" s="38"/>
      <c r="E6" s="38"/>
      <c r="F6" s="41"/>
      <c r="G6" s="41"/>
      <c r="H6" s="41"/>
      <c r="J6" s="120"/>
    </row>
    <row r="7" spans="1:10" x14ac:dyDescent="0.2">
      <c r="J7" s="120"/>
    </row>
    <row r="8" spans="1:10" ht="25.5" x14ac:dyDescent="0.2">
      <c r="A8" s="54" t="s">
        <v>1</v>
      </c>
      <c r="B8" s="55" t="s">
        <v>73</v>
      </c>
      <c r="C8" s="55" t="s">
        <v>16</v>
      </c>
      <c r="D8" s="55" t="s">
        <v>7</v>
      </c>
    </row>
    <row r="9" spans="1:10" x14ac:dyDescent="0.2">
      <c r="A9" s="50">
        <v>0.02</v>
      </c>
      <c r="B9" s="15">
        <f t="shared" ref="B9:B17" si="0">C9*nper</f>
        <v>20622.600000000002</v>
      </c>
      <c r="C9" s="15">
        <f t="shared" ref="C9:C17" si="1">ROUND(-PMT(A9/periods_per_year,nper,loan_amount),2)</f>
        <v>572.85</v>
      </c>
      <c r="D9" s="15">
        <f t="shared" ref="D9:D17" si="2">B9-loan_amount</f>
        <v>622.60000000000218</v>
      </c>
    </row>
    <row r="10" spans="1:10" ht="13.15" customHeight="1" x14ac:dyDescent="0.2">
      <c r="A10" s="50">
        <v>0.03</v>
      </c>
      <c r="B10" s="15">
        <f t="shared" si="0"/>
        <v>20938.32</v>
      </c>
      <c r="C10" s="15">
        <f t="shared" si="1"/>
        <v>581.62</v>
      </c>
      <c r="D10" s="15">
        <f t="shared" si="2"/>
        <v>938.31999999999971</v>
      </c>
      <c r="J10" s="115" t="s">
        <v>86</v>
      </c>
    </row>
    <row r="11" spans="1:10" x14ac:dyDescent="0.2">
      <c r="A11" s="50">
        <v>0.04</v>
      </c>
      <c r="B11" s="15">
        <f t="shared" si="0"/>
        <v>21257.279999999999</v>
      </c>
      <c r="C11" s="15">
        <f t="shared" si="1"/>
        <v>590.48</v>
      </c>
      <c r="D11" s="15">
        <f t="shared" si="2"/>
        <v>1257.2799999999988</v>
      </c>
      <c r="J11" s="115"/>
    </row>
    <row r="12" spans="1:10" x14ac:dyDescent="0.2">
      <c r="A12" s="50">
        <v>0.05</v>
      </c>
      <c r="B12" s="15">
        <f t="shared" si="0"/>
        <v>21579.119999999999</v>
      </c>
      <c r="C12" s="15">
        <f t="shared" si="1"/>
        <v>599.41999999999996</v>
      </c>
      <c r="D12" s="15">
        <f t="shared" si="2"/>
        <v>1579.119999999999</v>
      </c>
      <c r="J12" s="115"/>
    </row>
    <row r="13" spans="1:10" x14ac:dyDescent="0.2">
      <c r="A13" s="50">
        <v>0.06</v>
      </c>
      <c r="B13" s="15">
        <f t="shared" si="0"/>
        <v>21903.840000000004</v>
      </c>
      <c r="C13" s="15">
        <f t="shared" si="1"/>
        <v>608.44000000000005</v>
      </c>
      <c r="D13" s="15">
        <f t="shared" si="2"/>
        <v>1903.8400000000038</v>
      </c>
    </row>
    <row r="14" spans="1:10" x14ac:dyDescent="0.2">
      <c r="A14" s="50">
        <v>7.0000000000000007E-2</v>
      </c>
      <c r="B14" s="15">
        <f t="shared" si="0"/>
        <v>22231.439999999999</v>
      </c>
      <c r="C14" s="15">
        <f t="shared" si="1"/>
        <v>617.54</v>
      </c>
      <c r="D14" s="15">
        <f t="shared" si="2"/>
        <v>2231.4399999999987</v>
      </c>
    </row>
    <row r="15" spans="1:10" x14ac:dyDescent="0.2">
      <c r="A15" s="50">
        <v>0.08</v>
      </c>
      <c r="B15" s="15">
        <f t="shared" si="0"/>
        <v>22562.28</v>
      </c>
      <c r="C15" s="15">
        <f t="shared" si="1"/>
        <v>626.73</v>
      </c>
      <c r="D15" s="15">
        <f t="shared" si="2"/>
        <v>2562.2799999999988</v>
      </c>
    </row>
    <row r="16" spans="1:10" x14ac:dyDescent="0.2">
      <c r="A16" s="50">
        <v>0.09</v>
      </c>
      <c r="B16" s="15">
        <f t="shared" si="0"/>
        <v>22895.64</v>
      </c>
      <c r="C16" s="15">
        <f t="shared" si="1"/>
        <v>635.99</v>
      </c>
      <c r="D16" s="15">
        <f t="shared" si="2"/>
        <v>2895.6399999999994</v>
      </c>
    </row>
    <row r="17" spans="1:4" x14ac:dyDescent="0.2">
      <c r="A17" s="50">
        <v>0.1</v>
      </c>
      <c r="B17" s="15">
        <f t="shared" si="0"/>
        <v>23232.240000000002</v>
      </c>
      <c r="C17" s="15">
        <f t="shared" si="1"/>
        <v>645.34</v>
      </c>
      <c r="D17" s="15">
        <f t="shared" si="2"/>
        <v>3232.2400000000016</v>
      </c>
    </row>
    <row r="20" spans="1:4" ht="25.5" x14ac:dyDescent="0.2">
      <c r="A20" s="54" t="s">
        <v>75</v>
      </c>
      <c r="B20" s="55" t="s">
        <v>73</v>
      </c>
      <c r="C20" s="55" t="s">
        <v>16</v>
      </c>
      <c r="D20" s="55" t="s">
        <v>7</v>
      </c>
    </row>
    <row r="21" spans="1:4" x14ac:dyDescent="0.2">
      <c r="A21" s="51">
        <v>6</v>
      </c>
      <c r="B21" s="15">
        <f t="shared" ref="B21:B32" si="3">C21*A21</f>
        <v>20498.760000000002</v>
      </c>
      <c r="C21" s="15">
        <f>ROUND(-PMT(PaymentCalculator!$D$6/periods_per_year,A21,loan_amount),2)</f>
        <v>3416.46</v>
      </c>
      <c r="D21" s="15">
        <f t="shared" ref="D21:D32" si="4">B21-loan_amount</f>
        <v>498.76000000000204</v>
      </c>
    </row>
    <row r="22" spans="1:4" x14ac:dyDescent="0.2">
      <c r="A22" s="52">
        <f t="shared" ref="A22:A32" si="5">A21+6</f>
        <v>12</v>
      </c>
      <c r="B22" s="15">
        <f t="shared" si="3"/>
        <v>20932.800000000003</v>
      </c>
      <c r="C22" s="15">
        <f>ROUND(-PMT(PaymentCalculator!$D$6/periods_per_year,A22,loan_amount),2)</f>
        <v>1744.4</v>
      </c>
      <c r="D22" s="15">
        <f t="shared" si="4"/>
        <v>932.80000000000291</v>
      </c>
    </row>
    <row r="23" spans="1:4" x14ac:dyDescent="0.2">
      <c r="A23" s="52">
        <f t="shared" si="5"/>
        <v>18</v>
      </c>
      <c r="B23" s="15">
        <f t="shared" si="3"/>
        <v>21372.659999999996</v>
      </c>
      <c r="C23" s="15">
        <f>ROUND(-PMT(PaymentCalculator!$D$6/periods_per_year,A23,loan_amount),2)</f>
        <v>1187.3699999999999</v>
      </c>
      <c r="D23" s="15">
        <f t="shared" si="4"/>
        <v>1372.6599999999962</v>
      </c>
    </row>
    <row r="24" spans="1:4" x14ac:dyDescent="0.2">
      <c r="A24" s="52">
        <f t="shared" si="5"/>
        <v>24</v>
      </c>
      <c r="B24" s="15">
        <f t="shared" si="3"/>
        <v>21818.639999999999</v>
      </c>
      <c r="C24" s="15">
        <f>ROUND(-PMT(PaymentCalculator!$D$6/periods_per_year,A24,loan_amount),2)</f>
        <v>909.11</v>
      </c>
      <c r="D24" s="15">
        <f t="shared" si="4"/>
        <v>1818.6399999999994</v>
      </c>
    </row>
    <row r="25" spans="1:4" x14ac:dyDescent="0.2">
      <c r="A25" s="52">
        <f t="shared" si="5"/>
        <v>30</v>
      </c>
      <c r="B25" s="15">
        <f t="shared" si="3"/>
        <v>22270.799999999999</v>
      </c>
      <c r="C25" s="15">
        <f>ROUND(-PMT(PaymentCalculator!$D$6/periods_per_year,A25,loan_amount),2)</f>
        <v>742.36</v>
      </c>
      <c r="D25" s="15">
        <f t="shared" si="4"/>
        <v>2270.7999999999993</v>
      </c>
    </row>
    <row r="26" spans="1:4" x14ac:dyDescent="0.2">
      <c r="A26" s="52">
        <f t="shared" si="5"/>
        <v>36</v>
      </c>
      <c r="B26" s="15">
        <f t="shared" si="3"/>
        <v>22728.600000000002</v>
      </c>
      <c r="C26" s="15">
        <f>ROUND(-PMT(PaymentCalculator!$D$6/periods_per_year,A26,loan_amount),2)</f>
        <v>631.35</v>
      </c>
      <c r="D26" s="15">
        <f t="shared" si="4"/>
        <v>2728.6000000000022</v>
      </c>
    </row>
    <row r="27" spans="1:4" x14ac:dyDescent="0.2">
      <c r="A27" s="52">
        <f t="shared" si="5"/>
        <v>42</v>
      </c>
      <c r="B27" s="15">
        <f t="shared" si="3"/>
        <v>23192.400000000001</v>
      </c>
      <c r="C27" s="15">
        <f>ROUND(-PMT(PaymentCalculator!$D$6/periods_per_year,A27,loan_amount),2)</f>
        <v>552.20000000000005</v>
      </c>
      <c r="D27" s="15">
        <f t="shared" si="4"/>
        <v>3192.4000000000015</v>
      </c>
    </row>
    <row r="28" spans="1:4" x14ac:dyDescent="0.2">
      <c r="A28" s="52">
        <f t="shared" si="5"/>
        <v>48</v>
      </c>
      <c r="B28" s="15">
        <f t="shared" si="3"/>
        <v>23662.560000000001</v>
      </c>
      <c r="C28" s="15">
        <f>ROUND(-PMT(PaymentCalculator!$D$6/periods_per_year,A28,loan_amount),2)</f>
        <v>492.97</v>
      </c>
      <c r="D28" s="15">
        <f t="shared" si="4"/>
        <v>3662.5600000000013</v>
      </c>
    </row>
    <row r="29" spans="1:4" x14ac:dyDescent="0.2">
      <c r="A29" s="52">
        <f t="shared" si="5"/>
        <v>54</v>
      </c>
      <c r="B29" s="15">
        <f t="shared" si="3"/>
        <v>24138</v>
      </c>
      <c r="C29" s="15">
        <f>ROUND(-PMT(PaymentCalculator!$D$6/periods_per_year,A29,loan_amount),2)</f>
        <v>447</v>
      </c>
      <c r="D29" s="15">
        <f t="shared" si="4"/>
        <v>4138</v>
      </c>
    </row>
    <row r="30" spans="1:4" x14ac:dyDescent="0.2">
      <c r="A30" s="52">
        <f t="shared" si="5"/>
        <v>60</v>
      </c>
      <c r="B30" s="15">
        <f t="shared" si="3"/>
        <v>24619.8</v>
      </c>
      <c r="C30" s="15">
        <f>ROUND(-PMT(PaymentCalculator!$D$6/periods_per_year,A30,loan_amount),2)</f>
        <v>410.33</v>
      </c>
      <c r="D30" s="15">
        <f t="shared" si="4"/>
        <v>4619.7999999999993</v>
      </c>
    </row>
    <row r="31" spans="1:4" x14ac:dyDescent="0.2">
      <c r="A31" s="52">
        <f t="shared" si="5"/>
        <v>66</v>
      </c>
      <c r="B31" s="15">
        <f t="shared" si="3"/>
        <v>25107.72</v>
      </c>
      <c r="C31" s="15">
        <f>ROUND(-PMT(PaymentCalculator!$D$6/periods_per_year,A31,loan_amount),2)</f>
        <v>380.42</v>
      </c>
      <c r="D31" s="15">
        <f t="shared" si="4"/>
        <v>5107.7200000000012</v>
      </c>
    </row>
    <row r="32" spans="1:4" x14ac:dyDescent="0.2">
      <c r="A32" s="52">
        <f t="shared" si="5"/>
        <v>72</v>
      </c>
      <c r="B32" s="15">
        <f t="shared" si="3"/>
        <v>25601.040000000001</v>
      </c>
      <c r="C32" s="15">
        <f>ROUND(-PMT(PaymentCalculator!$D$6/periods_per_year,A32,loan_amount),2)</f>
        <v>355.57</v>
      </c>
      <c r="D32" s="15">
        <f t="shared" si="4"/>
        <v>5601.0400000000009</v>
      </c>
    </row>
    <row r="35" spans="1:4" ht="25.5" x14ac:dyDescent="0.2">
      <c r="A35" s="54" t="s">
        <v>71</v>
      </c>
      <c r="B35" s="55" t="s">
        <v>70</v>
      </c>
      <c r="C35" s="55" t="s">
        <v>16</v>
      </c>
      <c r="D35" s="55" t="s">
        <v>7</v>
      </c>
    </row>
    <row r="36" spans="1:4" x14ac:dyDescent="0.2">
      <c r="A36" s="53">
        <v>0</v>
      </c>
      <c r="B36" s="15">
        <f t="shared" ref="B36:B41" si="6">loan_amount-A36</f>
        <v>20000</v>
      </c>
      <c r="C36" s="15">
        <f>ROUND(-PMT(PaymentCalculator!$D$6/periods_per_year,nper,loan_amount-A36),2)</f>
        <v>631.35</v>
      </c>
      <c r="D36" s="15">
        <f t="shared" ref="D36:D41" si="7">C36*nper-(loan_amount-A36)</f>
        <v>2728.6000000000022</v>
      </c>
    </row>
    <row r="37" spans="1:4" x14ac:dyDescent="0.2">
      <c r="A37" s="53">
        <f>0.05*loan_amount</f>
        <v>1000</v>
      </c>
      <c r="B37" s="15">
        <f t="shared" si="6"/>
        <v>19000</v>
      </c>
      <c r="C37" s="15">
        <f>ROUND(-PMT(PaymentCalculator!$D$6/periods_per_year,nper,loan_amount-A37),2)</f>
        <v>599.78</v>
      </c>
      <c r="D37" s="15">
        <f t="shared" si="7"/>
        <v>2592.0799999999981</v>
      </c>
    </row>
    <row r="38" spans="1:4" x14ac:dyDescent="0.2">
      <c r="A38" s="53">
        <f>0.1*loan_amount</f>
        <v>2000</v>
      </c>
      <c r="B38" s="15">
        <f t="shared" si="6"/>
        <v>18000</v>
      </c>
      <c r="C38" s="15">
        <f>ROUND(-PMT(PaymentCalculator!$D$6/periods_per_year,nper,loan_amount-A38),2)</f>
        <v>568.22</v>
      </c>
      <c r="D38" s="15">
        <f t="shared" si="7"/>
        <v>2455.9200000000019</v>
      </c>
    </row>
    <row r="39" spans="1:4" x14ac:dyDescent="0.2">
      <c r="A39" s="53">
        <f>0.15*loan_amount</f>
        <v>3000</v>
      </c>
      <c r="B39" s="15">
        <f t="shared" si="6"/>
        <v>17000</v>
      </c>
      <c r="C39" s="15">
        <f>ROUND(-PMT(PaymentCalculator!$D$6/periods_per_year,nper,loan_amount-A39),2)</f>
        <v>536.65</v>
      </c>
      <c r="D39" s="15">
        <f t="shared" si="7"/>
        <v>2319.3999999999978</v>
      </c>
    </row>
    <row r="40" spans="1:4" x14ac:dyDescent="0.2">
      <c r="A40" s="53">
        <f>0.2*loan_amount</f>
        <v>4000</v>
      </c>
      <c r="B40" s="15">
        <f t="shared" si="6"/>
        <v>16000</v>
      </c>
      <c r="C40" s="15">
        <f>ROUND(-PMT(PaymentCalculator!$D$6/periods_per_year,nper,loan_amount-A40),2)</f>
        <v>505.08</v>
      </c>
      <c r="D40" s="15">
        <f t="shared" si="7"/>
        <v>2182.880000000001</v>
      </c>
    </row>
    <row r="41" spans="1:4" x14ac:dyDescent="0.2">
      <c r="A41" s="53">
        <f>0.25*loan_amount</f>
        <v>5000</v>
      </c>
      <c r="B41" s="15">
        <f t="shared" si="6"/>
        <v>15000</v>
      </c>
      <c r="C41" s="15">
        <f>ROUND(-PMT(PaymentCalculator!$D$6/periods_per_year,nper,loan_amount-A41),2)</f>
        <v>473.51</v>
      </c>
      <c r="D41" s="15">
        <f t="shared" si="7"/>
        <v>2046.3600000000006</v>
      </c>
    </row>
    <row r="43" spans="1:4" x14ac:dyDescent="0.2">
      <c r="A43" s="23" t="s">
        <v>77</v>
      </c>
    </row>
    <row r="47" spans="1:4" ht="25.5" x14ac:dyDescent="0.2">
      <c r="A47" s="21" t="s">
        <v>17</v>
      </c>
      <c r="B47" s="22" t="s">
        <v>75</v>
      </c>
      <c r="C47" s="22" t="s">
        <v>16</v>
      </c>
      <c r="D47" s="22" t="s">
        <v>7</v>
      </c>
    </row>
    <row r="48" spans="1:4" x14ac:dyDescent="0.2">
      <c r="A48" s="18" t="s">
        <v>19</v>
      </c>
      <c r="B48" s="13">
        <f>1*term</f>
        <v>3</v>
      </c>
      <c r="C48" s="14">
        <f>ROUND(-PMT(PaymentCalculator!D6/1,term*1,loan_amount),2)</f>
        <v>7830.78</v>
      </c>
      <c r="D48" s="14">
        <f t="shared" ref="D48:D54" si="8">B48*C48-loan_amount</f>
        <v>3492.34</v>
      </c>
    </row>
    <row r="49" spans="1:6" x14ac:dyDescent="0.2">
      <c r="A49" s="19" t="s">
        <v>20</v>
      </c>
      <c r="B49" s="13">
        <f>2*term</f>
        <v>6</v>
      </c>
      <c r="C49" s="14">
        <f>ROUND(-PMT(PaymentCalculator!D6/2,term*2,loan_amount),2)</f>
        <v>3846.35</v>
      </c>
      <c r="D49" s="14">
        <f t="shared" si="8"/>
        <v>3078.0999999999985</v>
      </c>
      <c r="F49" s="23" t="s">
        <v>77</v>
      </c>
    </row>
    <row r="50" spans="1:6" x14ac:dyDescent="0.2">
      <c r="A50" s="19" t="s">
        <v>21</v>
      </c>
      <c r="B50" s="13">
        <f>4*term</f>
        <v>12</v>
      </c>
      <c r="C50" s="14">
        <f>ROUND(-PMT(PaymentCalculator!D6/4,term*4,loan_amount),2)</f>
        <v>1905.74</v>
      </c>
      <c r="D50" s="14">
        <f t="shared" si="8"/>
        <v>2868.880000000001</v>
      </c>
    </row>
    <row r="51" spans="1:6" x14ac:dyDescent="0.2">
      <c r="A51" s="19" t="s">
        <v>22</v>
      </c>
      <c r="B51" s="13">
        <f>6*term</f>
        <v>18</v>
      </c>
      <c r="C51" s="14">
        <f>ROUND(-PMT(PaymentCalculator!D6/6,term*6,loan_amount),2)</f>
        <v>1266.5999999999999</v>
      </c>
      <c r="D51" s="14">
        <f t="shared" si="8"/>
        <v>2798.7999999999993</v>
      </c>
    </row>
    <row r="52" spans="1:6" x14ac:dyDescent="0.2">
      <c r="A52" s="20" t="s">
        <v>23</v>
      </c>
      <c r="B52" s="17">
        <f>12*term</f>
        <v>36</v>
      </c>
      <c r="C52" s="16">
        <f>ROUND(-PMT(PaymentCalculator!D6/12,term*12,loan_amount),2)</f>
        <v>631.35</v>
      </c>
      <c r="D52" s="14">
        <f t="shared" si="8"/>
        <v>2728.6000000000022</v>
      </c>
    </row>
    <row r="53" spans="1:6" x14ac:dyDescent="0.2">
      <c r="A53" s="19" t="s">
        <v>24</v>
      </c>
      <c r="B53" s="13">
        <f>24*term</f>
        <v>72</v>
      </c>
      <c r="C53" s="14">
        <f>ROUND(-PMT(PaymentCalculator!D6/24,term*24,loan_amount),2)</f>
        <v>315.19</v>
      </c>
      <c r="D53" s="14">
        <f t="shared" si="8"/>
        <v>2693.6800000000003</v>
      </c>
    </row>
    <row r="54" spans="1:6" x14ac:dyDescent="0.2">
      <c r="A54" s="18" t="s">
        <v>18</v>
      </c>
      <c r="B54" s="13">
        <f>26*term</f>
        <v>78</v>
      </c>
      <c r="C54" s="14">
        <f>ROUND(-PMT(PaymentCalculator!$D$6/26,term*26,loan_amount),2)</f>
        <v>290.91000000000003</v>
      </c>
      <c r="D54" s="14">
        <f t="shared" si="8"/>
        <v>2690.9800000000032</v>
      </c>
    </row>
  </sheetData>
  <mergeCells count="4">
    <mergeCell ref="G1:H1"/>
    <mergeCell ref="F2:H2"/>
    <mergeCell ref="J10:J12"/>
    <mergeCell ref="J2:J7"/>
  </mergeCells>
  <phoneticPr fontId="5" type="noConversion"/>
  <printOptions horizontalCentered="1"/>
  <pageMargins left="0.5" right="0.5" top="0.5" bottom="0.5" header="0.5" footer="0.25"/>
  <pageSetup scale="89" orientation="portrait" r:id="rId1"/>
  <headerFooter scaleWithDoc="0">
    <oddFooter>&amp;L&amp;"Arial,Regular"&amp;8https://www.vertex42.com/Calculators/auto-loan-calculator.html&amp;R&amp;"Arial,Regular"&amp;8© 2007 Vertex42 LLC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AutoLoanCalculator</vt:lpstr>
      <vt:lpstr>PaymentCalculator</vt:lpstr>
      <vt:lpstr>LoanComparisons</vt:lpstr>
      <vt:lpstr>fpdate</vt:lpstr>
      <vt:lpstr>loan_amount</vt:lpstr>
      <vt:lpstr>months_per_period</vt:lpstr>
      <vt:lpstr>nper</vt:lpstr>
      <vt:lpstr>payment</vt:lpstr>
      <vt:lpstr>periods_per_year</vt:lpstr>
      <vt:lpstr>AutoLoanCalculator!Print_Area</vt:lpstr>
      <vt:lpstr>LoanComparisons!Print_Area</vt:lpstr>
      <vt:lpstr>PaymentCalculator!Print_Titles</vt:lpstr>
      <vt:lpstr>rate</vt:lpstr>
      <vt:lpst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Auto Loan Calculator</dc:title>
  <dc:creator>Vertex42.com</dc:creator>
  <dc:description>(c) 2007-2019 Vertex42 LLC. All Rights Reserved.</dc:description>
  <cp:lastModifiedBy>Ghasli @ Ghazali, Mohamad Amir</cp:lastModifiedBy>
  <cp:lastPrinted>2019-07-31T19:43:08Z</cp:lastPrinted>
  <dcterms:created xsi:type="dcterms:W3CDTF">2005-04-07T23:28:21Z</dcterms:created>
  <dcterms:modified xsi:type="dcterms:W3CDTF">2022-11-14T16:50:22Z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2007-2019 Vertex42 LLC</vt:lpwstr>
  </property>
  <property fmtid="{D5CDD505-2E9C-101B-9397-08002B2CF9AE}" pid="3" name="Source">
    <vt:lpwstr>https://www.vertex42.com/Calculators/auto-loan-calculator.html</vt:lpwstr>
  </property>
  <property fmtid="{D5CDD505-2E9C-101B-9397-08002B2CF9AE}" pid="4" name="Version">
    <vt:lpwstr>1.3.0</vt:lpwstr>
  </property>
</Properties>
</file>