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vmlDrawing1.vml" ContentType="application/vnd.openxmlformats-officedocument.vmlDrawing"/>
  <Override PartName="/xl/comments1.xml" ContentType="application/vnd.openxmlformats-officedocument.spreadsheetml.comments+xml"/>
  <Override PartName="/xl/worksheets/sheet2.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8800" windowHeight="12210" activeTab="0"/>
  </bookViews>
  <sheets>
    <sheet name="Retirement" sheetId="1" r:id="rId1"/>
    <sheet name="Help" sheetId="2" r:id="rId2"/>
  </sheets>
  <definedNames>
    <definedName name="_xlnm.Print_Area" localSheetId="0">Retirement!$A$1:$K$204</definedName>
    <definedName name="_xlnm.Print_Titles" localSheetId="0">Retirement!$46:$46</definedName>
    <definedName name="solver_adj" localSheetId="0" hidden="1">Retirement!$E$14,Retirement!#REF!,Retirement!$K$13</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Retirement!#REF!</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2015-2020 Vertex42 LLC"</definedName>
    <definedName name="vertex42_id" hidden="1">"retirement-calculator.xlsx"</definedName>
    <definedName name="vertex42_title" hidden="1">"Retirement Calculator"</definedName>
  </definedNames>
  <calcPr calcId="162913"/>
</workbook>
</file>

<file path=xl/comments1.xml><?xml version="1.0" encoding="utf-8"?>
<comments xmlns="http://schemas.openxmlformats.org/spreadsheetml/2006/main">
  <authors>
    <author>Vertex42</author>
    <author>Vertex42.com Templates</author>
    <author>Jon</author>
  </authors>
  <commentList>
    <comment ref="J8" authorId="0">
      <text>
        <r>
          <rPr>
            <b/>
            <sz val="9"/>
            <color indexed="81"/>
            <rFont val="Tahoma"/>
            <family val="2"/>
          </rPr>
          <t xml:space="preserve">Present Value of Lifestyle (Salary) at Retirement:</t>
        </r>
        <r>
          <rPr>
            <sz val="9"/>
            <color indexed="81"/>
            <rFont val="Tahoma"/>
            <family val="2"/>
          </rPr>
          <t xml:space="preserve">
This is where you estimate the lifestyle you want at retirement by specifying the salary that you think you could live on. Estimate how much you will want to live on at retirement based on today's value of money.</t>
        </r>
      </text>
    </comment>
    <comment ref="D9" authorId="1">
      <text>
        <r>
          <rPr>
            <b/>
            <sz val="9"/>
            <color indexed="81"/>
            <rFont val="Tahoma"/>
            <family val="2"/>
          </rPr>
          <t xml:space="preserve">Age at Retirement:</t>
        </r>
        <r>
          <rPr>
            <sz val="9"/>
            <color indexed="81"/>
            <rFont val="Tahoma"/>
            <family val="2"/>
          </rPr>
          <t xml:space="preserve">
This value must be greater than or equal to the Current Age.</t>
        </r>
      </text>
    </comment>
    <comment ref="D10" authorId="0">
      <text>
        <r>
          <rPr>
            <b/>
            <sz val="9"/>
            <color indexed="81"/>
            <rFont val="Tahoma"/>
            <family val="2"/>
          </rPr>
          <t xml:space="preserve">Years to Pay Out (After Retirement):</t>
        </r>
        <r>
          <rPr>
            <sz val="9"/>
            <color indexed="81"/>
            <rFont val="Tahoma"/>
            <family val="2"/>
          </rPr>
          <t xml:space="preserve">
Enter the number of years that you want your retirement nest egg to last.</t>
        </r>
      </text>
    </comment>
    <comment ref="J10" authorId="0">
      <text>
        <r>
          <rPr>
            <b/>
            <sz val="9"/>
            <color indexed="81"/>
            <rFont val="Tahoma"/>
            <family val="2"/>
          </rPr>
          <t xml:space="preserve">Total Needed at Retirement:</t>
        </r>
        <r>
          <rPr>
            <sz val="9"/>
            <color indexed="81"/>
            <rFont val="Tahoma"/>
            <family val="2"/>
          </rPr>
          <t xml:space="preserve">
This is an annuity calculation that estimates the total nest egg that you need at retirement to last through the years of retirement based on the chosen lifestyle. Your current savings, future retirement income, and other assets are subtracted from this value to determine the additional savings needed.</t>
        </r>
      </text>
    </comment>
    <comment ref="D11" authorId="0">
      <text>
        <r>
          <rPr>
            <b/>
            <sz val="9"/>
            <color indexed="81"/>
            <rFont val="Tahoma"/>
            <family val="2"/>
          </rPr>
          <t xml:space="preserve">Years to Invest (Before Retirement):</t>
        </r>
        <r>
          <rPr>
            <sz val="9"/>
            <color indexed="81"/>
            <rFont val="Tahoma"/>
            <family val="2"/>
          </rPr>
          <t xml:space="preserve">
This calculator assumes that you will be contributing the same percentage of your salary each year until retirement. However, you can override this formula to enter a specific number of years to invest.</t>
        </r>
      </text>
    </comment>
    <comment ref="J13" authorId="0">
      <text>
        <r>
          <rPr>
            <b/>
            <sz val="9"/>
            <color indexed="81"/>
            <rFont val="Tahoma"/>
            <family val="2"/>
          </rPr>
          <t xml:space="preserve">Current Retirement Savings:</t>
        </r>
        <r>
          <rPr>
            <sz val="9"/>
            <color indexed="81"/>
            <rFont val="Tahoma"/>
            <family val="2"/>
          </rPr>
          <t xml:space="preserve">
Enter the total amount currently in your retirement savings. This will affect how much more you will need to save to reach your goal.</t>
        </r>
      </text>
    </comment>
    <comment ref="D14" authorId="0">
      <text>
        <r>
          <rPr>
            <b/>
            <sz val="9"/>
            <color indexed="81"/>
            <rFont val="Tahoma"/>
            <family val="2"/>
          </rPr>
          <t xml:space="preserve">Return Before Retirement:</t>
        </r>
        <r>
          <rPr>
            <sz val="9"/>
            <color indexed="81"/>
            <rFont val="Tahoma"/>
            <family val="2"/>
          </rPr>
          <t xml:space="preserve">
This calculator lets you specify a different rate of return on your investments before and after retirement. Rates are impossible to predict, but usually your retirement nest egg is made up of lower risk investments as you approach retirement and during retirement. So, choosing a higher rate for the accumulation period and a lower rate after retirement provides a more realistic estimate than if you expected to get a high rate of return even during retirement.</t>
        </r>
      </text>
    </comment>
    <comment ref="J14" authorId="0">
      <text>
        <r>
          <rPr>
            <b/>
            <sz val="9"/>
            <color indexed="81"/>
            <rFont val="Tahoma"/>
            <family val="2"/>
          </rPr>
          <t xml:space="preserve">Value of Current Savings at Retirement:</t>
        </r>
        <r>
          <rPr>
            <sz val="9"/>
            <color indexed="81"/>
            <rFont val="Tahoma"/>
            <family val="2"/>
          </rPr>
          <t xml:space="preserve">
This takes into account your Current Retirement Balance growing until retirement (based on the Return During Accumulation rate).</t>
        </r>
      </text>
    </comment>
    <comment ref="D16" authorId="0">
      <text>
        <r>
          <rPr>
            <b/>
            <sz val="9"/>
            <color indexed="81"/>
            <rFont val="Tahoma"/>
            <family val="2"/>
          </rPr>
          <t xml:space="preserve">Annual Rate of Inflation:</t>
        </r>
        <r>
          <rPr>
            <sz val="9"/>
            <color indexed="81"/>
            <rFont val="Tahoma"/>
            <family val="2"/>
          </rPr>
          <t xml:space="preserve">
This is another number that is impossible to predict accurately, but do your best to enter a reasonable rate. If you enter a rate that is too low, you will underestimate how much you should be saving.</t>
        </r>
      </text>
    </comment>
    <comment ref="J18" authorId="1">
      <text>
        <r>
          <rPr>
            <b/>
            <sz val="9"/>
            <color indexed="81"/>
            <rFont val="Tahoma"/>
            <family val="2"/>
          </rPr>
          <t xml:space="preserve">Age When Income Begins:</t>
        </r>
        <r>
          <rPr>
            <sz val="9"/>
            <color indexed="81"/>
            <rFont val="Tahoma"/>
            <family val="2"/>
          </rPr>
          <t xml:space="preserve">
For this calculator, "Age When Income Begins" must be equal to or greater than the "Age at Retirement"</t>
        </r>
      </text>
    </comment>
    <comment ref="J21" authorId="1">
      <text>
        <r>
          <rPr>
            <b/>
            <sz val="9"/>
            <color indexed="81"/>
            <rFont val="Tahoma"/>
            <family val="2"/>
          </rPr>
          <t xml:space="preserve">Years of Retirement Income:</t>
        </r>
        <r>
          <rPr>
            <sz val="9"/>
            <color indexed="81"/>
            <rFont val="Tahoma"/>
            <family val="2"/>
          </rPr>
          <t xml:space="preserve">
The calculator assumes that after retirement income begins, it continues until the final year of payout. If the retirement income payouts should end sooner than that, you can overwrite the formula in this cell.</t>
        </r>
      </text>
    </comment>
    <comment ref="J22" authorId="0">
      <text>
        <r>
          <rPr>
            <b/>
            <sz val="9"/>
            <color indexed="81"/>
            <rFont val="Tahoma"/>
            <family val="2"/>
          </rPr>
          <t xml:space="preserve">Lump-Sum Value of Future Retirement Income at Retirement:</t>
        </r>
        <r>
          <rPr>
            <sz val="9"/>
            <color indexed="81"/>
            <rFont val="Tahoma"/>
            <family val="2"/>
          </rPr>
          <t xml:space="preserve">
This is a present-value calculation for the future retirement income. It is subtracted from the Total Needed at Retirement to determine the Additional Savings Required.</t>
        </r>
      </text>
    </comment>
    <comment ref="D23" authorId="0">
      <text>
        <r>
          <rPr>
            <b/>
            <sz val="9"/>
            <color indexed="81"/>
            <rFont val="Tahoma"/>
            <family val="2"/>
          </rPr>
          <t xml:space="preserve">Percent of Salary to Contribute to Savings:</t>
        </r>
        <r>
          <rPr>
            <sz val="9"/>
            <color indexed="81"/>
            <rFont val="Tahoma"/>
            <family val="2"/>
          </rPr>
          <t xml:space="preserve">
The amount that you will save is based on a percentage of your salary. That way, as your salary increases, the amount that you will save will also increase.
</t>
        </r>
        <r>
          <rPr>
            <b/>
            <sz val="9"/>
            <color indexed="81"/>
            <rFont val="Tahoma"/>
            <family val="2"/>
          </rPr>
          <t xml:space="preserve">Note: </t>
        </r>
        <r>
          <rPr>
            <sz val="9"/>
            <color indexed="81"/>
            <rFont val="Tahoma"/>
            <family val="2"/>
          </rPr>
          <t xml:space="preserve">Your annual savings contributions in this spreadsheet are not limited to just 401k contributions. However, if you specify an Employer Match, the spreadsheet assumes you are first contributing to a 401k, and then any savings beyond the 401k limits are placed in other accounts.</t>
        </r>
      </text>
    </comment>
    <comment ref="D24" authorId="0">
      <text>
        <r>
          <rPr>
            <b/>
            <sz val="9"/>
            <color indexed="81"/>
            <rFont val="Tahoma"/>
            <family val="2"/>
          </rPr>
          <t xml:space="preserve">Employer 401(k) Match:</t>
        </r>
        <r>
          <rPr>
            <sz val="9"/>
            <color indexed="81"/>
            <rFont val="Tahoma"/>
            <family val="2"/>
          </rPr>
          <t xml:space="preserve">
This is the amount your employer contributes, specified as a percentage of your contribution.
For example, if you contributed $1000 and your company matches 50%, then your company would contribute $500.</t>
        </r>
      </text>
    </comment>
    <comment ref="D25" authorId="0">
      <text>
        <r>
          <rPr>
            <b/>
            <sz val="9"/>
            <color indexed="81"/>
            <rFont val="Tahoma"/>
            <family val="2"/>
          </rPr>
          <t xml:space="preserve">Maximum Employee % Contribution (for Employer Match)</t>
        </r>
        <r>
          <rPr>
            <sz val="9"/>
            <color indexed="81"/>
            <rFont val="Tahoma"/>
            <family val="2"/>
          </rPr>
          <t xml:space="preserve">
There is usually a limit to how much of your contribution your company will match. The maximum employer contribution is often stated as "50% match up to 6% of your salary." For this spreadsheet, this should be interpreted as "</t>
        </r>
        <r>
          <rPr>
            <b/>
            <sz val="9"/>
            <color indexed="81"/>
            <rFont val="Tahoma"/>
            <family val="2"/>
          </rPr>
          <t xml:space="preserve">50% match up to an employee contribution of 6%.</t>
        </r>
        <r>
          <rPr>
            <sz val="9"/>
            <color indexed="81"/>
            <rFont val="Tahoma"/>
            <family val="2"/>
          </rPr>
          <t xml:space="preserve">" This means that the company stops matching the rest of your contribution if you contribute more than 6% of your salary.</t>
        </r>
      </text>
    </comment>
    <comment ref="J25" authorId="0">
      <text>
        <r>
          <rPr>
            <b/>
            <sz val="9"/>
            <color indexed="81"/>
            <rFont val="Tahoma"/>
            <family val="2"/>
          </rPr>
          <t xml:space="preserve">Other Assets:</t>
        </r>
        <r>
          <rPr>
            <sz val="9"/>
            <color indexed="81"/>
            <rFont val="Tahoma"/>
            <family val="2"/>
          </rPr>
          <t xml:space="preserve">
You can include the value of other assets such as a lump-sum pension or assets that can be sold to help fund your retirement. The value entered here should be the value at the time of retirement. For the sake of estimation and calculation, this amount is included as an Annual Contribution during the last year before you retire.</t>
        </r>
      </text>
    </comment>
    <comment ref="J27" authorId="1">
      <text>
        <r>
          <rPr>
            <b/>
            <sz val="9"/>
            <color indexed="81"/>
            <rFont val="Tahoma"/>
            <family val="2"/>
          </rPr>
          <t xml:space="preserve">Shortfall:</t>
        </r>
        <r>
          <rPr>
            <sz val="9"/>
            <color indexed="81"/>
            <rFont val="Tahoma"/>
            <family val="2"/>
          </rPr>
          <t xml:space="preserve">
If the value for the shortfall is a negative number, that means there is actually a surplus instead of a shortfall. Be careful how you interpret the results. Some results might not apply in the case of a negative shortfall.</t>
        </r>
      </text>
    </comment>
    <comment ref="D28" authorId="0">
      <text>
        <r>
          <rPr>
            <b/>
            <sz val="9"/>
            <color indexed="81"/>
            <rFont val="Tahoma"/>
            <family val="2"/>
          </rPr>
          <t xml:space="preserve">Current Annual Contributions:</t>
        </r>
        <r>
          <rPr>
            <sz val="9"/>
            <color indexed="81"/>
            <rFont val="Tahoma"/>
            <family val="2"/>
          </rPr>
          <t xml:space="preserve">
This amount includes both the % of your salary that you are saving as well as the employer match. This amount grows with your increase in salary. That is taken into account in the calculation of the Value of Current Contributions at Retirement.</t>
        </r>
      </text>
    </comment>
    <comment ref="J29" authorId="2">
      <text>
        <r>
          <rPr>
            <b/>
            <sz val="9"/>
            <color indexed="81"/>
            <rFont val="Tahoma"/>
            <family val="2"/>
          </rPr>
          <t xml:space="preserve">Additional Annual Contribution:</t>
        </r>
        <r>
          <rPr>
            <sz val="9"/>
            <color indexed="81"/>
            <rFont val="Tahoma"/>
            <family val="2"/>
          </rPr>
          <t xml:space="preserve">
This is the amount that needs to be added to the "Current Annual Contributions" to meet the retirement goal. It is calculated based on the amount you will need to have saved, the rate or return during the accumulation period, the number of years you will be accumulating, and the percentage increase in your salary.
</t>
        </r>
        <r>
          <rPr>
            <b/>
            <sz val="9"/>
            <color indexed="81"/>
            <rFont val="Tahoma"/>
            <family val="2"/>
          </rPr>
          <t xml:space="preserve">Note:</t>
        </r>
        <r>
          <rPr>
            <sz val="9"/>
            <color indexed="81"/>
            <rFont val="Tahoma"/>
            <family val="2"/>
          </rPr>
          <t xml:space="preserve"> If this value is (negative) it would mean less needs to be saved, but be careful how you interpret the results.</t>
        </r>
      </text>
    </comment>
    <comment ref="J30" authorId="2">
      <text>
        <r>
          <rPr>
            <b/>
            <sz val="9"/>
            <color indexed="81"/>
            <rFont val="Tahoma"/>
            <family val="2"/>
          </rPr>
          <t xml:space="preserve">% of Salary to Contribute:</t>
        </r>
        <r>
          <rPr>
            <sz val="9"/>
            <color indexed="81"/>
            <rFont val="Tahoma"/>
            <family val="2"/>
          </rPr>
          <t xml:space="preserve">
Taking into account your employer match, this is the percentage of your salary that you would need to contribute to savings to reach the retirement goal.</t>
        </r>
      </text>
    </comment>
    <comment ref="D42" authorId="2">
      <text>
        <r>
          <rPr>
            <b/>
            <sz val="8"/>
            <color indexed="81"/>
            <rFont val="Tahoma"/>
            <family val="2"/>
          </rPr>
          <t xml:space="preserve">Payments Per Year:</t>
        </r>
        <r>
          <rPr>
            <sz val="8"/>
            <color indexed="81"/>
            <rFont val="Tahoma"/>
            <family val="2"/>
          </rPr>
          <t xml:space="preserve">
The number of contributions per year. This would normally be based on how often you receive your paycheck.
12 = Monthly
24 = Semi-Monthly (twice per month)
26 = Bi-Weekly (once every two weeks)
52 = Weekly
13 = Every 4 weeks
4 = Quarterly (four times per year)
2 = Semi-annually
1 = Annually</t>
        </r>
      </text>
    </comment>
    <comment ref="D43" authorId="2">
      <text>
        <r>
          <rPr>
            <b/>
            <sz val="8"/>
            <color indexed="81"/>
            <rFont val="Tahoma"/>
            <family val="2"/>
          </rPr>
          <t xml:space="preserve">Withdrawal Payment Type:</t>
        </r>
        <r>
          <rPr>
            <sz val="8"/>
            <color indexed="81"/>
            <rFont val="Tahoma"/>
            <family val="2"/>
          </rPr>
          <t xml:space="preserve">
0 : End of Period
1 : Beginning of Period</t>
        </r>
      </text>
    </comment>
    <comment ref="C46" authorId="2">
      <text>
        <r>
          <rPr>
            <b/>
            <sz val="9"/>
            <color indexed="81"/>
            <rFont val="Tahoma"/>
            <family val="2"/>
          </rPr>
          <t xml:space="preserve">Expected Annual Return:</t>
        </r>
        <r>
          <rPr>
            <sz val="9"/>
            <color indexed="81"/>
            <rFont val="Tahoma"/>
            <family val="2"/>
          </rPr>
          <t xml:space="preserve">
To vary the rate over time, delete the formulas in this column and either add your own formulas or enter the rates manually.
</t>
        </r>
        <r>
          <rPr>
            <b/>
            <sz val="9"/>
            <color indexed="81"/>
            <rFont val="Tahoma"/>
            <family val="2"/>
          </rPr>
          <t xml:space="preserve">Random Rate Formula:</t>
        </r>
        <r>
          <rPr>
            <sz val="9"/>
            <color indexed="81"/>
            <rFont val="Tahoma"/>
            <family val="2"/>
          </rPr>
          <t xml:space="preserve">
Random rate between -2% and 10%
  =min+RAND()*(max-min)
  where min=-0.02 and max=0.10
</t>
        </r>
      </text>
    </comment>
    <comment ref="D46" authorId="2">
      <text>
        <r>
          <rPr>
            <b/>
            <sz val="9"/>
            <color indexed="81"/>
            <rFont val="Tahoma"/>
            <family val="2"/>
          </rPr>
          <t xml:space="preserve">Salary Basis:</t>
        </r>
        <r>
          <rPr>
            <sz val="9"/>
            <color indexed="81"/>
            <rFont val="Tahoma"/>
            <family val="2"/>
          </rPr>
          <t xml:space="preserve">
The contributions for each year are based on the salary in this column. This also represents what you want to live on during retirement. The increase in Salary basis after retirement is based on inflation.</t>
        </r>
      </text>
    </comment>
    <comment ref="E46" authorId="2">
      <text>
        <r>
          <rPr>
            <b/>
            <sz val="9"/>
            <color indexed="81"/>
            <rFont val="Tahoma"/>
            <family val="2"/>
          </rPr>
          <t xml:space="preserve">Your Annual Contribution:</t>
        </r>
        <r>
          <rPr>
            <sz val="9"/>
            <color indexed="81"/>
            <rFont val="Tahoma"/>
            <family val="2"/>
          </rPr>
          <t xml:space="preserve">
This calculator does not take into account whether your contributions are pre-tax or after tax (i.e. a Roth 401k). At retirement, the amount you've entered for "Value of Other Assets at Retirement" is included in the column.</t>
        </r>
      </text>
    </comment>
    <comment ref="G46" authorId="2">
      <text>
        <r>
          <rPr>
            <b/>
            <sz val="9"/>
            <color indexed="81"/>
            <rFont val="Tahoma"/>
            <family val="2"/>
          </rPr>
          <t xml:space="preserve">Annual Employer Match</t>
        </r>
        <r>
          <rPr>
            <sz val="9"/>
            <color indexed="81"/>
            <rFont val="Tahoma"/>
            <family val="2"/>
          </rPr>
          <t xml:space="preserve">
The amount your employer matches during the year.</t>
        </r>
      </text>
    </comment>
    <comment ref="H46" authorId="2">
      <text>
        <r>
          <rPr>
            <b/>
            <sz val="9"/>
            <color indexed="81"/>
            <rFont val="Tahoma"/>
            <family val="2"/>
          </rPr>
          <t xml:space="preserve">Retirement Income:</t>
        </r>
        <r>
          <rPr>
            <sz val="9"/>
            <color indexed="81"/>
            <rFont val="Tahoma"/>
            <family val="2"/>
          </rPr>
          <t xml:space="preserve">
This column, if it is not zero, reduces the amount of the payout. In this calculator, retirement income is NOT added to the Balance and Interest is NOT earned on retirement income.</t>
        </r>
      </text>
    </comment>
    <comment ref="I46" authorId="2">
      <text>
        <r>
          <rPr>
            <b/>
            <sz val="9"/>
            <color indexed="81"/>
            <rFont val="Tahoma"/>
            <family val="2"/>
          </rPr>
          <t xml:space="preserve">Payout (Withdrawal):</t>
        </r>
        <r>
          <rPr>
            <sz val="9"/>
            <color indexed="81"/>
            <rFont val="Tahoma"/>
            <family val="2"/>
          </rPr>
          <t xml:space="preserve">
This is the amount paid or withdrawn at the end of the specified period. If you have entered an Annual Inflation Rate, you will notice that the Payout increases each period.</t>
        </r>
      </text>
    </comment>
    <comment ref="J46" authorId="2">
      <text>
        <r>
          <rPr>
            <b/>
            <i/>
            <sz val="9"/>
            <color indexed="81"/>
            <rFont val="Tahoma"/>
            <family val="2"/>
          </rPr>
          <t xml:space="preserve">Estimated</t>
        </r>
        <r>
          <rPr>
            <b/>
            <sz val="9"/>
            <color indexed="81"/>
            <rFont val="Tahoma"/>
            <family val="2"/>
          </rPr>
          <t xml:space="preserve"> Annual Investment Return:</t>
        </r>
        <r>
          <rPr>
            <sz val="9"/>
            <color indexed="81"/>
            <rFont val="Tahoma"/>
            <family val="2"/>
          </rPr>
          <t xml:space="preserve">
This is an </t>
        </r>
        <r>
          <rPr>
            <i/>
            <sz val="9"/>
            <color indexed="81"/>
            <rFont val="Tahoma"/>
            <family val="2"/>
          </rPr>
          <t xml:space="preserve">estimate</t>
        </r>
        <r>
          <rPr>
            <sz val="9"/>
            <color indexed="81"/>
            <rFont val="Tahoma"/>
            <family val="2"/>
          </rPr>
          <t xml:space="preserve"> of the increase in your retirement account based on the rates of return you have assumed before and after retirement. Actual returns are impossible to predict accurately.
This is calculated using the FV formula to account for the fact that the contributions are made in equal payments each time you receive your paycheck (the effect of compounding is fairly minimal compared to fluctuations in actual rates of return).</t>
        </r>
      </text>
    </comment>
    <comment ref="K46" authorId="2">
      <text>
        <r>
          <rPr>
            <sz val="8"/>
            <color indexed="81"/>
            <rFont val="Tahoma"/>
            <family val="2"/>
          </rPr>
          <t xml:space="preserve">Balance at the </t>
        </r>
        <r>
          <rPr>
            <b/>
            <sz val="8"/>
            <color indexed="81"/>
            <rFont val="Tahoma"/>
            <family val="2"/>
          </rPr>
          <t xml:space="preserve">end of the year</t>
        </r>
        <r>
          <rPr>
            <sz val="8"/>
            <color indexed="81"/>
            <rFont val="Tahoma"/>
            <family val="2"/>
          </rPr>
          <t xml:space="preserve">.</t>
        </r>
      </text>
    </comment>
  </commentList>
</comments>
</file>

<file path=xl/sharedStrings.xml><?xml version="1.0" encoding="utf-8"?>
<sst xmlns="http://schemas.openxmlformats.org/spreadsheetml/2006/main" uniqueCount="88" count="88">
  <si>
    <t>Balance</t>
  </si>
  <si>
    <t>Current Age</t>
  </si>
  <si>
    <t>Age at Retirement</t>
  </si>
  <si>
    <t>Year</t>
  </si>
  <si>
    <t>Age</t>
  </si>
  <si>
    <t>Annual Increase in Salary</t>
  </si>
  <si>
    <r>
      <t xml:space="preserve">Annual </t>
    </r>
    <r>
      <rPr>
        <sz val="10"/>
        <rFont val="Tahoma"/>
      </rPr>
      <t>Contribution</t>
    </r>
  </si>
  <si>
    <t>Payments Per Year</t>
  </si>
  <si>
    <t>Return</t>
  </si>
  <si>
    <t>Current Annual Salary</t>
  </si>
  <si>
    <t>HELP</t>
  </si>
  <si>
    <t>Retirement Calculator</t>
  </si>
  <si>
    <r>
      <t xml:space="preserve">Payout
</t>
    </r>
    <r>
      <rPr>
        <sz val="10"/>
        <rFont val="Arial"/>
      </rPr>
      <t>(Withdrawal)</t>
    </r>
  </si>
  <si>
    <t>Annual Inflation</t>
  </si>
  <si>
    <r>
      <t xml:space="preserve">Salary </t>
    </r>
    <r>
      <rPr>
        <sz val="10"/>
        <rFont val="Tahoma"/>
      </rPr>
      <t>Basis</t>
    </r>
  </si>
  <si>
    <t>Withdrawal Payment Type</t>
  </si>
  <si>
    <r>
      <t xml:space="preserve">Interest
</t>
    </r>
    <r>
      <rPr>
        <sz val="10"/>
        <rFont val="Tahoma"/>
      </rPr>
      <t>Earned</t>
    </r>
  </si>
  <si>
    <t>Current Retirement Savings</t>
  </si>
  <si>
    <t>• Taxes and IRS Contribution Limits are NOT</t>
  </si>
  <si>
    <t>Notes</t>
  </si>
  <si>
    <r>
      <t xml:space="preserve">Employer </t>
    </r>
    <r>
      <rPr>
        <sz val="10"/>
        <rFont val="Tahoma"/>
      </rPr>
      <t>Match</t>
    </r>
  </si>
  <si>
    <t>factored into any of these calculations. For example,</t>
  </si>
  <si>
    <t>• Mandatory disbursements and other regulations</t>
  </si>
  <si>
    <r>
      <rPr>
        <b/>
        <sz val="10"/>
        <rFont val="Tahoma"/>
      </rPr>
      <t>Note:</t>
    </r>
    <r>
      <rPr>
        <sz val="10"/>
        <rFont val="Tahoma"/>
      </rPr>
      <t xml:space="preserve"> Results are only estimates!</t>
    </r>
  </si>
  <si>
    <t>• Results are only rough estimates, largely because</t>
  </si>
  <si>
    <t>of uncertainty in the rates of return, inflation, future</t>
  </si>
  <si>
    <t>Inflation-Adjusted Salary at Retirement</t>
  </si>
  <si>
    <t>Age When Income Begins</t>
  </si>
  <si>
    <t>Initial Annual Amount</t>
  </si>
  <si>
    <t>Retirement Income</t>
  </si>
  <si>
    <t>Annual Increase</t>
  </si>
  <si>
    <t>Other Retirement Income</t>
  </si>
  <si>
    <t>Retirement Needs</t>
  </si>
  <si>
    <t>are not accounted for.</t>
  </si>
  <si>
    <t>Only edit the cells with the light gray border.</t>
  </si>
  <si>
    <t>Instructions</t>
  </si>
  <si>
    <t>Value of Current Savings at Retirement</t>
  </si>
  <si>
    <t>Return After Retirement</t>
  </si>
  <si>
    <t>Value of Other Income at Retirement</t>
  </si>
  <si>
    <t>Rates and Inflation</t>
  </si>
  <si>
    <t>Current Retirement Savings Balance</t>
  </si>
  <si>
    <t>Shortfall at Retirement</t>
  </si>
  <si>
    <t>Plan Information</t>
  </si>
  <si>
    <t>Total % of Salary to Save to Reach Goal</t>
  </si>
  <si>
    <t>Total Needed to Fund 100% of Retirement</t>
  </si>
  <si>
    <t>Value of Other Assets at Retirement</t>
  </si>
  <si>
    <t>Salary</t>
  </si>
  <si>
    <t>Salary During Retirement (in today's dollars)</t>
  </si>
  <si>
    <t>Additional Annual Savings Needed</t>
  </si>
  <si>
    <t>Value of Current Contributions at Retirement</t>
  </si>
  <si>
    <t>Current Savings Contributions</t>
  </si>
  <si>
    <t>Series 1</t>
  </si>
  <si>
    <t>Series 2</t>
  </si>
  <si>
    <t>[Address, City, ST ZIP]</t>
  </si>
  <si>
    <t>Prepared By:</t>
  </si>
  <si>
    <t>Phone: [Phone]</t>
  </si>
  <si>
    <t>For:</t>
  </si>
  <si>
    <t>Email: [Email]</t>
  </si>
  <si>
    <t>Years Payout Will Last Without Additional Savings</t>
  </si>
  <si>
    <t>• This spreadsheet and its contents should not be</t>
  </si>
  <si>
    <t>construed as professional financial advice. It may not</t>
  </si>
  <si>
    <t>be suitable for your specific situation.</t>
  </si>
  <si>
    <r>
      <rPr>
        <b/>
        <sz val="11"/>
        <color rgb="FF000000"/>
        <rFont val="Arial"/>
      </rPr>
      <t>Caution:</t>
    </r>
    <r>
      <rPr>
        <sz val="11"/>
        <color rgb="FF000000"/>
        <rFont val="Arial"/>
      </rPr>
      <t xml:space="preserve"> There are a large number of assumptions and estimations made by this calculator, so be careful how you use and interpret the results. For example, it does not take into account current debt, taxes, large future expenses or disasters, etc.</t>
    </r>
  </si>
  <si>
    <t>This calculator is designed to estimate how much of your salary you may need to contribute towards savings to meet your retirement goal. It was designed based on combining a 401(k) savings calculator with a retirement withdrawal calculator.</t>
  </si>
  <si>
    <t>Read the cell comments to learn more about some of the inputs and outputs.</t>
  </si>
  <si>
    <t>Due to the complexity of retirement planning, you may need to seek help from a certified professional to understand how a calculator like this works and its limitations.</t>
  </si>
  <si>
    <t>this calculator does not take into account whether</t>
  </si>
  <si>
    <t>contributions are pre-tax as in a traditional IRA or</t>
  </si>
  <si>
    <t>post-tax as in a ROTH IRA.</t>
  </si>
  <si>
    <t>salary, willpower to continue saving, unexpected life</t>
  </si>
  <si>
    <t>events, and other assumptions.</t>
  </si>
  <si>
    <t>LOGO</t>
  </si>
  <si>
    <t>Est. Inv. Return</t>
  </si>
  <si>
    <t>◄ Unhide rows 3-6 for a "Prepared By" header</t>
  </si>
  <si>
    <t>% of Salary Saved</t>
  </si>
  <si>
    <t>Max Employee % Contribution</t>
  </si>
  <si>
    <t>My Annual Contribution</t>
  </si>
  <si>
    <t>Employer's Annual Contribution</t>
  </si>
  <si>
    <t>Total Annual Contribution</t>
  </si>
  <si>
    <t>About this Template</t>
  </si>
  <si>
    <t>Years to Pay Out After Retire.</t>
  </si>
  <si>
    <t>Years to Invest Before Retire.</t>
  </si>
  <si>
    <t>Return Before Retirement</t>
  </si>
  <si>
    <t>Employer 401(k) Match</t>
  </si>
  <si>
    <t>Years of Retirement Income</t>
  </si>
  <si>
    <t>Other Assets (Lump-sum Pension, Sellable Real Estate)</t>
  </si>
  <si>
    <t>• By default, interest is compounded annually and the</t>
  </si>
  <si>
    <t>payout is withdrawn at the beginning of the period.</t>
  </si>
</sst>
</file>

<file path=xl/styles.xml><?xml version="1.0" encoding="utf-8"?>
<styleSheet xmlns="http://schemas.openxmlformats.org/spreadsheetml/2006/main">
  <numFmts count="13">
    <numFmt numFmtId="0" formatCode="General"/>
    <numFmt numFmtId="37" formatCode="#,##0_);!(#,##0!)"/>
    <numFmt numFmtId="10" formatCode="0.00%"/>
    <numFmt numFmtId="164" formatCode="&quot;$&quot;#,##0.00_);[Red]\(&quot;$&quot;#,##0.00\)"/>
    <numFmt numFmtId="170" formatCode="#,##0_);[Color10]\(#,##0\)"/>
    <numFmt numFmtId="169" formatCode="#,##0.0_);\(#,##0.0\)"/>
    <numFmt numFmtId="168" formatCode="0.00000"/>
    <numFmt numFmtId="165" formatCode="_(&quot;$&quot;* #,##0.00_);_(&quot;$&quot;* \(#,##0.00\);_(&quot;$&quot;* &quot;-&quot;??_);_(@_)"/>
    <numFmt numFmtId="167" formatCode="&quot;$&quot;* #,##0.00;&quot;$&quot;* \-#,##0.00;&quot;$&quot;* &quot;-&quot;??;@"/>
    <numFmt numFmtId="3" formatCode="#,##0"/>
    <numFmt numFmtId="4" formatCode="#,##0.00"/>
    <numFmt numFmtId="166" formatCode="_(* #,##0.00_);_(* \(#,##0.00\);_(* &quot;-&quot;??_);_(@_)"/>
    <numFmt numFmtId="9" formatCode="0%"/>
  </numFmts>
  <fonts count="35">
    <font>
      <name val="Tahoma"/>
      <sz val="10"/>
    </font>
    <font>
      <name val="Arial"/>
      <b/>
      <sz val="18"/>
      <color rgb="FFFFFFFF"/>
    </font>
    <font>
      <name val="Tahoma"/>
      <sz val="10"/>
      <color rgb="FF3564AC"/>
    </font>
    <font>
      <name val="Arial"/>
      <sz val="12"/>
    </font>
    <font>
      <name val="Arial"/>
      <sz val="10"/>
    </font>
    <font>
      <name val="Arial"/>
      <u/>
      <sz val="10"/>
      <color indexed="12"/>
    </font>
    <font>
      <name val="Tahoma"/>
      <b/>
      <sz val="12"/>
      <color indexed="9"/>
    </font>
    <font>
      <name val="Tahoma"/>
      <b/>
      <sz val="12"/>
    </font>
    <font>
      <name val="Tahoma"/>
      <sz val="10"/>
    </font>
    <font>
      <name val="Tahoma"/>
      <sz val="10"/>
    </font>
    <font>
      <name val="Tahoma"/>
      <sz val="11"/>
    </font>
    <font>
      <name val="Tahoma"/>
      <b/>
      <sz val="10"/>
      <color rgb="FF3564AC"/>
    </font>
    <font>
      <name val="Tahoma"/>
      <b/>
      <i/>
      <sz val="10"/>
    </font>
    <font>
      <name val="Tahoma"/>
      <i/>
      <sz val="10"/>
      <color rgb="FF3F3F3F"/>
    </font>
    <font>
      <name val="Tahoma"/>
      <b/>
      <i/>
      <sz val="10"/>
      <color indexed="23"/>
    </font>
    <font>
      <name val="Tahoma"/>
      <b/>
      <i/>
      <sz val="10"/>
      <color rgb="FF7F7F7F"/>
    </font>
    <font>
      <name val="Tahoma"/>
      <i/>
      <sz val="10"/>
      <color rgb="FF234373"/>
    </font>
    <font>
      <name val="Tahoma"/>
      <sz val="10"/>
      <color rgb="FF234373"/>
    </font>
    <font>
      <name val="Tahoma"/>
      <b/>
      <sz val="10"/>
      <color rgb="FF1D7F1D"/>
    </font>
    <font>
      <name val="Tahoma"/>
      <b/>
      <sz val="10"/>
    </font>
    <font>
      <name val="Tahoma"/>
      <b/>
      <sz val="11"/>
    </font>
    <font>
      <name val="Tahoma"/>
      <i/>
      <sz val="10"/>
      <color rgb="FFFF0000"/>
    </font>
    <font>
      <name val="Tahoma"/>
      <sz val="10"/>
      <color rgb="FF7F7F7F"/>
    </font>
    <font>
      <name val="Tahoma"/>
      <sz val="11"/>
      <color rgb="FF7F7F7F"/>
    </font>
    <font>
      <name val="Arial"/>
      <b/>
      <sz val="10"/>
    </font>
    <font>
      <name val="Tahoma"/>
      <sz val="8"/>
    </font>
    <font>
      <name val="Tahoma"/>
      <i/>
      <sz val="8"/>
    </font>
    <font>
      <name val="Arial"/>
      <sz val="8"/>
      <color rgb="FF7F7F7F"/>
    </font>
    <font>
      <name val="Arial"/>
      <b/>
      <sz val="12"/>
      <color rgb="FF234372"/>
    </font>
    <font>
      <name val="Arial"/>
      <sz val="12"/>
      <color rgb="FF234372"/>
    </font>
    <font>
      <name val="Arial"/>
      <sz val="14"/>
      <color rgb="FF234372"/>
    </font>
    <font>
      <name val="Arial"/>
      <sz val="11"/>
      <color rgb="FF000000"/>
    </font>
    <font>
      <name val="Arial"/>
      <b/>
      <sz val="11"/>
      <color rgb="FF000000"/>
    </font>
    <font>
      <name val="Tahoma"/>
      <sz val="11"/>
      <color rgb="FF000000"/>
    </font>
    <font>
      <name val="Arial"/>
      <sz val="11"/>
    </font>
  </fonts>
  <fills count="15">
    <fill>
      <patternFill patternType="none"/>
    </fill>
    <fill>
      <patternFill patternType="gray125"/>
    </fill>
    <fill>
      <patternFill patternType="solid">
        <fgColor rgb="FF3564AC"/>
        <bgColor indexed="64"/>
      </patternFill>
    </fill>
    <fill>
      <patternFill patternType="solid">
        <fgColor rgb="FF5F5F5F"/>
        <bgColor indexed="64"/>
      </patternFill>
    </fill>
    <fill>
      <patternFill patternType="solid">
        <fgColor rgb="FFDFE7F5"/>
        <bgColor indexed="64"/>
      </patternFill>
    </fill>
    <fill>
      <patternFill patternType="solid">
        <fgColor rgb="FFF2F2F2"/>
        <bgColor indexed="64"/>
      </patternFill>
    </fill>
    <fill>
      <patternFill patternType="solid">
        <fgColor rgb="FFFFFFFF"/>
        <bgColor indexed="64"/>
      </patternFill>
    </fill>
    <fill>
      <patternFill patternType="solid">
        <fgColor rgb="FFCBCBCB"/>
        <bgColor indexed="64"/>
      </patternFill>
    </fill>
    <fill>
      <patternFill patternType="solid">
        <fgColor rgb="FFBFD0EB"/>
        <bgColor indexed="64"/>
      </patternFill>
    </fill>
    <fill>
      <patternFill patternType="solid">
        <fgColor rgb="FF9CE89C"/>
        <bgColor indexed="64"/>
      </patternFill>
    </fill>
    <fill>
      <patternFill patternType="solid">
        <fgColor rgb="FF6BDD6B"/>
        <bgColor indexed="64"/>
      </patternFill>
    </fill>
    <fill>
      <patternFill patternType="solid">
        <fgColor rgb="FFCDF3CD"/>
        <bgColor indexed="64"/>
      </patternFill>
    </fill>
    <fill>
      <patternFill patternType="solid">
        <fgColor rgb="FFBFBFBF"/>
        <bgColor indexed="64"/>
      </patternFill>
    </fill>
    <fill>
      <patternFill patternType="solid">
        <fgColor rgb="FF3464AB"/>
        <bgColor indexed="64"/>
      </patternFill>
    </fill>
    <fill>
      <patternFill patternType="solid">
        <fgColor rgb="FFDEE8F5"/>
        <bgColor indexed="64"/>
      </patternFill>
    </fill>
  </fills>
  <borders count="9">
    <border>
      <left/>
      <right/>
      <top/>
      <bottom/>
      <diagonal/>
    </border>
    <border>
      <left/>
      <right/>
      <top/>
      <bottom style="thin">
        <color indexed="55"/>
      </bottom>
      <diagonal/>
    </border>
    <border>
      <left/>
      <right/>
      <top/>
      <bottom style="medium">
        <color rgb="FF9FB9E1"/>
      </bottom>
      <diagonal/>
    </border>
    <border>
      <left/>
      <right/>
      <top/>
      <bottom style="medium">
        <color rgb="FFB2B2B2"/>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top/>
      <bottom style="thin">
        <color rgb="FF5F8BCD"/>
      </bottom>
      <diagonal/>
    </border>
    <border>
      <left/>
      <right/>
      <top/>
      <bottom style="medium">
        <color rgb="FF5F8BCD"/>
      </bottom>
      <diagonal/>
    </border>
    <border>
      <left/>
      <right/>
      <top/>
      <bottom style="thin">
        <color rgb="FF3464AB"/>
      </bottom>
      <diagonal/>
    </border>
  </borders>
  <cellStyleXfs count="5">
    <xf numFmtId="0" fontId="0" fillId="0" borderId="0">
      <alignment vertical="center"/>
    </xf>
    <xf numFmtId="0" fontId="5" fillId="0" borderId="0">
      <alignment vertical="top"/>
      <protection locked="0" hidden="0"/>
    </xf>
    <xf numFmtId="165" fontId="4" fillId="0" borderId="0">
      <alignment vertical="top"/>
      <protection locked="0" hidden="0"/>
    </xf>
    <xf numFmtId="9" fontId="4" fillId="0" borderId="0">
      <alignment vertical="top"/>
      <protection locked="0" hidden="0"/>
    </xf>
    <xf numFmtId="166" fontId="4" fillId="0" borderId="0">
      <alignment vertical="top"/>
      <protection locked="0" hidden="0"/>
    </xf>
  </cellStyleXfs>
  <cellXfs count="85">
    <xf numFmtId="0" fontId="0" fillId="0" borderId="0" xfId="0">
      <alignment vertical="center"/>
    </xf>
    <xf numFmtId="0" fontId="1" fillId="2" borderId="0" xfId="0" applyFont="1" applyFill="1">
      <alignment vertical="center"/>
    </xf>
    <xf numFmtId="0" fontId="2" fillId="0" borderId="0" xfId="0" applyFont="1" applyAlignment="1">
      <alignment vertical="bottom"/>
    </xf>
    <xf numFmtId="0" fontId="3" fillId="0" borderId="0" xfId="0" applyFont="1" applyAlignment="1">
      <alignment horizontal="right" vertical="bottom"/>
    </xf>
    <xf numFmtId="0" fontId="4" fillId="0" borderId="1" xfId="0" applyFont="1" applyBorder="1" applyAlignment="1">
      <alignment horizontal="left" vertical="bottom"/>
    </xf>
    <xf numFmtId="0" fontId="5" fillId="0" borderId="0" xfId="1" applyAlignment="1">
      <alignment horizontal="left" vertical="bottom"/>
    </xf>
    <xf numFmtId="0" fontId="6" fillId="2" borderId="2" xfId="0" applyFont="1" applyFill="1" applyBorder="1">
      <alignment vertical="center"/>
    </xf>
    <xf numFmtId="0" fontId="7" fillId="0" borderId="0" xfId="0" applyFont="1">
      <alignment vertical="center"/>
    </xf>
    <xf numFmtId="0" fontId="6" fillId="3" borderId="3" xfId="0" applyFont="1" applyFill="1" applyBorder="1">
      <alignment vertical="center"/>
    </xf>
    <xf numFmtId="0" fontId="8" fillId="4" borderId="0" xfId="0" applyFill="1" applyAlignment="1">
      <alignment vertical="bottom"/>
    </xf>
    <xf numFmtId="0" fontId="9" fillId="4" borderId="0" xfId="0" applyFont="1" applyFill="1" applyAlignment="1">
      <alignment horizontal="right" vertical="center" indent="1"/>
    </xf>
    <xf numFmtId="0" fontId="10" fillId="0" borderId="4" xfId="0" applyFont="1" applyBorder="1" applyAlignment="1">
      <alignment horizontal="right" vertical="bottom" indent="1"/>
      <protection locked="0" hidden="0"/>
    </xf>
    <xf numFmtId="0" fontId="8" fillId="5" borderId="0" xfId="0" applyFill="1" applyAlignment="1">
      <alignment vertical="bottom"/>
    </xf>
    <xf numFmtId="0" fontId="8" fillId="5" borderId="0" xfId="0" applyFill="1" applyAlignment="1">
      <alignment horizontal="right" vertical="center" indent="1"/>
    </xf>
    <xf numFmtId="37" fontId="10" fillId="6" borderId="5" xfId="2" applyNumberFormat="1" applyFont="1" applyFill="1" applyBorder="1" applyAlignment="1">
      <alignment horizontal="right" vertical="center"/>
      <protection locked="0" hidden="0"/>
    </xf>
    <xf numFmtId="0" fontId="11" fillId="0" borderId="0" xfId="0" applyFont="1" applyAlignment="1">
      <alignment vertical="bottom"/>
    </xf>
    <xf numFmtId="0" fontId="10" fillId="0" borderId="5" xfId="0" applyFont="1" applyBorder="1" applyAlignment="1">
      <alignment horizontal="right" vertical="bottom" indent="1"/>
      <protection locked="0" hidden="0"/>
    </xf>
    <xf numFmtId="0" fontId="12" fillId="5" borderId="0" xfId="0" applyFont="1" applyFill="1" applyAlignment="1">
      <alignment horizontal="right" vertical="center" indent="1"/>
    </xf>
    <xf numFmtId="0" fontId="8" fillId="5" borderId="0" xfId="0" applyFill="1" applyAlignment="1">
      <alignment horizontal="right" vertical="bottom" indent="1"/>
    </xf>
    <xf numFmtId="37" fontId="10" fillId="5" borderId="0" xfId="2" applyNumberFormat="1" applyFont="1" applyFill="1" applyAlignment="1">
      <alignment horizontal="right" vertical="center"/>
    </xf>
    <xf numFmtId="0" fontId="8" fillId="4" borderId="0" xfId="0" applyFill="1" applyAlignment="1">
      <alignment horizontal="right" vertical="center" indent="1"/>
    </xf>
    <xf numFmtId="0" fontId="10" fillId="4" borderId="0" xfId="0" applyFont="1" applyFill="1" applyAlignment="1">
      <alignment horizontal="right" vertical="bottom" indent="1"/>
    </xf>
    <xf numFmtId="0" fontId="13" fillId="7" borderId="0" xfId="0" applyFont="1" applyFill="1" applyAlignment="1">
      <alignment vertical="bottom"/>
    </xf>
    <xf numFmtId="0" fontId="14" fillId="7" borderId="0" xfId="0" applyFont="1" applyFill="1" applyAlignment="1">
      <alignment horizontal="right" vertical="center" indent="1"/>
    </xf>
    <xf numFmtId="0" fontId="15" fillId="7" borderId="0" xfId="0" applyFont="1" applyFill="1" applyAlignment="1">
      <alignment horizontal="right" vertical="center" indent="1"/>
    </xf>
    <xf numFmtId="0" fontId="16" fillId="8" borderId="0" xfId="0" applyFont="1" applyFill="1" applyAlignment="1">
      <alignment vertical="bottom"/>
    </xf>
    <xf numFmtId="0" fontId="9" fillId="8" borderId="0" xfId="0" applyFont="1" applyFill="1" applyAlignment="1">
      <alignment horizontal="right" vertical="center" indent="1"/>
    </xf>
    <xf numFmtId="37" fontId="10" fillId="0" borderId="5" xfId="2" applyNumberFormat="1" applyFont="1" applyBorder="1" applyAlignment="1">
      <alignment horizontal="right" vertical="center"/>
      <protection locked="0" hidden="0"/>
    </xf>
    <xf numFmtId="10" fontId="10" fillId="0" borderId="5" xfId="3" applyNumberFormat="1" applyFont="1" applyBorder="1" applyAlignment="1">
      <alignment horizontal="right" vertical="bottom"/>
      <protection locked="0" hidden="0"/>
    </xf>
    <xf numFmtId="0" fontId="11" fillId="0" borderId="6" xfId="0" applyFont="1" applyBorder="1" applyAlignment="1">
      <alignment vertical="bottom"/>
    </xf>
    <xf numFmtId="10" fontId="10" fillId="0" borderId="4" xfId="3" applyNumberFormat="1" applyFont="1" applyBorder="1" applyAlignment="1">
      <alignment horizontal="right" vertical="bottom"/>
      <protection locked="0" hidden="0"/>
    </xf>
    <xf numFmtId="37" fontId="8" fillId="5" borderId="0" xfId="0" applyNumberFormat="1" applyFill="1" applyAlignment="1">
      <alignment vertical="bottom"/>
    </xf>
    <xf numFmtId="10" fontId="8" fillId="0" borderId="0" xfId="3" applyNumberFormat="1" applyFont="1" applyAlignment="1">
      <alignment vertical="bottom"/>
    </xf>
    <xf numFmtId="164" fontId="8" fillId="5" borderId="0" xfId="0" applyNumberFormat="1" applyFill="1" applyAlignment="1">
      <alignment horizontal="left" vertical="bottom"/>
    </xf>
    <xf numFmtId="164" fontId="8" fillId="0" borderId="0" xfId="0" applyNumberFormat="1" applyAlignment="1">
      <alignment horizontal="left" vertical="bottom"/>
    </xf>
    <xf numFmtId="0" fontId="17" fillId="4" borderId="0" xfId="0" applyFont="1" applyFill="1" applyAlignment="1">
      <alignment horizontal="right" vertical="center" indent="1"/>
    </xf>
    <xf numFmtId="37" fontId="10" fillId="4" borderId="0" xfId="2" applyNumberFormat="1" applyFont="1" applyFill="1" applyAlignment="1">
      <alignment horizontal="right" vertical="center"/>
    </xf>
    <xf numFmtId="0" fontId="18" fillId="0" borderId="0" xfId="0" applyFont="1" applyAlignment="1">
      <alignment horizontal="right" vertical="bottom"/>
    </xf>
    <xf numFmtId="0" fontId="8" fillId="9" borderId="0" xfId="0" applyFill="1" applyAlignment="1">
      <alignment vertical="bottom"/>
    </xf>
    <xf numFmtId="0" fontId="19" fillId="9" borderId="0" xfId="0" applyFont="1" applyFill="1" applyAlignment="1">
      <alignment horizontal="right" vertical="bottom" indent="1"/>
    </xf>
    <xf numFmtId="170" fontId="20" fillId="10" borderId="0" xfId="2" applyNumberFormat="1" applyFont="1" applyFill="1" applyAlignment="1">
      <alignment horizontal="right" vertical="center"/>
    </xf>
    <xf numFmtId="0" fontId="8" fillId="11" borderId="0" xfId="0" applyFill="1" applyAlignment="1">
      <alignment vertical="bottom"/>
    </xf>
    <xf numFmtId="0" fontId="8" fillId="11" borderId="0" xfId="0" applyFill="1" applyAlignment="1">
      <alignment horizontal="right" vertical="bottom" indent="1"/>
    </xf>
    <xf numFmtId="169" fontId="10" fillId="9" borderId="0" xfId="2" applyNumberFormat="1" applyFont="1" applyFill="1" applyAlignment="1">
      <alignment horizontal="right" vertical="center"/>
    </xf>
    <xf numFmtId="37" fontId="21" fillId="4" borderId="0" xfId="2" applyNumberFormat="1" applyFont="1" applyFill="1" applyAlignment="1">
      <alignment horizontal="right" vertical="center"/>
    </xf>
    <xf numFmtId="10" fontId="8" fillId="11" borderId="0" xfId="3" applyNumberFormat="1" applyFont="1" applyFill="1" applyAlignment="1">
      <alignment vertical="bottom"/>
    </xf>
    <xf numFmtId="170" fontId="10" fillId="9" borderId="0" xfId="2" applyNumberFormat="1" applyFont="1" applyFill="1" applyAlignment="1">
      <alignment horizontal="right" vertical="center"/>
    </xf>
    <xf numFmtId="0" fontId="9" fillId="0" borderId="0" xfId="0" applyFont="1" applyAlignment="1">
      <alignment horizontal="right" vertical="center" indent="1"/>
    </xf>
    <xf numFmtId="0" fontId="8" fillId="0" borderId="0" xfId="0" applyAlignment="1">
      <alignment horizontal="right" vertical="center" indent="1"/>
    </xf>
    <xf numFmtId="169" fontId="10" fillId="0" borderId="0" xfId="2" applyNumberFormat="1" applyFont="1" applyAlignment="1">
      <alignment horizontal="right" vertical="center"/>
    </xf>
    <xf numFmtId="10" fontId="10" fillId="9" borderId="0" xfId="3" applyNumberFormat="1" applyFont="1" applyFill="1" applyAlignment="1">
      <alignment horizontal="right" vertical="center"/>
    </xf>
    <xf numFmtId="0" fontId="8" fillId="0" borderId="0" xfId="0" applyAlignment="1">
      <alignment horizontal="right" vertical="bottom"/>
    </xf>
    <xf numFmtId="164" fontId="8" fillId="0" borderId="0" xfId="0" applyNumberFormat="1" applyAlignment="1">
      <alignment horizontal="center" vertical="bottom"/>
    </xf>
    <xf numFmtId="0" fontId="22" fillId="0" borderId="0" xfId="0" applyFont="1" applyAlignment="1">
      <alignment vertical="bottom"/>
    </xf>
    <xf numFmtId="0" fontId="22" fillId="0" borderId="0" xfId="0" applyFont="1" applyAlignment="1">
      <alignment horizontal="right" vertical="center" indent="1"/>
    </xf>
    <xf numFmtId="0" fontId="23" fillId="0" borderId="0" xfId="0" applyFont="1" applyAlignment="1">
      <alignment horizontal="center" vertical="bottom"/>
      <protection locked="0" hidden="0"/>
    </xf>
    <xf numFmtId="0" fontId="19" fillId="0" borderId="0" xfId="0" applyFont="1" applyAlignment="1">
      <alignment vertical="bottom"/>
    </xf>
    <xf numFmtId="168" fontId="8" fillId="0" borderId="0" xfId="0" applyNumberFormat="1" applyAlignment="1">
      <alignment horizontal="right" vertical="bottom"/>
    </xf>
    <xf numFmtId="0" fontId="19" fillId="8" borderId="7" xfId="0" applyFont="1" applyFill="1" applyBorder="1" applyAlignment="1">
      <alignment horizontal="center" vertical="bottom" wrapText="1"/>
    </xf>
    <xf numFmtId="0" fontId="8" fillId="8" borderId="7" xfId="0" applyFill="1" applyBorder="1" applyAlignment="1">
      <alignment horizontal="center" vertical="bottom" wrapText="1"/>
    </xf>
    <xf numFmtId="0" fontId="24" fillId="8" borderId="7" xfId="0" applyFont="1" applyFill="1" applyBorder="1" applyAlignment="1">
      <alignment horizontal="center" vertical="bottom" wrapText="1"/>
    </xf>
    <xf numFmtId="0" fontId="19" fillId="8" borderId="7" xfId="0" applyFont="1" applyFill="1" applyBorder="1" applyAlignment="1">
      <alignment horizontal="right" vertical="bottom" wrapText="1"/>
    </xf>
    <xf numFmtId="0" fontId="25" fillId="4" borderId="0" xfId="0" applyFont="1" applyFill="1" applyAlignment="1">
      <alignment horizontal="center" vertical="bottom"/>
    </xf>
    <xf numFmtId="165" fontId="25" fillId="4" borderId="0" xfId="2" applyFont="1" applyFill="1" applyAlignment="1">
      <alignment horizontal="center" vertical="bottom"/>
    </xf>
    <xf numFmtId="167" fontId="25" fillId="4" borderId="0" xfId="2" applyNumberFormat="1" applyFont="1" applyFill="1" applyAlignment="1">
      <alignment horizontal="center" vertical="bottom"/>
    </xf>
    <xf numFmtId="0" fontId="25" fillId="0" borderId="0" xfId="0" applyFont="1" applyAlignment="1">
      <alignment horizontal="center" vertical="bottom"/>
    </xf>
    <xf numFmtId="10" fontId="25" fillId="0" borderId="0" xfId="3" applyNumberFormat="1" applyFont="1" applyAlignment="1">
      <alignment horizontal="center" vertical="bottom"/>
    </xf>
    <xf numFmtId="3" fontId="26" fillId="0" borderId="0" xfId="4" applyNumberFormat="1" applyFont="1" applyAlignment="1">
      <alignment horizontal="right" vertical="bottom"/>
    </xf>
    <xf numFmtId="3" fontId="25" fillId="0" borderId="0" xfId="4" applyNumberFormat="1" applyFont="1" applyAlignment="1">
      <alignment horizontal="right" vertical="bottom"/>
    </xf>
    <xf numFmtId="4" fontId="25" fillId="0" borderId="0" xfId="4" applyNumberFormat="1" applyFont="1" applyAlignment="1">
      <alignment horizontal="right" vertical="bottom"/>
    </xf>
    <xf numFmtId="165" fontId="8" fillId="0" borderId="0" xfId="0" applyNumberFormat="1" applyAlignment="1">
      <alignment vertical="bottom"/>
    </xf>
    <xf numFmtId="0" fontId="8" fillId="12" borderId="0" xfId="0" applyFill="1" applyAlignment="1">
      <alignment vertical="bottom"/>
    </xf>
    <xf numFmtId="0" fontId="4" fillId="0" borderId="0" xfId="0" applyFont="1" applyAlignment="1">
      <alignment vertical="bottom"/>
    </xf>
    <xf numFmtId="0" fontId="1" fillId="13" borderId="8" xfId="0" applyFont="1" applyFill="1" applyBorder="1" applyAlignment="1">
      <alignment horizontal="left" vertical="center"/>
    </xf>
    <xf numFmtId="0" fontId="27" fillId="0" borderId="0" xfId="0" applyFont="1" applyAlignment="1">
      <alignment horizontal="right" vertical="bottom"/>
    </xf>
    <xf numFmtId="0" fontId="4" fillId="0" borderId="0" xfId="0" applyFont="1" applyAlignment="1">
      <alignment vertical="top"/>
    </xf>
    <xf numFmtId="0" fontId="28" fillId="14" borderId="0" xfId="0" applyFont="1" applyFill="1">
      <alignment vertical="center"/>
    </xf>
    <xf numFmtId="0" fontId="29" fillId="14" borderId="0" xfId="0" applyFont="1" applyFill="1">
      <alignment vertical="center"/>
    </xf>
    <xf numFmtId="0" fontId="30" fillId="14" borderId="0" xfId="0" applyFont="1" applyFill="1">
      <alignment vertical="center"/>
    </xf>
    <xf numFmtId="0" fontId="31" fillId="0" borderId="0" xfId="0" applyFont="1" applyAlignment="1">
      <alignment horizontal="left" vertical="top" wrapText="1" readingOrder="1"/>
    </xf>
    <xf numFmtId="0" fontId="32" fillId="0" borderId="0" xfId="0" applyFont="1" applyAlignment="1">
      <alignment horizontal="left" vertical="top" wrapText="1" readingOrder="1"/>
    </xf>
    <xf numFmtId="0" fontId="33" fillId="0" borderId="0" xfId="0" applyFont="1" applyAlignment="1">
      <alignment horizontal="left" vertical="center" wrapText="1" readingOrder="1"/>
    </xf>
    <xf numFmtId="0" fontId="34" fillId="0" borderId="0" xfId="0" applyFont="1" applyAlignment="1">
      <alignment vertical="bottom"/>
    </xf>
    <xf numFmtId="0" fontId="24" fillId="0" borderId="0" xfId="0" applyFont="1" applyAlignment="1">
      <alignment vertical="bottom"/>
    </xf>
    <xf numFmtId="166" fontId="4" fillId="0" borderId="0" xfId="0" applyNumberFormat="1" applyFont="1" applyAlignment="1">
      <alignment vertical="bottom"/>
    </xf>
  </cellXfs>
  <cellStyles count="5">
    <cellStyle name="常规" xfId="0" builtinId="0"/>
    <cellStyle name="Hyperlink" xfId="1"/>
    <cellStyle name="货币" xfId="2" builtinId="4"/>
    <cellStyle name="百分比" xfId="3" builtinId="5"/>
    <cellStyle name="千位分隔" xfId="4" builtinId="3"/>
  </cellStyles>
  <dxfs count="6">
    <dxf>
      <font>
        <color indexed="22"/>
      </font>
    </dxf>
    <dxf>
      <fill>
        <patternFill>
          <bgColor indexed="22"/>
        </patternFill>
      </fill>
    </dxf>
    <dxf>
      <font>
        <b/>
        <color rgb="FFFFFFFF"/>
      </font>
      <fill>
        <patternFill>
          <bgColor rgb="FFFF5050"/>
        </patternFill>
      </fill>
    </dxf>
    <dxf>
      <font>
        <color indexed="55"/>
      </font>
      <fill>
        <patternFill>
          <bgColor indexed="22"/>
        </patternFill>
      </fill>
    </dxf>
    <dxf>
      <font>
        <color indexed="55"/>
      </font>
      <fill>
        <patternFill>
          <bgColor indexed="22"/>
        </patternFill>
      </fill>
    </dxf>
    <dxf>
      <font>
        <color rgb="FFFFFFFF"/>
      </font>
      <fill>
        <patternFill>
          <bgColor rgb="FFFF5050"/>
        </patternFill>
      </fill>
    </dxf>
  </dxfs>
  <tableStyles defaultTableStyle="TableStyleMedium2" defaultPivotStyle="PivotStyleLight16" count="0"/>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www.wps.cn/officeDocument/2020/cellImage" Target="cellimages.xml"/><Relationship Id="rId4" Type="http://schemas.openxmlformats.org/officeDocument/2006/relationships/sharedStrings" Target="sharedStrings.xml"/><Relationship Id="rId5" Type="http://schemas.openxmlformats.org/officeDocument/2006/relationships/styles" Target="styles.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Retirement Savings Balance</a:t>
            </a:r>
          </a:p>
        </c:rich>
      </c:tx>
      <c:layout>
        <c:manualLayout>
          <c:xMode val="edge"/>
          <c:yMode val="edge"/>
          <c:x val="0.16970482090473984"/>
          <c:y val="0.03436426116838488"/>
        </c:manualLayout>
      </c:layout>
      <c:overlay val="0"/>
    </c:title>
    <c:autoTitleDeleted val="0"/>
    <c:plotArea>
      <c:layout>
        <c:manualLayout>
          <c:layoutTarget val="inner"/>
          <c:xMode val="edge"/>
          <c:yMode val="edge"/>
          <c:x val="0.13525358962482634"/>
          <c:y val="0.059373055172227185"/>
          <c:w val="0.8211598090679841"/>
          <c:h val="0.7925093126245817"/>
        </c:manualLayout>
      </c:layout>
      <c:scatterChart>
        <c:scatterStyle val="lineMarker"/>
        <c:varyColors val="0"/>
        <c:ser>
          <c:idx val="0"/>
          <c:order val="0"/>
          <c:tx>
            <c:strRef>
              <c:f>Retirement!$E$40</c:f>
              <c:strCache>
                <c:ptCount val="1"/>
                <c:pt idx="0">
                  <c:v>Goal: Saving 44.32% of Salary</c:v>
                </c:pt>
              </c:strCache>
            </c:strRef>
          </c:tx>
          <c:spPr>
            <a:ln w="25400">
              <a:solidFill>
                <a:srgbClr val="000080"/>
              </a:solidFill>
              <a:prstDash val="solid"/>
            </a:ln>
          </c:spPr>
          <c:marker>
            <c:symbol val="none"/>
          </c:marker>
          <c:errBars>
            <c:errDir val="y"/>
            <c:errBarType val="minus"/>
            <c:errValType val="percentage"/>
            <c:noEndCap val="1"/>
            <c:val val="100.0"/>
            <c:spPr>
              <a:ln w="38100" cmpd="sng">
                <a:solidFill>
                  <a:schemeClr val="accent1">
                    <a:lumMod val="40000"/>
                    <a:lumOff val="60000"/>
                  </a:schemeClr>
                </a:solidFill>
              </a:ln>
            </c:spPr>
          </c:errBars>
          <c:xVal>
            <c:numRef>
              <c:f>Retirement!$B$48:$B$122</c:f>
              <c:numCache>
                <c:formatCode>General</c:formatCode>
                <c:ptCount val="75"/>
                <c:pt idx="0">
                  <c:v>30.0</c:v>
                </c:pt>
                <c:pt idx="1">
                  <c:v>31.0</c:v>
                </c:pt>
                <c:pt idx="2">
                  <c:v>32.0</c:v>
                </c:pt>
                <c:pt idx="3">
                  <c:v>33.0</c:v>
                </c:pt>
                <c:pt idx="4">
                  <c:v>34.0</c:v>
                </c:pt>
                <c:pt idx="5">
                  <c:v>35.0</c:v>
                </c:pt>
                <c:pt idx="6">
                  <c:v>36.0</c:v>
                </c:pt>
                <c:pt idx="7">
                  <c:v>37.0</c:v>
                </c:pt>
                <c:pt idx="8">
                  <c:v>38.0</c:v>
                </c:pt>
                <c:pt idx="9">
                  <c:v>39.0</c:v>
                </c:pt>
                <c:pt idx="10">
                  <c:v>40.0</c:v>
                </c:pt>
                <c:pt idx="11">
                  <c:v>41.0</c:v>
                </c:pt>
                <c:pt idx="12">
                  <c:v>42.0</c:v>
                </c:pt>
                <c:pt idx="13">
                  <c:v>43.0</c:v>
                </c:pt>
                <c:pt idx="14">
                  <c:v>44.0</c:v>
                </c:pt>
                <c:pt idx="15">
                  <c:v>45.0</c:v>
                </c:pt>
                <c:pt idx="16">
                  <c:v>46.0</c:v>
                </c:pt>
                <c:pt idx="17">
                  <c:v>47.0</c:v>
                </c:pt>
                <c:pt idx="18">
                  <c:v>48.0</c:v>
                </c:pt>
                <c:pt idx="19">
                  <c:v>49.0</c:v>
                </c:pt>
                <c:pt idx="20">
                  <c:v>50.0</c:v>
                </c:pt>
                <c:pt idx="21">
                  <c:v>51.0</c:v>
                </c:pt>
                <c:pt idx="22">
                  <c:v>52.0</c:v>
                </c:pt>
                <c:pt idx="23">
                  <c:v>53.0</c:v>
                </c:pt>
                <c:pt idx="24">
                  <c:v>54.0</c:v>
                </c:pt>
                <c:pt idx="25">
                  <c:v>55.0</c:v>
                </c:pt>
                <c:pt idx="26">
                  <c:v>56.0</c:v>
                </c:pt>
                <c:pt idx="27">
                  <c:v>57.0</c:v>
                </c:pt>
                <c:pt idx="28">
                  <c:v>58.0</c:v>
                </c:pt>
                <c:pt idx="29">
                  <c:v>59.0</c:v>
                </c:pt>
                <c:pt idx="30">
                  <c:v>60.0</c:v>
                </c:pt>
                <c:pt idx="31">
                  <c:v>61.0</c:v>
                </c:pt>
                <c:pt idx="32">
                  <c:v>62.0</c:v>
                </c:pt>
                <c:pt idx="33">
                  <c:v>63.0</c:v>
                </c:pt>
                <c:pt idx="34">
                  <c:v>64.0</c:v>
                </c:pt>
                <c:pt idx="35">
                  <c:v>65.0</c:v>
                </c:pt>
                <c:pt idx="36">
                  <c:v>66.0</c:v>
                </c:pt>
                <c:pt idx="37">
                  <c:v>67.0</c:v>
                </c:pt>
                <c:pt idx="38">
                  <c:v>68.0</c:v>
                </c:pt>
                <c:pt idx="39">
                  <c:v>69.0</c:v>
                </c:pt>
                <c:pt idx="40">
                  <c:v>70.0</c:v>
                </c:pt>
                <c:pt idx="41">
                  <c:v>71.0</c:v>
                </c:pt>
                <c:pt idx="42">
                  <c:v>72.0</c:v>
                </c:pt>
                <c:pt idx="43">
                  <c:v>73.0</c:v>
                </c:pt>
                <c:pt idx="44">
                  <c:v>74.0</c:v>
                </c:pt>
                <c:pt idx="45">
                  <c:v>75.0</c:v>
                </c:pt>
                <c:pt idx="46">
                  <c:v>76.0</c:v>
                </c:pt>
                <c:pt idx="47">
                  <c:v>77.0</c:v>
                </c:pt>
                <c:pt idx="48">
                  <c:v>78.0</c:v>
                </c:pt>
                <c:pt idx="49">
                  <c:v>79.0</c:v>
                </c:pt>
                <c:pt idx="50">
                  <c:v>80.0</c:v>
                </c:pt>
                <c:pt idx="51">
                  <c:v>81.0</c:v>
                </c:pt>
                <c:pt idx="52">
                  <c:v>82.0</c:v>
                </c:pt>
                <c:pt idx="53">
                  <c:v>83.0</c:v>
                </c:pt>
                <c:pt idx="54">
                  <c:v>84.0</c:v>
                </c:pt>
                <c:pt idx="55">
                  <c:v>85.0</c:v>
                </c:pt>
                <c:pt idx="56">
                  <c:v>86.0</c:v>
                </c:pt>
                <c:pt idx="57">
                  <c:v>87.0</c:v>
                </c:pt>
                <c:pt idx="58">
                  <c:v>88.0</c:v>
                </c:pt>
                <c:pt idx="59">
                  <c:v>89.0</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xVal>
          <c:yVal>
            <c:numRef>
              <c:f>Retirement!$K$48:$K$122</c:f>
              <c:numCache>
                <c:formatCode>#,##0.00</c:formatCode>
                <c:ptCount val="75"/>
                <c:pt idx="0">
                  <c:v>44861.5522842838</c:v>
                </c:pt>
                <c:pt idx="1">
                  <c:v>71688.0287513104</c:v>
                </c:pt>
                <c:pt idx="2">
                  <c:v>100606.789472958</c:v>
                </c:pt>
                <c:pt idx="3">
                  <c:v>131753.025417836</c:v>
                </c:pt>
                <c:pt idx="4">
                  <c:v>165270.232090936</c:v>
                </c:pt>
                <c:pt idx="5">
                  <c:v>201310.711667383</c:v>
                </c:pt>
                <c:pt idx="6">
                  <c:v>240036.105331437</c:v>
                </c:pt>
                <c:pt idx="7">
                  <c:v>281617.957634614</c:v>
                </c:pt>
                <c:pt idx="8">
                  <c:v>326238.314795648</c:v>
                </c:pt>
                <c:pt idx="9">
                  <c:v>374090.358980402</c:v>
                </c:pt>
                <c:pt idx="10">
                  <c:v>425379.080722183</c:v>
                </c:pt>
                <c:pt idx="11">
                  <c:v>480321.991772529</c:v>
                </c:pt>
                <c:pt idx="12">
                  <c:v>539149.880810037</c:v>
                </c:pt>
                <c:pt idx="13">
                  <c:v>602107.614580418</c:v>
                </c:pt>
                <c:pt idx="14">
                  <c:v>669454.987195457</c:v>
                </c:pt>
                <c:pt idx="15">
                  <c:v>741467.620482203</c:v>
                </c:pt>
                <c:pt idx="16">
                  <c:v>818437.918447254</c:v>
                </c:pt>
                <c:pt idx="17">
                  <c:v>900676.079104931</c:v>
                </c:pt>
                <c:pt idx="18">
                  <c:v>988511.167113085</c:v>
                </c:pt>
                <c:pt idx="19">
                  <c:v>1082292.25086697</c:v>
                </c:pt>
                <c:pt idx="20">
                  <c:v>1182389.60792062</c:v>
                </c:pt>
                <c:pt idx="21">
                  <c:v>1289196.00283753</c:v>
                </c:pt>
                <c:pt idx="22">
                  <c:v>1403128.04181828</c:v>
                </c:pt>
                <c:pt idx="23">
                  <c:v>1524627.60871409</c:v>
                </c:pt>
                <c:pt idx="24">
                  <c:v>1654163.38731139</c:v>
                </c:pt>
                <c:pt idx="25">
                  <c:v>1792232.47506601</c:v>
                </c:pt>
                <c:pt idx="26">
                  <c:v>1939362.09377622</c:v>
                </c:pt>
                <c:pt idx="27">
                  <c:v>2096111.40301318</c:v>
                </c:pt>
                <c:pt idx="28">
                  <c:v>2263073.42247656</c:v>
                </c:pt>
                <c:pt idx="29">
                  <c:v>2440877.06981339</c:v>
                </c:pt>
                <c:pt idx="30">
                  <c:v>2630189.3208302</c:v>
                </c:pt>
                <c:pt idx="31">
                  <c:v>2831717.49944457</c:v>
                </c:pt>
                <c:pt idx="32">
                  <c:v>3046211.70516311</c:v>
                </c:pt>
                <c:pt idx="33">
                  <c:v>3274467.38633978</c:v>
                </c:pt>
                <c:pt idx="34">
                  <c:v>3517328.0679644</c:v>
                </c:pt>
                <c:pt idx="35">
                  <c:v>3477933.9936032</c:v>
                </c:pt>
                <c:pt idx="36">
                  <c:v>3433010.67951916</c:v>
                </c:pt>
                <c:pt idx="37">
                  <c:v>3382261.82599583</c:v>
                </c:pt>
                <c:pt idx="38">
                  <c:v>3325378.33164954</c:v>
                </c:pt>
                <c:pt idx="39">
                  <c:v>3262037.79199907</c:v>
                </c:pt>
                <c:pt idx="40">
                  <c:v>3191903.97947109</c:v>
                </c:pt>
                <c:pt idx="41">
                  <c:v>3114626.30417863</c:v>
                </c:pt>
                <c:pt idx="42">
                  <c:v>3029839.2547871</c:v>
                </c:pt>
                <c:pt idx="43">
                  <c:v>2937161.81875832</c:v>
                </c:pt>
                <c:pt idx="44">
                  <c:v>2836196.8812385</c:v>
                </c:pt>
                <c:pt idx="45">
                  <c:v>2726530.60183062</c:v>
                </c:pt>
                <c:pt idx="46">
                  <c:v>2607731.76846514</c:v>
                </c:pt>
                <c:pt idx="47">
                  <c:v>2479351.12755608</c:v>
                </c:pt>
                <c:pt idx="48">
                  <c:v>2340920.68960087</c:v>
                </c:pt>
                <c:pt idx="49">
                  <c:v>2191953.00935354</c:v>
                </c:pt>
                <c:pt idx="50">
                  <c:v>2031940.43967073</c:v>
                </c:pt>
                <c:pt idx="51">
                  <c:v>1860354.35809854</c:v>
                </c:pt>
                <c:pt idx="52">
                  <c:v>1676644.3652363</c:v>
                </c:pt>
                <c:pt idx="53">
                  <c:v>1480237.45388005</c:v>
                </c:pt>
                <c:pt idx="54">
                  <c:v>1270537.14791371</c:v>
                </c:pt>
                <c:pt idx="55">
                  <c:v>1046922.60988089</c:v>
                </c:pt>
                <c:pt idx="56">
                  <c:v>808747.716132988</c:v>
                </c:pt>
                <c:pt idx="57">
                  <c:v>555340.098411316</c:v>
                </c:pt>
                <c:pt idx="58">
                  <c:v>286000.150681823</c:v>
                </c:pt>
                <c:pt idx="59">
                  <c:v>-9.77888703346252E-9</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yVal>
          <c:smooth val="0"/>
        </c:ser>
        <c:ser>
          <c:idx val="1"/>
          <c:order val="1"/>
          <c:tx>
            <c:strRef>
              <c:f>Retirement!$E$41</c:f>
              <c:strCache>
                <c:ptCount val="1"/>
                <c:pt idx="0">
                  <c:v>Current: Saving 10% of Salary</c:v>
                </c:pt>
              </c:strCache>
            </c:strRef>
          </c:tx>
          <c:spPr>
            <a:ln w="25400">
              <a:solidFill>
                <a:srgbClr val="C00000"/>
              </a:solidFill>
            </a:ln>
          </c:spPr>
          <c:marker>
            <c:symbol val="none"/>
          </c:marker>
          <c:xVal>
            <c:numRef>
              <c:f>Retirement!$B$129:$B$203</c:f>
              <c:numCache>
                <c:formatCode>General</c:formatCode>
                <c:ptCount val="75"/>
                <c:pt idx="0">
                  <c:v>30.0</c:v>
                </c:pt>
                <c:pt idx="1">
                  <c:v>31.0</c:v>
                </c:pt>
                <c:pt idx="2">
                  <c:v>32.0</c:v>
                </c:pt>
                <c:pt idx="3">
                  <c:v>33.0</c:v>
                </c:pt>
                <c:pt idx="4">
                  <c:v>34.0</c:v>
                </c:pt>
                <c:pt idx="5">
                  <c:v>35.0</c:v>
                </c:pt>
                <c:pt idx="6">
                  <c:v>36.0</c:v>
                </c:pt>
                <c:pt idx="7">
                  <c:v>37.0</c:v>
                </c:pt>
                <c:pt idx="8">
                  <c:v>38.0</c:v>
                </c:pt>
                <c:pt idx="9">
                  <c:v>39.0</c:v>
                </c:pt>
                <c:pt idx="10">
                  <c:v>40.0</c:v>
                </c:pt>
                <c:pt idx="11">
                  <c:v>41.0</c:v>
                </c:pt>
                <c:pt idx="12">
                  <c:v>42.0</c:v>
                </c:pt>
                <c:pt idx="13">
                  <c:v>43.0</c:v>
                </c:pt>
                <c:pt idx="14">
                  <c:v>44.0</c:v>
                </c:pt>
                <c:pt idx="15">
                  <c:v>45.0</c:v>
                </c:pt>
                <c:pt idx="16">
                  <c:v>46.0</c:v>
                </c:pt>
                <c:pt idx="17">
                  <c:v>47.0</c:v>
                </c:pt>
                <c:pt idx="18">
                  <c:v>48.0</c:v>
                </c:pt>
                <c:pt idx="19">
                  <c:v>49.0</c:v>
                </c:pt>
                <c:pt idx="20">
                  <c:v>50.0</c:v>
                </c:pt>
                <c:pt idx="21">
                  <c:v>51.0</c:v>
                </c:pt>
                <c:pt idx="22">
                  <c:v>52.0</c:v>
                </c:pt>
                <c:pt idx="23">
                  <c:v>53.0</c:v>
                </c:pt>
                <c:pt idx="24">
                  <c:v>54.0</c:v>
                </c:pt>
                <c:pt idx="25">
                  <c:v>55.0</c:v>
                </c:pt>
                <c:pt idx="26">
                  <c:v>56.0</c:v>
                </c:pt>
                <c:pt idx="27">
                  <c:v>57.0</c:v>
                </c:pt>
                <c:pt idx="28">
                  <c:v>58.0</c:v>
                </c:pt>
                <c:pt idx="29">
                  <c:v>59.0</c:v>
                </c:pt>
                <c:pt idx="30">
                  <c:v>60.0</c:v>
                </c:pt>
                <c:pt idx="31">
                  <c:v>61.0</c:v>
                </c:pt>
                <c:pt idx="32">
                  <c:v>62.0</c:v>
                </c:pt>
                <c:pt idx="33">
                  <c:v>63.0</c:v>
                </c:pt>
                <c:pt idx="34">
                  <c:v>64.0</c:v>
                </c:pt>
                <c:pt idx="35">
                  <c:v>65.0</c:v>
                </c:pt>
                <c:pt idx="36">
                  <c:v>66.0</c:v>
                </c:pt>
                <c:pt idx="37">
                  <c:v>67.0</c:v>
                </c:pt>
                <c:pt idx="38">
                  <c:v>68.0</c:v>
                </c:pt>
                <c:pt idx="39">
                  <c:v>69.0</c:v>
                </c:pt>
                <c:pt idx="40">
                  <c:v>70.0</c:v>
                </c:pt>
                <c:pt idx="41">
                  <c:v>71.0</c:v>
                </c:pt>
                <c:pt idx="42">
                  <c:v>72.0</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xVal>
          <c:yVal>
            <c:numRef>
              <c:f>Retirement!$K$129:$K$203</c:f>
              <c:numCache>
                <c:formatCode>#,##0.00</c:formatCode>
                <c:ptCount val="75"/>
                <c:pt idx="0">
                  <c:v>27700.0</c:v>
                </c:pt>
                <c:pt idx="1">
                  <c:v>35992.0</c:v>
                </c:pt>
                <c:pt idx="2">
                  <c:v>44914.12</c:v>
                </c:pt>
                <c:pt idx="3">
                  <c:v>54506.8192</c:v>
                </c:pt>
                <c:pt idx="4">
                  <c:v>64813.037392</c:v>
                </c:pt>
                <c:pt idx="5">
                  <c:v>75878.34485632</c:v>
                </c:pt>
                <c:pt idx="6">
                  <c:v>87751.1012729153</c:v>
                </c:pt>
                <c:pt idx="7">
                  <c:v>100482.624189011</c:v>
                </c:pt>
                <c:pt idx="8">
                  <c:v>114127.367616866</c:v>
                </c:pt>
                <c:pt idx="9">
                  <c:v>128743.111369923</c:v>
                </c:pt>
                <c:pt idx="10">
                  <c:v>144391.161782084</c:v>
                </c:pt>
                <c:pt idx="11">
                  <c:v>161136.564493575</c:v>
                </c:pt>
                <c:pt idx="12">
                  <c:v>179048.330027846</c:v>
                </c:pt>
                <c:pt idx="13">
                  <c:v>198199.672927466</c:v>
                </c:pt>
                <c:pt idx="14">
                  <c:v>218668.265263023</c:v>
                </c:pt>
                <c:pt idx="15">
                  <c:v>240536.505377911</c:v>
                </c:pt>
                <c:pt idx="16">
                  <c:v>263891.802783674</c:v>
                </c:pt>
                <c:pt idx="17">
                  <c:v>288826.880175446</c:v>
                </c:pt>
                <c:pt idx="18">
                  <c:v>315440.093595218</c:v>
                </c:pt>
                <c:pt idx="19">
                  <c:v>343835.771832362</c:v>
                </c:pt>
                <c:pt idx="20">
                  <c:v>374124.576216163</c:v>
                </c:pt>
                <c:pt idx="21">
                  <c:v>406423.882024469</c:v>
                </c:pt>
                <c:pt idx="22">
                  <c:v>440858.182805981</c:v>
                </c:pt>
                <c:pt idx="23">
                  <c:v>477559.518991584</c:v>
                </c:pt>
                <c:pt idx="24">
                  <c:v>516667.932252668</c:v>
                </c:pt>
                <c:pt idx="25">
                  <c:v>558331.947151849</c:v>
                </c:pt>
                <c:pt idx="26">
                  <c:v>602709.081724261</c:v>
                </c:pt>
                <c:pt idx="27">
                  <c:v>649966.388725884</c:v>
                </c:pt>
                <c:pt idx="28">
                  <c:v>700281.029389567</c:v>
                </c:pt>
                <c:pt idx="29">
                  <c:v>753840.881639875</c:v>
                </c:pt>
                <c:pt idx="30">
                  <c:v>810845.184834939</c:v>
                </c:pt>
                <c:pt idx="31">
                  <c:v>871505.223227641</c:v>
                </c:pt>
                <c:pt idx="32">
                  <c:v>936045.050469957</c:v>
                </c:pt>
                <c:pt idx="33">
                  <c:v>1004702.25762378</c:v>
                </c:pt>
                <c:pt idx="34">
                  <c:v>1077728.78728935</c:v>
                </c:pt>
                <c:pt idx="35">
                  <c:v>965146.734507902</c:v>
                </c:pt>
                <c:pt idx="36">
                  <c:v>844839.802651001</c:v>
                </c:pt>
                <c:pt idx="37">
                  <c:v>716445.822821629</c:v>
                </c:pt>
                <c:pt idx="38">
                  <c:v>579587.848380109</c:v>
                </c:pt>
                <c:pt idx="39">
                  <c:v>433873.594231559</c:v>
                </c:pt>
                <c:pt idx="40">
                  <c:v>278894.855770553</c:v>
                </c:pt>
                <c:pt idx="41">
                  <c:v>114226.906767079</c:v>
                </c:pt>
                <c:pt idx="42">
                  <c:v>-60572.1245467976</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yVal>
          <c:smooth val="0"/>
        </c:ser>
        <c:dLbls>
          <c:showLegendKey val="0"/>
          <c:showVal val="0"/>
          <c:showCatName val="0"/>
          <c:showSerName val="0"/>
          <c:showPercent val="0"/>
          <c:showBubbleSize val="0"/>
        </c:dLbls>
        <c:axId val="190748928"/>
        <c:axId val="190751104"/>
      </c:scatterChart>
      <c:valAx>
        <c:axId val="190748928"/>
        <c:scaling>
          <c:orientation val="minMax"/>
          <c:min val="20.0"/>
        </c:scaling>
        <c:delete val="0"/>
        <c:axPos val="b"/>
        <c:title>
          <c:tx>
            <c:rich>
              <a:bodyPr/>
              <a:lstStyle/>
              <a:p>
                <a:pPr>
                  <a:defRPr sz="1000" b="1" i="0" u="none" strike="noStrike" baseline="0">
                    <a:solidFill>
                      <a:srgbClr val="000000"/>
                    </a:solidFill>
                    <a:latin typeface="Arial"/>
                    <a:ea typeface="Arial"/>
                    <a:cs typeface="Arial"/>
                  </a:defRPr>
                </a:pPr>
                <a:r>
                  <a:rPr lang="en-US"/>
                  <a:t>Age</a:t>
                </a:r>
              </a:p>
            </c:rich>
          </c:tx>
          <c:layout>
            <c:manualLayout>
              <c:xMode val="edge"/>
              <c:yMode val="edge"/>
              <c:x val="0.5692363362667902"/>
              <c:y val="0.90517763887761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51104"/>
        <c:crosses val="autoZero"/>
        <c:crossBetween val="midCat"/>
      </c:valAx>
      <c:valAx>
        <c:axId val="190751104"/>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48928"/>
        <c:crosses val="autoZero"/>
        <c:crossBetween val="midCat"/>
      </c:valAx>
      <c:spPr>
        <a:noFill/>
        <a:ln w="25400">
          <a:noFill/>
        </a:ln>
      </c:spPr>
    </c:plotArea>
    <c:legend>
      <c:legendPos val="t"/>
      <c:layout>
        <c:manualLayout>
          <c:xMode val="edge"/>
          <c:yMode val="edge"/>
          <c:x val="0.1575285626061448"/>
          <c:y val="0.13547754897804587"/>
          <c:w val="0.30095578585765015"/>
          <c:h val="0.33038619510601774"/>
        </c:manualLayout>
      </c:layout>
      <c:overlay val="0"/>
      <c:txPr>
        <a:bodyPr/>
        <a:lstStyle/>
        <a:p>
          <a:pPr>
            <a:defRPr sz="1000"/>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70338</xdr:colOff>
      <xdr:row>30</xdr:row>
      <xdr:rowOff>101203</xdr:rowOff>
    </xdr:from>
    <xdr:to>
      <xdr:col>10</xdr:col>
      <xdr:colOff>748371</xdr:colOff>
      <xdr:row>43</xdr:row>
      <xdr:rowOff>113853</xdr:rowOff>
    </xdr:to>
    <xdr:graphicFrame macro="">
      <xdr:nvGraphicFramePr>
        <xdr:cNvPr name="图表 1" id="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N204"/>
  <sheetViews>
    <sheetView tabSelected="1" workbookViewId="0" showGridLines="0" zoomScale="30">
      <selection activeCell="E9" sqref="E9"/>
    </sheetView>
  </sheetViews>
  <sheetFormatPr defaultRowHeight="12.75" defaultColWidth="9"/>
  <cols>
    <col min="1" max="1" customWidth="1" width="6.4257812" style="0"/>
    <col min="2" max="2" customWidth="1" width="6.7109375" style="0"/>
    <col min="3" max="3" customWidth="1" width="7.5703125" style="0"/>
    <col min="4" max="4" customWidth="1" width="8.855469" style="0"/>
    <col min="5" max="5" customWidth="1" width="13.0" style="0"/>
    <col min="6" max="6" customWidth="1" width="4.7109375" style="0"/>
    <col min="7" max="7" customWidth="1" width="11.5703125" style="0"/>
    <col min="8" max="8" customWidth="1" width="10.855469" style="0"/>
    <col min="9" max="9" customWidth="1" width="12.140625" style="0"/>
    <col min="10" max="10" customWidth="1" width="10.285156" style="0"/>
    <col min="11" max="11" customWidth="1" width="15.0" style="0"/>
    <col min="12" max="12" customWidth="1" width="4.140625" style="0"/>
    <col min="13" max="13" customWidth="1" width="37.85547" style="0"/>
    <col min="16" max="16" customWidth="1" width="17.710938" style="0"/>
    <col min="17" max="17" customWidth="1" bestFit="1" width="11.285156" style="0"/>
  </cols>
  <sheetData>
    <row r="1" spans="8:8" ht="30.0" customHeight="1">
      <c r="A1" s="1" t="s">
        <v>11</v>
      </c>
      <c r="B1" s="1"/>
      <c r="C1" s="1"/>
      <c r="D1" s="1"/>
      <c r="E1" s="1"/>
      <c r="F1" s="1"/>
      <c r="G1" s="1"/>
      <c r="H1" s="1"/>
      <c r="I1" s="1"/>
      <c r="J1" s="1"/>
      <c r="K1" s="1"/>
    </row>
    <row r="2" spans="8:8">
      <c r="M2" s="2" t="s">
        <v>73</v>
      </c>
    </row>
    <row r="3" spans="8:8" ht="15.0" hidden="1">
      <c r="A3" s="3" t="s">
        <v>56</v>
      </c>
      <c r="B3" s="4"/>
      <c r="C3" s="4"/>
      <c r="D3" s="4"/>
      <c r="E3" s="4"/>
      <c r="G3" s="3" t="s">
        <v>54</v>
      </c>
      <c r="H3" s="4"/>
      <c r="I3" s="4"/>
      <c r="K3" t="s">
        <v>71</v>
      </c>
    </row>
    <row r="4" spans="8:8" hidden="1">
      <c r="A4" s="5"/>
      <c r="B4" t="s">
        <v>53</v>
      </c>
      <c r="H4" t="s">
        <v>53</v>
      </c>
    </row>
    <row r="5" spans="8:8" hidden="1">
      <c r="A5" s="5"/>
      <c r="H5" t="s">
        <v>55</v>
      </c>
    </row>
    <row r="6" spans="8:8" hidden="1">
      <c r="A6" s="5"/>
      <c r="H6" t="s">
        <v>57</v>
      </c>
    </row>
    <row r="7" spans="8:8" ht="15.75">
      <c r="A7" s="6" t="s">
        <v>42</v>
      </c>
      <c r="B7" s="6"/>
      <c r="C7" s="6"/>
      <c r="D7" s="6"/>
      <c r="E7" s="6"/>
      <c r="F7" s="7"/>
      <c r="G7" s="8" t="s">
        <v>32</v>
      </c>
      <c r="H7" s="8"/>
      <c r="I7" s="8"/>
      <c r="J7" s="8"/>
      <c r="K7" s="8"/>
      <c r="M7" s="5"/>
    </row>
    <row r="8" spans="8:8" ht="15.0" customHeight="1">
      <c r="A8" s="9"/>
      <c r="B8" s="10"/>
      <c r="C8" s="10"/>
      <c r="D8" s="10" t="s">
        <v>1</v>
      </c>
      <c r="E8" s="11">
        <v>30.0</v>
      </c>
      <c r="G8" s="12"/>
      <c r="H8" s="12"/>
      <c r="I8" s="12"/>
      <c r="J8" s="13" t="s">
        <v>47</v>
      </c>
      <c r="K8" s="14">
        <v>50000.0</v>
      </c>
      <c r="M8" s="15"/>
    </row>
    <row r="9" spans="8:8" ht="15.0" customHeight="1">
      <c r="A9" s="9"/>
      <c r="B9" s="10"/>
      <c r="C9" s="10"/>
      <c r="D9" s="10" t="s">
        <v>2</v>
      </c>
      <c r="E9" s="16">
        <v>65.0</v>
      </c>
      <c r="G9" s="12"/>
      <c r="H9" s="12"/>
      <c r="I9" s="17"/>
      <c r="J9" s="18" t="s">
        <v>26</v>
      </c>
      <c r="K9" s="19">
        <f>FV(E16,(E9-E8), ,-K8)</f>
        <v>140693.1227185763</v>
      </c>
      <c r="M9" s="2"/>
    </row>
    <row r="10" spans="8:8" ht="15.0" customHeight="1">
      <c r="A10" s="9"/>
      <c r="B10" s="10"/>
      <c r="C10" s="10"/>
      <c r="D10" s="20" t="s">
        <v>80</v>
      </c>
      <c r="E10" s="16">
        <v>25.0</v>
      </c>
      <c r="G10" s="12"/>
      <c r="H10" s="12"/>
      <c r="I10" s="12"/>
      <c r="J10" s="18" t="s">
        <v>44</v>
      </c>
      <c r="K10" s="19">
        <f>PV(((1+E15)/(1+E16)-1)/E42,E10*E42,-IF(E43=1,K9/E42,K9/(1+E16)/E42), ,1)</f>
        <v>3517328.0679644076</v>
      </c>
      <c r="M10" s="2"/>
    </row>
    <row r="11" spans="8:8" ht="15.0" customHeight="1">
      <c r="A11" s="9"/>
      <c r="B11" s="10"/>
      <c r="C11" s="10"/>
      <c r="D11" s="20" t="s">
        <v>81</v>
      </c>
      <c r="E11" s="21">
        <f>E9-E8</f>
        <v>35.0</v>
      </c>
      <c r="G11" s="12"/>
      <c r="H11" s="12"/>
      <c r="I11" s="12"/>
      <c r="J11" s="12"/>
      <c r="K11" s="12"/>
    </row>
    <row r="12" spans="8:8" ht="15.0" customHeight="1">
      <c r="A12" s="9"/>
      <c r="B12" s="10"/>
      <c r="C12" s="10"/>
      <c r="D12" s="10"/>
      <c r="E12" s="10"/>
      <c r="G12" s="22" t="s">
        <v>17</v>
      </c>
      <c r="H12" s="23"/>
      <c r="I12" s="23"/>
      <c r="J12" s="23"/>
      <c r="K12" s="24"/>
      <c r="M12" s="5"/>
    </row>
    <row r="13" spans="8:8" ht="15.0" customHeight="1">
      <c r="A13" s="25" t="s">
        <v>39</v>
      </c>
      <c r="B13" s="26"/>
      <c r="C13" s="26"/>
      <c r="D13" s="26"/>
      <c r="E13" s="26"/>
      <c r="G13" s="12"/>
      <c r="H13" s="12"/>
      <c r="I13" s="12"/>
      <c r="J13" s="13" t="s">
        <v>40</v>
      </c>
      <c r="K13" s="27">
        <v>20000.0</v>
      </c>
    </row>
    <row r="14" spans="8:8" ht="15.0" customHeight="1">
      <c r="A14" s="9"/>
      <c r="B14" s="10"/>
      <c r="C14" s="10"/>
      <c r="D14" s="20" t="s">
        <v>82</v>
      </c>
      <c r="E14" s="28">
        <v>0.06</v>
      </c>
      <c r="G14" s="12"/>
      <c r="H14" s="12"/>
      <c r="I14" s="12"/>
      <c r="J14" s="18" t="s">
        <v>36</v>
      </c>
      <c r="K14" s="19">
        <f>-FV(E14/E42,(E9-E8)*E42,0,K13,0)</f>
        <v>153721.735846247</v>
      </c>
      <c r="M14" s="29" t="s">
        <v>19</v>
      </c>
    </row>
    <row r="15" spans="8:8" ht="15.0" customHeight="1">
      <c r="A15" s="9"/>
      <c r="B15" s="10"/>
      <c r="C15" s="10"/>
      <c r="D15" s="20" t="s">
        <v>37</v>
      </c>
      <c r="E15" s="30">
        <v>0.03</v>
      </c>
      <c r="G15" s="12"/>
      <c r="H15" s="12"/>
      <c r="I15" s="12"/>
      <c r="J15" s="18" t="s">
        <v>49</v>
      </c>
      <c r="K15" s="19">
        <f>IF(E20=E14,(E28/E42)*((E11*E42)*(1+E14/E42)^(E11*E42))/(1+E20/E42),(E28/E42)*((1+E20/E42)^(E11*E42)-(1+E14/E42)^(E11*E42))/(E20/E42-E14/E42))</f>
        <v>924007.0514431078</v>
      </c>
      <c r="M15" s="2" t="s">
        <v>18</v>
      </c>
    </row>
    <row r="16" spans="8:8" ht="15.0" customHeight="1">
      <c r="A16" s="9"/>
      <c r="B16" s="10"/>
      <c r="C16" s="10"/>
      <c r="D16" s="20" t="s">
        <v>13</v>
      </c>
      <c r="E16" s="30">
        <v>0.03</v>
      </c>
      <c r="G16" s="12"/>
      <c r="H16" s="12"/>
      <c r="I16" s="12"/>
      <c r="J16" s="12"/>
      <c r="K16" s="31"/>
      <c r="M16" s="2" t="s">
        <v>21</v>
      </c>
    </row>
    <row r="17" spans="8:8" ht="15.0" customHeight="1">
      <c r="A17" s="9"/>
      <c r="B17" s="10"/>
      <c r="C17" s="10"/>
      <c r="D17" s="10"/>
      <c r="E17" s="10"/>
      <c r="F17" s="32"/>
      <c r="G17" s="22" t="s">
        <v>31</v>
      </c>
      <c r="H17" s="23"/>
      <c r="I17" s="23"/>
      <c r="J17" s="23"/>
      <c r="K17" s="24"/>
      <c r="M17" s="2" t="s">
        <v>66</v>
      </c>
    </row>
    <row r="18" spans="8:8" ht="15.0" customHeight="1">
      <c r="A18" s="25" t="s">
        <v>46</v>
      </c>
      <c r="B18" s="26"/>
      <c r="C18" s="26"/>
      <c r="D18" s="26"/>
      <c r="E18" s="26"/>
      <c r="G18" s="12"/>
      <c r="H18" s="33"/>
      <c r="I18" s="12"/>
      <c r="J18" s="18" t="s">
        <v>27</v>
      </c>
      <c r="K18" s="16">
        <v>65.0</v>
      </c>
      <c r="M18" s="2" t="s">
        <v>67</v>
      </c>
    </row>
    <row r="19" spans="8:8" ht="15.0" customHeight="1">
      <c r="A19" s="9"/>
      <c r="B19" s="10"/>
      <c r="C19" s="10"/>
      <c r="D19" s="20" t="s">
        <v>9</v>
      </c>
      <c r="E19" s="27">
        <v>50000.0</v>
      </c>
      <c r="G19" s="12"/>
      <c r="H19" s="12"/>
      <c r="I19" s="12"/>
      <c r="J19" s="18" t="s">
        <v>28</v>
      </c>
      <c r="K19" s="27">
        <v>0.0</v>
      </c>
      <c r="M19" s="2" t="s">
        <v>68</v>
      </c>
    </row>
    <row r="20" spans="8:8" ht="15.0" customHeight="1">
      <c r="A20" s="9"/>
      <c r="B20" s="10"/>
      <c r="C20" s="10"/>
      <c r="D20" s="10" t="s">
        <v>5</v>
      </c>
      <c r="E20" s="28">
        <v>0.02</v>
      </c>
      <c r="F20" s="32"/>
      <c r="G20" s="12"/>
      <c r="H20" s="12"/>
      <c r="I20" s="12"/>
      <c r="J20" s="18" t="s">
        <v>30</v>
      </c>
      <c r="K20" s="30">
        <v>0.028</v>
      </c>
      <c r="M20" s="2"/>
    </row>
    <row r="21" spans="8:8" ht="15.0" customHeight="1">
      <c r="A21" s="9"/>
      <c r="B21" s="10"/>
      <c r="C21" s="10"/>
      <c r="D21" s="10"/>
      <c r="E21" s="10"/>
      <c r="G21" s="12"/>
      <c r="H21" s="12"/>
      <c r="I21" s="12"/>
      <c r="J21" s="18" t="s">
        <v>84</v>
      </c>
      <c r="K21" s="19">
        <f>E10-(K18-E9)</f>
        <v>25.0</v>
      </c>
      <c r="M21" s="2" t="s">
        <v>22</v>
      </c>
    </row>
    <row r="22" spans="8:8" ht="15.0" customHeight="1">
      <c r="A22" s="25" t="s">
        <v>50</v>
      </c>
      <c r="B22" s="26"/>
      <c r="C22" s="26"/>
      <c r="D22" s="26"/>
      <c r="E22" s="26"/>
      <c r="F22" s="34"/>
      <c r="G22" s="12"/>
      <c r="H22" s="12"/>
      <c r="I22" s="12"/>
      <c r="J22" s="18" t="s">
        <v>38</v>
      </c>
      <c r="K22" s="19">
        <f>PV(E15,K18-E9-1, ,-IF(K20=E15,K19*K21/(1+K20),K19*(((1+K20)/(1+E15))^K21-1)/(K20-E15)),1)</f>
        <v>0.0</v>
      </c>
      <c r="M22" s="2" t="s">
        <v>33</v>
      </c>
    </row>
    <row r="23" spans="8:8" ht="15.0" customHeight="1">
      <c r="A23" s="9"/>
      <c r="B23" s="10"/>
      <c r="C23" s="10"/>
      <c r="D23" s="20" t="s">
        <v>74</v>
      </c>
      <c r="E23" s="28">
        <v>0.1</v>
      </c>
      <c r="G23" s="12"/>
      <c r="H23" s="12"/>
      <c r="I23" s="12"/>
      <c r="J23" s="12"/>
      <c r="K23" s="12"/>
      <c r="M23" s="2"/>
    </row>
    <row r="24" spans="8:8" ht="15.0" customHeight="1">
      <c r="A24" s="9"/>
      <c r="B24" s="10"/>
      <c r="C24" s="10"/>
      <c r="D24" s="35" t="s">
        <v>83</v>
      </c>
      <c r="E24" s="28">
        <v>1.0</v>
      </c>
      <c r="G24" s="22" t="s">
        <v>85</v>
      </c>
      <c r="H24" s="23"/>
      <c r="I24" s="23"/>
      <c r="J24" s="23"/>
      <c r="K24" s="24"/>
      <c r="M24" s="2" t="s">
        <v>24</v>
      </c>
    </row>
    <row r="25" spans="8:8" ht="15.0" customHeight="1">
      <c r="A25" s="9"/>
      <c r="B25" s="10"/>
      <c r="C25" s="10"/>
      <c r="D25" s="35" t="s">
        <v>75</v>
      </c>
      <c r="E25" s="28">
        <v>0.03</v>
      </c>
      <c r="G25" s="12"/>
      <c r="H25" s="12"/>
      <c r="I25" s="12"/>
      <c r="J25" s="18" t="s">
        <v>45</v>
      </c>
      <c r="K25" s="27">
        <v>0.0</v>
      </c>
      <c r="M25" s="2" t="s">
        <v>25</v>
      </c>
    </row>
    <row r="26" spans="8:8" ht="15.0" customHeight="1">
      <c r="A26" s="9"/>
      <c r="B26" s="10"/>
      <c r="C26" s="10"/>
      <c r="D26" s="20" t="s">
        <v>76</v>
      </c>
      <c r="E26" s="36">
        <f>E19*E23</f>
        <v>5000.0</v>
      </c>
      <c r="K26" s="37" t="str">
        <f>IF(K27&lt;0,"Note: There is a surplus. Some results might not apply.",".")</f>
        <v>.</v>
      </c>
      <c r="M26" s="2" t="s">
        <v>69</v>
      </c>
    </row>
    <row r="27" spans="8:8" ht="15.0" customHeight="1">
      <c r="A27" s="9"/>
      <c r="B27" s="10"/>
      <c r="C27" s="10"/>
      <c r="D27" s="20" t="s">
        <v>77</v>
      </c>
      <c r="E27" s="36">
        <f>E19*MIN(E23,E25)*E24</f>
        <v>1500.0</v>
      </c>
      <c r="G27" s="38"/>
      <c r="H27" s="38"/>
      <c r="I27" s="38"/>
      <c r="J27" s="39" t="s">
        <v>41</v>
      </c>
      <c r="K27" s="40">
        <f>K10-K14-K15-K22-K25</f>
        <v>2439599.28067505</v>
      </c>
      <c r="M27" s="2" t="s">
        <v>70</v>
      </c>
    </row>
    <row r="28" spans="8:8" ht="15.0" customHeight="1">
      <c r="A28" s="9"/>
      <c r="B28" s="10"/>
      <c r="C28" s="10"/>
      <c r="D28" s="20" t="s">
        <v>78</v>
      </c>
      <c r="E28" s="36">
        <f>E26+E27</f>
        <v>6500.0</v>
      </c>
      <c r="G28" s="41"/>
      <c r="H28" s="41"/>
      <c r="I28" s="41"/>
      <c r="J28" s="42" t="s">
        <v>58</v>
      </c>
      <c r="K28" s="43">
        <f>IF(K9=0," - ",NPER((1+E15)/(1+E16)-1,-IF(E43=1,K9,K9/(1+E16)),K10-K27, ,E43))</f>
        <v>7.660138366856084</v>
      </c>
      <c r="M28" s="2"/>
    </row>
    <row r="29" spans="8:8" ht="14.25">
      <c r="A29" s="9"/>
      <c r="B29" s="10"/>
      <c r="C29" s="10"/>
      <c r="D29" s="20"/>
      <c r="E29" s="44" t="str">
        <f>IF(E23&lt;E25,"Employer Match is NOT Maximized",".")</f>
        <v>.</v>
      </c>
      <c r="G29" s="45"/>
      <c r="H29" s="41"/>
      <c r="I29" s="41"/>
      <c r="J29" s="42" t="s">
        <v>48</v>
      </c>
      <c r="K29" s="46">
        <f>K27/IF(E20=E14,(E11*E42)*(1+E14/E42)^(E11*E42)/(1+E20/E42),(((1+E20/E42)^(E11*E42)-(1+E14/E42)^(E11*E42))/(E20/E42-E14/E42)))*E42</f>
        <v>17161.55228428382</v>
      </c>
      <c r="M29" s="2" t="s">
        <v>86</v>
      </c>
    </row>
    <row r="30" spans="8:8" ht="14.25">
      <c r="B30" s="47"/>
      <c r="C30" s="47"/>
      <c r="D30" s="48"/>
      <c r="E30" s="49"/>
      <c r="G30" s="41"/>
      <c r="H30" s="41"/>
      <c r="I30" s="41"/>
      <c r="J30" s="42" t="s">
        <v>43</v>
      </c>
      <c r="K30" s="50">
        <f>IF(((K29+E28)/E19/(1+E24))&gt;E25,(K29+E28)/E19-E25*E24,((K29+E28)/E19/(1+E24)))</f>
        <v>0.4432310456856764</v>
      </c>
      <c r="M30" s="2" t="s">
        <v>87</v>
      </c>
    </row>
    <row r="31" spans="8:8">
      <c r="J31" s="51"/>
    </row>
    <row r="32" spans="8:8">
      <c r="J32" s="51"/>
      <c r="M32" s="2" t="s">
        <v>59</v>
      </c>
    </row>
    <row r="33" spans="8:8">
      <c r="J33" s="51"/>
      <c r="M33" s="2" t="s">
        <v>60</v>
      </c>
    </row>
    <row r="34" spans="8:8">
      <c r="M34" s="2" t="s">
        <v>61</v>
      </c>
    </row>
    <row r="36" spans="8:8">
      <c r="J36" s="52"/>
    </row>
    <row r="37" spans="8:8">
      <c r="J37" s="52"/>
    </row>
    <row r="38" spans="8:8">
      <c r="J38" s="52"/>
    </row>
    <row r="39" spans="8:8">
      <c r="J39" s="52"/>
    </row>
    <row r="40" spans="8:8">
      <c r="D40" s="53" t="s">
        <v>51</v>
      </c>
      <c r="E40" s="53" t="str">
        <f>_xlfn.IFERROR("Goal: Saving "&amp;ROUND(K30*100,2)&amp;"% of Salary","Table Not Applicable")</f>
        <v>Goal: Saving 44.32% of Salary</v>
      </c>
      <c r="J40" s="52"/>
    </row>
    <row r="41" spans="8:8">
      <c r="D41" s="53" t="s">
        <v>52</v>
      </c>
      <c r="E41" s="53" t="str">
        <f>IF(E8=E9,"No Accumulation Phase","Current: Saving "&amp;ROUND(E23*100,2)&amp;"% of Salary")</f>
        <v>Current: Saving 10% of Salary</v>
      </c>
      <c r="J41" s="52"/>
    </row>
    <row r="42" spans="8:8" ht="14.25">
      <c r="A42" s="53"/>
      <c r="B42" s="53"/>
      <c r="C42" s="53"/>
      <c r="D42" s="54" t="s">
        <v>7</v>
      </c>
      <c r="E42" s="55">
        <v>1.0</v>
      </c>
      <c r="J42" s="52"/>
    </row>
    <row r="43" spans="8:8" ht="14.25">
      <c r="A43" s="53"/>
      <c r="B43" s="53"/>
      <c r="C43" s="53"/>
      <c r="D43" s="54" t="s">
        <v>15</v>
      </c>
      <c r="E43" s="55">
        <v>1.0</v>
      </c>
      <c r="J43" s="52"/>
    </row>
    <row r="44" spans="8:8">
      <c r="J44" s="52"/>
    </row>
    <row r="45" spans="8:8">
      <c r="A45" s="56" t="str">
        <f>_xlfn.IFERROR("Table Based on "&amp;TEXT(K30,"0.00%")&amp;" Salary Contribution Scenario","Table Not Applicable")</f>
        <v>Table Based on 44.32% Salary Contribution Scenario</v>
      </c>
      <c r="J45" s="52"/>
      <c r="K45" s="57" t="s">
        <v>23</v>
      </c>
    </row>
    <row r="46" spans="8:8" ht="26.25">
      <c r="A46" s="58" t="s">
        <v>3</v>
      </c>
      <c r="B46" s="58" t="s">
        <v>4</v>
      </c>
      <c r="C46" s="58" t="s">
        <v>8</v>
      </c>
      <c r="D46" s="58" t="s">
        <v>14</v>
      </c>
      <c r="E46" s="58" t="s">
        <v>6</v>
      </c>
      <c r="F46" s="58"/>
      <c r="G46" s="58" t="s">
        <v>20</v>
      </c>
      <c r="H46" s="59" t="s">
        <v>29</v>
      </c>
      <c r="I46" s="60" t="s">
        <v>12</v>
      </c>
      <c r="J46" s="59" t="s">
        <v>72</v>
      </c>
      <c r="K46" s="61" t="s">
        <v>0</v>
      </c>
    </row>
    <row r="47" spans="8:8" ht="15.0" customHeight="1">
      <c r="A47" s="62"/>
      <c r="B47" s="62"/>
      <c r="C47" s="62"/>
      <c r="D47" s="63"/>
      <c r="E47" s="63"/>
      <c r="F47" s="63"/>
      <c r="G47" s="63"/>
      <c r="H47" s="63"/>
      <c r="I47" s="62"/>
      <c r="J47" s="62"/>
      <c r="K47" s="64">
        <f>$K$13</f>
        <v>20000.0</v>
      </c>
    </row>
    <row r="48" spans="8:8">
      <c r="A48" s="65">
        <f>IF($E$8&gt;=$E$9,NA(),IF(A47&lt;($E$9-$E$8)+$E$10,A47+1,NA()))</f>
        <v>1.0</v>
      </c>
      <c r="B48" s="65">
        <f t="shared" si="0" ref="B48:B101">IF(ISERROR(A48),NA(),$E$8+A48-1)</f>
        <v>30.0</v>
      </c>
      <c r="C48" s="66">
        <f t="shared" si="1" ref="C48:C79">IF(ISERROR(A48),NA(),IF(B48&lt;$E$9,$E$14,$E$15))</f>
        <v>0.06</v>
      </c>
      <c r="D48" s="67">
        <f>IF(E8&gt;=E9,K8,E19)</f>
        <v>50000.0</v>
      </c>
      <c r="E48" s="68">
        <f t="shared" si="2" ref="E48:E79">IF(ISERROR(A48),NA(),IF(B48=$E$9-1,$K$25,0)+IF(A48&lt;=$E$11,$K$30*D48,0))</f>
        <v>22161.552284283818</v>
      </c>
      <c r="F48" s="68" t="str">
        <f>IF(ISERROR(A48),NA(),"")</f>
        <v/>
      </c>
      <c r="G48" s="68">
        <f t="shared" si="3" ref="G48:G79">IF(ISERROR(A48),NA(),IF(A48&lt;=$E$11,MIN($E$24*E48,$E$25*$E$24*D48),0))</f>
        <v>1500.0</v>
      </c>
      <c r="H48" s="68">
        <f>IF(ISERROR(A48),NA(),IF(ISERROR(B48),0,IF(AND(B48&gt;=$K$18,B48&lt;($K$18+$K$21)),$K$19*(1+$K$20)^(B48-$K$18),0)))</f>
        <v>0.0</v>
      </c>
      <c r="I48" s="68">
        <f t="shared" si="4" ref="I48:I79">IF(ISERROR(A48),NA(),IF(B48&gt;=$E$9,D48-H48,0))</f>
        <v>0.0</v>
      </c>
      <c r="J48" s="69">
        <f t="shared" si="5" ref="J48:J79">IF(ISERROR(A48),NA(),FV(C48/$E$42,$E$42,-(E48+G48)/$E$42,-(K47-I48*$E$43),0)-(K47+E48+G48-I48*$E$43))</f>
        <v>1200.0000000000218</v>
      </c>
      <c r="K48" s="69">
        <f t="shared" si="6" ref="K48:K79">IF(ISERROR(A48),NA(),K47+E48+G48+J48-I48)</f>
        <v>44861.55228428384</v>
      </c>
      <c r="M48" s="70"/>
    </row>
    <row r="49" spans="8:8">
      <c r="A49" s="65">
        <f t="shared" si="7" ref="A49:A112">IF($E$8&gt;=$E$9,NA(),IF(A48&lt;($E$9-$E$8)+$E$10,A48+1,NA()))</f>
        <v>2.0</v>
      </c>
      <c r="B49" s="65">
        <f t="shared" si="0"/>
        <v>31.0</v>
      </c>
      <c r="C49" s="66">
        <f t="shared" si="1"/>
        <v>0.06</v>
      </c>
      <c r="D49" s="68">
        <f t="shared" si="8" ref="D49:D80">IF(ISERROR(A49),NA(),IF(B49&gt;=$E$9,$K$9*(1+$E$16)^(B49-$E$9),(1+$E$20)*D48))</f>
        <v>51000.0</v>
      </c>
      <c r="E49" s="68">
        <f t="shared" si="2"/>
        <v>22604.783329969498</v>
      </c>
      <c r="F49" s="68" t="str">
        <f t="shared" si="9" ref="F49:F112">IF(ISERROR(A49),NA(),"")</f>
        <v/>
      </c>
      <c r="G49" s="68">
        <f t="shared" si="3"/>
        <v>1530.0</v>
      </c>
      <c r="H49" s="68">
        <f t="shared" si="10" ref="H49:H112">IF(ISERROR(A49),NA(),IF(ISERROR(B49),0,IF(AND(B49&gt;=$K$18,B49&lt;($K$18+$K$21)),$K$19*(1+$K$20)^(B49-$K$18),0)))</f>
        <v>0.0</v>
      </c>
      <c r="I49" s="68">
        <f t="shared" si="4"/>
        <v>0.0</v>
      </c>
      <c r="J49" s="69">
        <f t="shared" si="5"/>
        <v>2691.6931370570674</v>
      </c>
      <c r="K49" s="69">
        <f t="shared" si="6"/>
        <v>71688.0287513104</v>
      </c>
      <c r="M49" s="70"/>
    </row>
    <row r="50" spans="8:8">
      <c r="A50" s="65">
        <f t="shared" si="7"/>
        <v>3.0</v>
      </c>
      <c r="B50" s="65">
        <f t="shared" si="0"/>
        <v>32.0</v>
      </c>
      <c r="C50" s="66">
        <f t="shared" si="1"/>
        <v>0.06</v>
      </c>
      <c r="D50" s="68">
        <f t="shared" si="8"/>
        <v>52020.0</v>
      </c>
      <c r="E50" s="68">
        <f t="shared" si="2"/>
        <v>23056.878996568885</v>
      </c>
      <c r="F50" s="68" t="str">
        <f t="shared" si="9"/>
        <v/>
      </c>
      <c r="G50" s="68">
        <f t="shared" si="3"/>
        <v>1560.6</v>
      </c>
      <c r="H50" s="68">
        <f t="shared" si="10"/>
        <v>0.0</v>
      </c>
      <c r="I50" s="68">
        <f t="shared" si="4"/>
        <v>0.0</v>
      </c>
      <c r="J50" s="69">
        <f t="shared" si="5"/>
        <v>4301.281725078647</v>
      </c>
      <c r="K50" s="69">
        <f t="shared" si="6"/>
        <v>100606.78947295793</v>
      </c>
      <c r="M50" s="70"/>
    </row>
    <row r="51" spans="8:8">
      <c r="A51" s="65">
        <f t="shared" si="7"/>
        <v>4.0</v>
      </c>
      <c r="B51" s="65">
        <f t="shared" si="0"/>
        <v>33.0</v>
      </c>
      <c r="C51" s="66">
        <f t="shared" si="1"/>
        <v>0.06</v>
      </c>
      <c r="D51" s="68">
        <f t="shared" si="8"/>
        <v>53060.4</v>
      </c>
      <c r="E51" s="68">
        <f t="shared" si="2"/>
        <v>23518.016576500264</v>
      </c>
      <c r="F51" s="68" t="str">
        <f t="shared" si="9"/>
        <v/>
      </c>
      <c r="G51" s="68">
        <f t="shared" si="3"/>
        <v>1591.812</v>
      </c>
      <c r="H51" s="68">
        <f t="shared" si="10"/>
        <v>0.0</v>
      </c>
      <c r="I51" s="68">
        <f t="shared" si="4"/>
        <v>0.0</v>
      </c>
      <c r="J51" s="69">
        <f t="shared" si="5"/>
        <v>6036.407368377491</v>
      </c>
      <c r="K51" s="69">
        <f t="shared" si="6"/>
        <v>131753.02541783568</v>
      </c>
      <c r="M51" s="70"/>
    </row>
    <row r="52" spans="8:8">
      <c r="A52" s="65">
        <f t="shared" si="7"/>
        <v>5.0</v>
      </c>
      <c r="B52" s="65">
        <f t="shared" si="0"/>
        <v>34.0</v>
      </c>
      <c r="C52" s="66">
        <f t="shared" si="1"/>
        <v>0.06</v>
      </c>
      <c r="D52" s="68">
        <f t="shared" si="8"/>
        <v>54121.608</v>
      </c>
      <c r="E52" s="68">
        <f t="shared" si="2"/>
        <v>23988.37690803027</v>
      </c>
      <c r="F52" s="68" t="str">
        <f t="shared" si="9"/>
        <v/>
      </c>
      <c r="G52" s="68">
        <f t="shared" si="3"/>
        <v>1623.64824</v>
      </c>
      <c r="H52" s="68">
        <f t="shared" si="10"/>
        <v>0.0</v>
      </c>
      <c r="I52" s="68">
        <f t="shared" si="4"/>
        <v>0.0</v>
      </c>
      <c r="J52" s="69">
        <f t="shared" si="5"/>
        <v>7905.181525070162</v>
      </c>
      <c r="K52" s="69">
        <f t="shared" si="6"/>
        <v>165270.23209093613</v>
      </c>
      <c r="M52" s="70"/>
    </row>
    <row r="53" spans="8:8">
      <c r="A53" s="65">
        <f t="shared" si="7"/>
        <v>6.0</v>
      </c>
      <c r="B53" s="65">
        <f t="shared" si="0"/>
        <v>35.0</v>
      </c>
      <c r="C53" s="66">
        <f t="shared" si="1"/>
        <v>0.06</v>
      </c>
      <c r="D53" s="68">
        <f t="shared" si="8"/>
        <v>55204.040160000004</v>
      </c>
      <c r="E53" s="68">
        <f t="shared" si="2"/>
        <v>24468.144446190876</v>
      </c>
      <c r="F53" s="68" t="str">
        <f t="shared" si="9"/>
        <v/>
      </c>
      <c r="G53" s="68">
        <f t="shared" si="3"/>
        <v>1656.1212048</v>
      </c>
      <c r="H53" s="68">
        <f t="shared" si="10"/>
        <v>0.0</v>
      </c>
      <c r="I53" s="68">
        <f t="shared" si="4"/>
        <v>0.0</v>
      </c>
      <c r="J53" s="69">
        <f t="shared" si="5"/>
        <v>9916.213925456192</v>
      </c>
      <c r="K53" s="69">
        <f t="shared" si="6"/>
        <v>201310.7116673832</v>
      </c>
      <c r="M53" s="70"/>
    </row>
    <row r="54" spans="8:8">
      <c r="A54" s="65">
        <f t="shared" si="7"/>
        <v>7.0</v>
      </c>
      <c r="B54" s="65">
        <f t="shared" si="0"/>
        <v>36.0</v>
      </c>
      <c r="C54" s="66">
        <f t="shared" si="1"/>
        <v>0.06</v>
      </c>
      <c r="D54" s="68">
        <f t="shared" si="8"/>
        <v>56308.1209632</v>
      </c>
      <c r="E54" s="68">
        <f t="shared" si="2"/>
        <v>24957.507335114693</v>
      </c>
      <c r="F54" s="68" t="str">
        <f t="shared" si="9"/>
        <v/>
      </c>
      <c r="G54" s="68">
        <f t="shared" si="3"/>
        <v>1689.243628896</v>
      </c>
      <c r="H54" s="68">
        <f t="shared" si="10"/>
        <v>0.0</v>
      </c>
      <c r="I54" s="68">
        <f t="shared" si="4"/>
        <v>0.0</v>
      </c>
      <c r="J54" s="69">
        <f t="shared" si="5"/>
        <v>12078.642700043041</v>
      </c>
      <c r="K54" s="69">
        <f t="shared" si="6"/>
        <v>240036.10533143693</v>
      </c>
      <c r="M54" s="70"/>
    </row>
    <row r="55" spans="8:8">
      <c r="A55" s="65">
        <f t="shared" si="7"/>
        <v>8.0</v>
      </c>
      <c r="B55" s="65">
        <f t="shared" si="0"/>
        <v>37.0</v>
      </c>
      <c r="C55" s="66">
        <f t="shared" si="1"/>
        <v>0.06</v>
      </c>
      <c r="D55" s="68">
        <f t="shared" si="8"/>
        <v>57434.283382464004</v>
      </c>
      <c r="E55" s="68">
        <f t="shared" si="2"/>
        <v>25456.657481816987</v>
      </c>
      <c r="F55" s="68" t="str">
        <f t="shared" si="9"/>
        <v/>
      </c>
      <c r="G55" s="68">
        <f t="shared" si="3"/>
        <v>1723.02850147392</v>
      </c>
      <c r="H55" s="68">
        <f t="shared" si="10"/>
        <v>0.0</v>
      </c>
      <c r="I55" s="68">
        <f t="shared" si="4"/>
        <v>0.0</v>
      </c>
      <c r="J55" s="69">
        <f t="shared" si="5"/>
        <v>14402.16631988628</v>
      </c>
      <c r="K55" s="69">
        <f t="shared" si="6"/>
        <v>281617.9576346141</v>
      </c>
      <c r="M55" s="70"/>
    </row>
    <row r="56" spans="8:8">
      <c r="A56" s="65">
        <f t="shared" si="7"/>
        <v>9.0</v>
      </c>
      <c r="B56" s="65">
        <f t="shared" si="0"/>
        <v>38.0</v>
      </c>
      <c r="C56" s="66">
        <f t="shared" si="1"/>
        <v>0.06</v>
      </c>
      <c r="D56" s="68">
        <f t="shared" si="8"/>
        <v>58582.969050113286</v>
      </c>
      <c r="E56" s="68">
        <f t="shared" si="2"/>
        <v>25965.79063145333</v>
      </c>
      <c r="F56" s="68" t="str">
        <f t="shared" si="9"/>
        <v/>
      </c>
      <c r="G56" s="68">
        <f t="shared" si="3"/>
        <v>1757.4890715033985</v>
      </c>
      <c r="H56" s="68">
        <f t="shared" si="10"/>
        <v>0.0</v>
      </c>
      <c r="I56" s="68">
        <f t="shared" si="4"/>
        <v>0.0</v>
      </c>
      <c r="J56" s="69">
        <f t="shared" si="5"/>
        <v>16897.077458076878</v>
      </c>
      <c r="K56" s="69">
        <f t="shared" si="6"/>
        <v>326238.3147956477</v>
      </c>
      <c r="M56" s="70"/>
    </row>
    <row r="57" spans="8:8">
      <c r="A57" s="65">
        <f t="shared" si="7"/>
        <v>10.0</v>
      </c>
      <c r="B57" s="65">
        <f t="shared" si="0"/>
        <v>39.0</v>
      </c>
      <c r="C57" s="66">
        <f t="shared" si="1"/>
        <v>0.06</v>
      </c>
      <c r="D57" s="68">
        <f t="shared" si="8"/>
        <v>59754.628431115554</v>
      </c>
      <c r="E57" s="68">
        <f t="shared" si="2"/>
        <v>26485.106444082398</v>
      </c>
      <c r="F57" s="68" t="str">
        <f t="shared" si="9"/>
        <v/>
      </c>
      <c r="G57" s="68">
        <f t="shared" si="3"/>
        <v>1792.6388529334665</v>
      </c>
      <c r="H57" s="68">
        <f t="shared" si="10"/>
        <v>0.0</v>
      </c>
      <c r="I57" s="68">
        <f t="shared" si="4"/>
        <v>0.0</v>
      </c>
      <c r="J57" s="69">
        <f t="shared" si="5"/>
        <v>19574.2988877389</v>
      </c>
      <c r="K57" s="69">
        <f t="shared" si="6"/>
        <v>374090.35898040247</v>
      </c>
      <c r="M57" s="70"/>
    </row>
    <row r="58" spans="8:8">
      <c r="A58" s="65">
        <f t="shared" si="7"/>
        <v>11.0</v>
      </c>
      <c r="B58" s="65">
        <f t="shared" si="0"/>
        <v>40.0</v>
      </c>
      <c r="C58" s="66">
        <f t="shared" si="1"/>
        <v>0.06</v>
      </c>
      <c r="D58" s="68">
        <f t="shared" si="8"/>
        <v>60949.72099973787</v>
      </c>
      <c r="E58" s="68">
        <f t="shared" si="2"/>
        <v>27014.808572964044</v>
      </c>
      <c r="F58" s="68" t="str">
        <f t="shared" si="9"/>
        <v/>
      </c>
      <c r="G58" s="68">
        <f t="shared" si="3"/>
        <v>1828.491629992136</v>
      </c>
      <c r="H58" s="68">
        <f t="shared" si="10"/>
        <v>0.0</v>
      </c>
      <c r="I58" s="68">
        <f t="shared" si="4"/>
        <v>0.0</v>
      </c>
      <c r="J58" s="69">
        <f t="shared" si="5"/>
        <v>22445.421538824157</v>
      </c>
      <c r="K58" s="69">
        <f t="shared" si="6"/>
        <v>425379.0807221828</v>
      </c>
      <c r="M58" s="70"/>
    </row>
    <row r="59" spans="8:8">
      <c r="A59" s="65">
        <f t="shared" si="7"/>
        <v>12.0</v>
      </c>
      <c r="B59" s="65">
        <f t="shared" si="0"/>
        <v>41.0</v>
      </c>
      <c r="C59" s="66">
        <f t="shared" si="1"/>
        <v>0.06</v>
      </c>
      <c r="D59" s="68">
        <f t="shared" si="8"/>
        <v>62168.71541973262</v>
      </c>
      <c r="E59" s="68">
        <f t="shared" si="2"/>
        <v>27555.104744423326</v>
      </c>
      <c r="F59" s="68" t="str">
        <f t="shared" si="9"/>
        <v/>
      </c>
      <c r="G59" s="68">
        <f t="shared" si="3"/>
        <v>1865.0614625919786</v>
      </c>
      <c r="H59" s="68">
        <f t="shared" si="10"/>
        <v>0.0</v>
      </c>
      <c r="I59" s="68">
        <f t="shared" si="4"/>
        <v>0.0</v>
      </c>
      <c r="J59" s="69">
        <f t="shared" si="5"/>
        <v>25522.74484333099</v>
      </c>
      <c r="K59" s="69">
        <f t="shared" si="6"/>
        <v>480321.99177252915</v>
      </c>
      <c r="M59" s="70"/>
    </row>
    <row r="60" spans="8:8">
      <c r="A60" s="65">
        <f t="shared" si="7"/>
        <v>13.0</v>
      </c>
      <c r="B60" s="65">
        <f t="shared" si="0"/>
        <v>42.0</v>
      </c>
      <c r="C60" s="66">
        <f t="shared" si="1"/>
        <v>0.06</v>
      </c>
      <c r="D60" s="68">
        <f t="shared" si="8"/>
        <v>63412.08972812728</v>
      </c>
      <c r="E60" s="68">
        <f t="shared" si="2"/>
        <v>28106.20683931179</v>
      </c>
      <c r="F60" s="68" t="str">
        <f t="shared" si="9"/>
        <v/>
      </c>
      <c r="G60" s="68">
        <f t="shared" si="3"/>
        <v>1902.3626918438183</v>
      </c>
      <c r="H60" s="68">
        <f t="shared" si="10"/>
        <v>0.0</v>
      </c>
      <c r="I60" s="68">
        <f t="shared" si="4"/>
        <v>0.0</v>
      </c>
      <c r="J60" s="69">
        <f t="shared" si="5"/>
        <v>28819.319506351778</v>
      </c>
      <c r="K60" s="69">
        <f t="shared" si="6"/>
        <v>539149.8808100366</v>
      </c>
      <c r="M60" s="70"/>
    </row>
    <row r="61" spans="8:8">
      <c r="A61" s="65">
        <f t="shared" si="7"/>
        <v>14.0</v>
      </c>
      <c r="B61" s="65">
        <f t="shared" si="0"/>
        <v>43.0</v>
      </c>
      <c r="C61" s="66">
        <f t="shared" si="1"/>
        <v>0.06</v>
      </c>
      <c r="D61" s="68">
        <f t="shared" si="8"/>
        <v>64680.33152268983</v>
      </c>
      <c r="E61" s="68">
        <f t="shared" si="2"/>
        <v>28668.33097609803</v>
      </c>
      <c r="F61" s="68" t="str">
        <f t="shared" si="9"/>
        <v/>
      </c>
      <c r="G61" s="68">
        <f t="shared" si="3"/>
        <v>1940.4099456806948</v>
      </c>
      <c r="H61" s="68">
        <f t="shared" si="10"/>
        <v>0.0</v>
      </c>
      <c r="I61" s="68">
        <f t="shared" si="4"/>
        <v>0.0</v>
      </c>
      <c r="J61" s="69">
        <f t="shared" si="5"/>
        <v>32348.99284860224</v>
      </c>
      <c r="K61" s="69">
        <f t="shared" si="6"/>
        <v>602107.6145804175</v>
      </c>
      <c r="M61" s="70"/>
    </row>
    <row r="62" spans="8:8">
      <c r="A62" s="65">
        <f t="shared" si="7"/>
        <v>15.0</v>
      </c>
      <c r="B62" s="65">
        <f t="shared" si="0"/>
        <v>44.0</v>
      </c>
      <c r="C62" s="66">
        <f t="shared" si="1"/>
        <v>0.06</v>
      </c>
      <c r="D62" s="68">
        <f t="shared" si="8"/>
        <v>65973.93815314362</v>
      </c>
      <c r="E62" s="68">
        <f t="shared" si="2"/>
        <v>29241.69759561999</v>
      </c>
      <c r="F62" s="68" t="str">
        <f t="shared" si="9"/>
        <v/>
      </c>
      <c r="G62" s="68">
        <f t="shared" si="3"/>
        <v>1979.2181445943086</v>
      </c>
      <c r="H62" s="68">
        <f t="shared" si="10"/>
        <v>0.0</v>
      </c>
      <c r="I62" s="68">
        <f t="shared" si="4"/>
        <v>0.0</v>
      </c>
      <c r="J62" s="69">
        <f t="shared" si="5"/>
        <v>36126.45687482506</v>
      </c>
      <c r="K62" s="69">
        <f t="shared" si="6"/>
        <v>669454.9871954569</v>
      </c>
      <c r="M62" s="70"/>
    </row>
    <row r="63" spans="8:8">
      <c r="A63" s="65">
        <f t="shared" si="7"/>
        <v>16.0</v>
      </c>
      <c r="B63" s="65">
        <f t="shared" si="0"/>
        <v>45.0</v>
      </c>
      <c r="C63" s="66">
        <f t="shared" si="1"/>
        <v>0.06</v>
      </c>
      <c r="D63" s="68">
        <f t="shared" si="8"/>
        <v>67293.4169162065</v>
      </c>
      <c r="E63" s="68">
        <f t="shared" si="2"/>
        <v>29826.531547532388</v>
      </c>
      <c r="F63" s="68" t="str">
        <f t="shared" si="9"/>
        <v/>
      </c>
      <c r="G63" s="68">
        <f t="shared" si="3"/>
        <v>2018.8025074861948</v>
      </c>
      <c r="H63" s="68">
        <f t="shared" si="10"/>
        <v>0.0</v>
      </c>
      <c r="I63" s="68">
        <f t="shared" si="4"/>
        <v>0.0</v>
      </c>
      <c r="J63" s="69">
        <f t="shared" si="5"/>
        <v>40167.29923172749</v>
      </c>
      <c r="K63" s="69">
        <f t="shared" si="6"/>
        <v>741467.620482203</v>
      </c>
      <c r="M63" s="70"/>
    </row>
    <row r="64" spans="8:8">
      <c r="A64" s="65">
        <f t="shared" si="7"/>
        <v>17.0</v>
      </c>
      <c r="B64" s="65">
        <f t="shared" si="0"/>
        <v>46.0</v>
      </c>
      <c r="C64" s="66">
        <f t="shared" si="1"/>
        <v>0.06</v>
      </c>
      <c r="D64" s="68">
        <f t="shared" si="8"/>
        <v>68639.28525453062</v>
      </c>
      <c r="E64" s="68">
        <f t="shared" si="2"/>
        <v>30423.062178483036</v>
      </c>
      <c r="F64" s="68" t="str">
        <f t="shared" si="9"/>
        <v/>
      </c>
      <c r="G64" s="68">
        <f t="shared" si="3"/>
        <v>2059.1785576359184</v>
      </c>
      <c r="H64" s="68">
        <f t="shared" si="10"/>
        <v>0.0</v>
      </c>
      <c r="I64" s="68">
        <f t="shared" si="4"/>
        <v>0.0</v>
      </c>
      <c r="J64" s="69">
        <f t="shared" si="5"/>
        <v>44488.05722893239</v>
      </c>
      <c r="K64" s="69">
        <f t="shared" si="6"/>
        <v>818437.9184472542</v>
      </c>
      <c r="M64" s="70"/>
    </row>
    <row r="65" spans="8:8">
      <c r="A65" s="65">
        <f t="shared" si="7"/>
        <v>18.0</v>
      </c>
      <c r="B65" s="65">
        <f t="shared" si="0"/>
        <v>47.0</v>
      </c>
      <c r="C65" s="66">
        <f t="shared" si="1"/>
        <v>0.06</v>
      </c>
      <c r="D65" s="68">
        <f t="shared" si="8"/>
        <v>70012.07095962124</v>
      </c>
      <c r="E65" s="68">
        <f t="shared" si="2"/>
        <v>31031.523422052698</v>
      </c>
      <c r="F65" s="68" t="str">
        <f t="shared" si="9"/>
        <v/>
      </c>
      <c r="G65" s="68">
        <f t="shared" si="3"/>
        <v>2100.362128788637</v>
      </c>
      <c r="H65" s="68">
        <f t="shared" si="10"/>
        <v>0.0</v>
      </c>
      <c r="I65" s="68">
        <f t="shared" si="4"/>
        <v>0.0</v>
      </c>
      <c r="J65" s="69">
        <f t="shared" si="5"/>
        <v>49106.275106835295</v>
      </c>
      <c r="K65" s="69">
        <f t="shared" si="6"/>
        <v>900676.0791049309</v>
      </c>
      <c r="M65" s="70"/>
    </row>
    <row r="66" spans="8:8">
      <c r="A66" s="65">
        <f t="shared" si="7"/>
        <v>19.0</v>
      </c>
      <c r="B66" s="65">
        <f t="shared" si="0"/>
        <v>48.0</v>
      </c>
      <c r="C66" s="66">
        <f t="shared" si="1"/>
        <v>0.06</v>
      </c>
      <c r="D66" s="68">
        <f t="shared" si="8"/>
        <v>71412.31237881367</v>
      </c>
      <c r="E66" s="68">
        <f t="shared" si="2"/>
        <v>31652.153890493755</v>
      </c>
      <c r="F66" s="68" t="str">
        <f t="shared" si="9"/>
        <v/>
      </c>
      <c r="G66" s="68">
        <f t="shared" si="3"/>
        <v>2142.36937136441</v>
      </c>
      <c r="H66" s="68">
        <f t="shared" si="10"/>
        <v>0.0</v>
      </c>
      <c r="I66" s="68">
        <f t="shared" si="4"/>
        <v>0.0</v>
      </c>
      <c r="J66" s="69">
        <f t="shared" si="5"/>
        <v>54040.56474629592</v>
      </c>
      <c r="K66" s="69">
        <f t="shared" si="6"/>
        <v>988511.1671130849</v>
      </c>
      <c r="M66" s="70"/>
    </row>
    <row r="67" spans="8:8">
      <c r="A67" s="65">
        <f t="shared" si="7"/>
        <v>20.0</v>
      </c>
      <c r="B67" s="65">
        <f t="shared" si="0"/>
        <v>49.0</v>
      </c>
      <c r="C67" s="66">
        <f t="shared" si="1"/>
        <v>0.06</v>
      </c>
      <c r="D67" s="68">
        <f t="shared" si="8"/>
        <v>72840.55862638995</v>
      </c>
      <c r="E67" s="68">
        <f t="shared" si="2"/>
        <v>32285.196968303633</v>
      </c>
      <c r="F67" s="68" t="str">
        <f t="shared" si="9"/>
        <v/>
      </c>
      <c r="G67" s="68">
        <f t="shared" si="3"/>
        <v>2185.2167587916983</v>
      </c>
      <c r="H67" s="68">
        <f t="shared" si="10"/>
        <v>0.0</v>
      </c>
      <c r="I67" s="68">
        <f t="shared" si="4"/>
        <v>0.0</v>
      </c>
      <c r="J67" s="69">
        <f t="shared" si="5"/>
        <v>59310.67002678511</v>
      </c>
      <c r="K67" s="69">
        <f t="shared" si="6"/>
        <v>1082292.2508669654</v>
      </c>
      <c r="M67" s="70"/>
    </row>
    <row r="68" spans="8:8">
      <c r="A68" s="65">
        <f t="shared" si="7"/>
        <v>21.0</v>
      </c>
      <c r="B68" s="65">
        <f t="shared" si="0"/>
        <v>50.0</v>
      </c>
      <c r="C68" s="66">
        <f t="shared" si="1"/>
        <v>0.06</v>
      </c>
      <c r="D68" s="68">
        <f t="shared" si="8"/>
        <v>74297.36979891775</v>
      </c>
      <c r="E68" s="68">
        <f t="shared" si="2"/>
        <v>32930.900907669704</v>
      </c>
      <c r="F68" s="68" t="str">
        <f t="shared" si="9"/>
        <v/>
      </c>
      <c r="G68" s="68">
        <f t="shared" si="3"/>
        <v>2228.921093967532</v>
      </c>
      <c r="H68" s="68">
        <f t="shared" si="10"/>
        <v>0.0</v>
      </c>
      <c r="I68" s="68">
        <f t="shared" si="4"/>
        <v>0.0</v>
      </c>
      <c r="J68" s="69">
        <f t="shared" si="5"/>
        <v>64937.53505201801</v>
      </c>
      <c r="K68" s="69">
        <f t="shared" si="6"/>
        <v>1182389.6079206206</v>
      </c>
      <c r="M68" s="70"/>
    </row>
    <row r="69" spans="8:8">
      <c r="A69" s="65">
        <f t="shared" si="7"/>
        <v>22.0</v>
      </c>
      <c r="B69" s="65">
        <f t="shared" si="0"/>
        <v>51.0</v>
      </c>
      <c r="C69" s="66">
        <f t="shared" si="1"/>
        <v>0.06</v>
      </c>
      <c r="D69" s="68">
        <f t="shared" si="8"/>
        <v>75783.3171948961</v>
      </c>
      <c r="E69" s="68">
        <f t="shared" si="2"/>
        <v>33589.5189258231</v>
      </c>
      <c r="F69" s="68" t="str">
        <f t="shared" si="9"/>
        <v/>
      </c>
      <c r="G69" s="68">
        <f t="shared" si="3"/>
        <v>2273.499515846883</v>
      </c>
      <c r="H69" s="68">
        <f t="shared" si="10"/>
        <v>0.0</v>
      </c>
      <c r="I69" s="68">
        <f t="shared" si="4"/>
        <v>0.0</v>
      </c>
      <c r="J69" s="69">
        <f t="shared" si="5"/>
        <v>70943.37647523754</v>
      </c>
      <c r="K69" s="69">
        <f t="shared" si="6"/>
        <v>1289196.002837528</v>
      </c>
      <c r="M69" s="70"/>
    </row>
    <row r="70" spans="8:8">
      <c r="A70" s="65">
        <f t="shared" si="7"/>
        <v>23.0</v>
      </c>
      <c r="B70" s="65">
        <f t="shared" si="0"/>
        <v>52.0</v>
      </c>
      <c r="C70" s="66">
        <f t="shared" si="1"/>
        <v>0.06</v>
      </c>
      <c r="D70" s="68">
        <f t="shared" si="8"/>
        <v>77298.98353879403</v>
      </c>
      <c r="E70" s="68">
        <f t="shared" si="2"/>
        <v>34261.309304339564</v>
      </c>
      <c r="F70" s="68" t="str">
        <f t="shared" si="9"/>
        <v/>
      </c>
      <c r="G70" s="68">
        <f t="shared" si="3"/>
        <v>2318.969506163821</v>
      </c>
      <c r="H70" s="68">
        <f t="shared" si="10"/>
        <v>0.0</v>
      </c>
      <c r="I70" s="68">
        <f t="shared" si="4"/>
        <v>0.0</v>
      </c>
      <c r="J70" s="69">
        <f t="shared" si="5"/>
        <v>77351.76017025183</v>
      </c>
      <c r="K70" s="69">
        <f t="shared" si="6"/>
        <v>1403128.0418182833</v>
      </c>
      <c r="M70" s="70"/>
    </row>
    <row r="71" spans="8:8">
      <c r="A71" s="65">
        <f t="shared" si="7"/>
        <v>24.0</v>
      </c>
      <c r="B71" s="65">
        <f t="shared" si="0"/>
        <v>53.0</v>
      </c>
      <c r="C71" s="66">
        <f t="shared" si="1"/>
        <v>0.06</v>
      </c>
      <c r="D71" s="68">
        <f t="shared" si="8"/>
        <v>78844.9632095699</v>
      </c>
      <c r="E71" s="68">
        <f t="shared" si="2"/>
        <v>34946.53549042635</v>
      </c>
      <c r="F71" s="68" t="str">
        <f t="shared" si="9"/>
        <v/>
      </c>
      <c r="G71" s="68">
        <f t="shared" si="3"/>
        <v>2365.348896287097</v>
      </c>
      <c r="H71" s="68">
        <f t="shared" si="10"/>
        <v>0.0</v>
      </c>
      <c r="I71" s="68">
        <f t="shared" si="4"/>
        <v>0.0</v>
      </c>
      <c r="J71" s="69">
        <f t="shared" si="5"/>
        <v>84187.6825090968</v>
      </c>
      <c r="K71" s="69">
        <f t="shared" si="6"/>
        <v>1524627.6087140937</v>
      </c>
      <c r="M71" s="70"/>
    </row>
    <row r="72" spans="8:8">
      <c r="A72" s="65">
        <f t="shared" si="7"/>
        <v>25.0</v>
      </c>
      <c r="B72" s="65">
        <f t="shared" si="0"/>
        <v>54.0</v>
      </c>
      <c r="C72" s="66">
        <f t="shared" si="1"/>
        <v>0.06</v>
      </c>
      <c r="D72" s="68">
        <f t="shared" si="8"/>
        <v>80421.8624737613</v>
      </c>
      <c r="E72" s="68">
        <f t="shared" si="2"/>
        <v>35645.46620023488</v>
      </c>
      <c r="F72" s="68" t="str">
        <f t="shared" si="9"/>
        <v/>
      </c>
      <c r="G72" s="68">
        <f t="shared" si="3"/>
        <v>2412.655874212839</v>
      </c>
      <c r="H72" s="68">
        <f t="shared" si="10"/>
        <v>0.0</v>
      </c>
      <c r="I72" s="68">
        <f t="shared" si="4"/>
        <v>0.0</v>
      </c>
      <c r="J72" s="69">
        <f t="shared" si="5"/>
        <v>91477.65652284585</v>
      </c>
      <c r="K72" s="69">
        <f t="shared" si="6"/>
        <v>1654163.387311387</v>
      </c>
      <c r="M72" s="70"/>
    </row>
    <row r="73" spans="8:8">
      <c r="A73" s="65">
        <f t="shared" si="7"/>
        <v>26.0</v>
      </c>
      <c r="B73" s="65">
        <f t="shared" si="0"/>
        <v>55.0</v>
      </c>
      <c r="C73" s="66">
        <f t="shared" si="1"/>
        <v>0.06</v>
      </c>
      <c r="D73" s="68">
        <f t="shared" si="8"/>
        <v>82030.29972323653</v>
      </c>
      <c r="E73" s="68">
        <f t="shared" si="2"/>
        <v>36358.37552423958</v>
      </c>
      <c r="F73" s="68" t="str">
        <f t="shared" si="9"/>
        <v/>
      </c>
      <c r="G73" s="68">
        <f t="shared" si="3"/>
        <v>2460.9089916970956</v>
      </c>
      <c r="H73" s="68">
        <f t="shared" si="10"/>
        <v>0.0</v>
      </c>
      <c r="I73" s="68">
        <f t="shared" si="4"/>
        <v>0.0</v>
      </c>
      <c r="J73" s="69">
        <f t="shared" si="5"/>
        <v>99249.80323868338</v>
      </c>
      <c r="K73" s="69">
        <f t="shared" si="6"/>
        <v>1792232.475066007</v>
      </c>
      <c r="M73" s="70"/>
    </row>
    <row r="74" spans="8:8">
      <c r="A74" s="65">
        <f t="shared" si="7"/>
        <v>27.0</v>
      </c>
      <c r="B74" s="65">
        <f t="shared" si="0"/>
        <v>56.0</v>
      </c>
      <c r="C74" s="66">
        <f t="shared" si="1"/>
        <v>0.06</v>
      </c>
      <c r="D74" s="68">
        <f t="shared" si="8"/>
        <v>83670.90571770126</v>
      </c>
      <c r="E74" s="68">
        <f t="shared" si="2"/>
        <v>37085.54303472437</v>
      </c>
      <c r="F74" s="68" t="str">
        <f t="shared" si="9"/>
        <v/>
      </c>
      <c r="G74" s="68">
        <f t="shared" si="3"/>
        <v>2510.1271715310377</v>
      </c>
      <c r="H74" s="68">
        <f t="shared" si="10"/>
        <v>0.0</v>
      </c>
      <c r="I74" s="68">
        <f t="shared" si="4"/>
        <v>0.0</v>
      </c>
      <c r="J74" s="69">
        <f t="shared" si="5"/>
        <v>107533.94850396062</v>
      </c>
      <c r="K74" s="69">
        <f t="shared" si="6"/>
        <v>1939362.0937762232</v>
      </c>
      <c r="M74" s="70"/>
    </row>
    <row r="75" spans="8:8">
      <c r="A75" s="65">
        <f t="shared" si="7"/>
        <v>28.0</v>
      </c>
      <c r="B75" s="65">
        <f t="shared" si="0"/>
        <v>57.0</v>
      </c>
      <c r="C75" s="66">
        <f t="shared" si="1"/>
        <v>0.06</v>
      </c>
      <c r="D75" s="68">
        <f t="shared" si="8"/>
        <v>85344.32383205529</v>
      </c>
      <c r="E75" s="68">
        <f t="shared" si="2"/>
        <v>37827.25389541886</v>
      </c>
      <c r="F75" s="68" t="str">
        <f t="shared" si="9"/>
        <v/>
      </c>
      <c r="G75" s="68">
        <f t="shared" si="3"/>
        <v>2560.3297149616587</v>
      </c>
      <c r="H75" s="68">
        <f t="shared" si="10"/>
        <v>0.0</v>
      </c>
      <c r="I75" s="68">
        <f t="shared" si="4"/>
        <v>0.0</v>
      </c>
      <c r="J75" s="69">
        <f t="shared" si="5"/>
        <v>116361.72562657343</v>
      </c>
      <c r="K75" s="69">
        <f t="shared" si="6"/>
        <v>2096111.4030131772</v>
      </c>
      <c r="M75" s="70"/>
    </row>
    <row r="76" spans="8:8">
      <c r="A76" s="65">
        <f t="shared" si="7"/>
        <v>29.0</v>
      </c>
      <c r="B76" s="65">
        <f t="shared" si="0"/>
        <v>58.0</v>
      </c>
      <c r="C76" s="66">
        <f t="shared" si="1"/>
        <v>0.06</v>
      </c>
      <c r="D76" s="68">
        <f t="shared" si="8"/>
        <v>87051.2103086964</v>
      </c>
      <c r="E76" s="68">
        <f t="shared" si="2"/>
        <v>38583.79897332724</v>
      </c>
      <c r="F76" s="68" t="str">
        <f t="shared" si="9"/>
        <v/>
      </c>
      <c r="G76" s="68">
        <f t="shared" si="3"/>
        <v>2611.5363092608923</v>
      </c>
      <c r="H76" s="68">
        <f t="shared" si="10"/>
        <v>0.0</v>
      </c>
      <c r="I76" s="68">
        <f t="shared" si="4"/>
        <v>0.0</v>
      </c>
      <c r="J76" s="69">
        <f t="shared" si="5"/>
        <v>125766.68418079102</v>
      </c>
      <c r="K76" s="69">
        <f t="shared" si="6"/>
        <v>2263073.422476556</v>
      </c>
      <c r="M76" s="70"/>
    </row>
    <row r="77" spans="8:8">
      <c r="A77" s="65">
        <f t="shared" si="7"/>
        <v>30.0</v>
      </c>
      <c r="B77" s="65">
        <f t="shared" si="0"/>
        <v>59.0</v>
      </c>
      <c r="C77" s="66">
        <f t="shared" si="1"/>
        <v>0.06</v>
      </c>
      <c r="D77" s="68">
        <f t="shared" si="8"/>
        <v>88792.23451487033</v>
      </c>
      <c r="E77" s="68">
        <f t="shared" si="2"/>
        <v>39355.47495279378</v>
      </c>
      <c r="F77" s="68" t="str">
        <f t="shared" si="9"/>
        <v/>
      </c>
      <c r="G77" s="68">
        <f t="shared" si="3"/>
        <v>2663.7670354461097</v>
      </c>
      <c r="H77" s="68">
        <f t="shared" si="10"/>
        <v>0.0</v>
      </c>
      <c r="I77" s="68">
        <f t="shared" si="4"/>
        <v>0.0</v>
      </c>
      <c r="J77" s="69">
        <f t="shared" si="5"/>
        <v>135784.40534859337</v>
      </c>
      <c r="K77" s="69">
        <f t="shared" si="6"/>
        <v>2440877.0698133893</v>
      </c>
      <c r="M77" s="70"/>
    </row>
    <row r="78" spans="8:8">
      <c r="A78" s="65">
        <f t="shared" si="7"/>
        <v>31.0</v>
      </c>
      <c r="B78" s="65">
        <f t="shared" si="0"/>
        <v>60.0</v>
      </c>
      <c r="C78" s="66">
        <f t="shared" si="1"/>
        <v>0.06</v>
      </c>
      <c r="D78" s="68">
        <f t="shared" si="8"/>
        <v>90568.07920516774</v>
      </c>
      <c r="E78" s="68">
        <f t="shared" si="2"/>
        <v>40142.58445184966</v>
      </c>
      <c r="F78" s="68" t="str">
        <f t="shared" si="9"/>
        <v/>
      </c>
      <c r="G78" s="68">
        <f t="shared" si="3"/>
        <v>2717.0423761550323</v>
      </c>
      <c r="H78" s="68">
        <f t="shared" si="10"/>
        <v>0.0</v>
      </c>
      <c r="I78" s="68">
        <f t="shared" si="4"/>
        <v>0.0</v>
      </c>
      <c r="J78" s="69">
        <f t="shared" si="5"/>
        <v>146452.6241888036</v>
      </c>
      <c r="K78" s="69">
        <f t="shared" si="6"/>
        <v>2630189.3208301975</v>
      </c>
      <c r="M78" s="70"/>
    </row>
    <row r="79" spans="8:8">
      <c r="A79" s="65">
        <f t="shared" si="7"/>
        <v>32.0</v>
      </c>
      <c r="B79" s="65">
        <f t="shared" si="0"/>
        <v>61.0</v>
      </c>
      <c r="C79" s="66">
        <f t="shared" si="1"/>
        <v>0.06</v>
      </c>
      <c r="D79" s="68">
        <f t="shared" si="8"/>
        <v>92379.4407892711</v>
      </c>
      <c r="E79" s="68">
        <f t="shared" si="2"/>
        <v>40945.43614088666</v>
      </c>
      <c r="F79" s="68" t="str">
        <f t="shared" si="9"/>
        <v/>
      </c>
      <c r="G79" s="68">
        <f t="shared" si="3"/>
        <v>2771.383223678133</v>
      </c>
      <c r="H79" s="68">
        <f t="shared" si="10"/>
        <v>0.0</v>
      </c>
      <c r="I79" s="68">
        <f t="shared" si="4"/>
        <v>0.0</v>
      </c>
      <c r="J79" s="69">
        <f t="shared" si="5"/>
        <v>157811.35924981255</v>
      </c>
      <c r="K79" s="69">
        <f t="shared" si="6"/>
        <v>2831717.4994445746</v>
      </c>
      <c r="M79" s="70"/>
    </row>
    <row r="80" spans="8:8">
      <c r="A80" s="65">
        <f t="shared" si="7"/>
        <v>33.0</v>
      </c>
      <c r="B80" s="65">
        <f t="shared" si="0"/>
        <v>62.0</v>
      </c>
      <c r="C80" s="66">
        <f t="shared" si="11" ref="C80:C111">IF(ISERROR(A80),NA(),IF(B80&lt;$E$9,$E$14,$E$15))</f>
        <v>0.06</v>
      </c>
      <c r="D80" s="68">
        <f t="shared" si="8"/>
        <v>94227.02960505652</v>
      </c>
      <c r="E80" s="68">
        <f t="shared" si="12" ref="E80:E111">IF(ISERROR(A80),NA(),IF(B80=$E$9-1,$K$25,0)+IF(A80&lt;=$E$11,$K$30*D80,0))</f>
        <v>41764.34486370439</v>
      </c>
      <c r="F80" s="68" t="str">
        <f t="shared" si="9"/>
        <v/>
      </c>
      <c r="G80" s="68">
        <f t="shared" si="13" ref="G80:G111">IF(ISERROR(A80),NA(),IF(A80&lt;=$E$11,MIN($E$24*E80,$E$25*$E$24*D80),0))</f>
        <v>2826.8108881516955</v>
      </c>
      <c r="H80" s="68">
        <f t="shared" si="10"/>
        <v>0.0</v>
      </c>
      <c r="I80" s="68">
        <f t="shared" si="14" ref="I80:I111">IF(ISERROR(A80),NA(),IF(B80&gt;=$E$9,D80-H80,0))</f>
        <v>0.0</v>
      </c>
      <c r="J80" s="69">
        <f t="shared" si="15" ref="J80:J111">IF(ISERROR(A80),NA(),FV(C80/$E$42,$E$42,-(E80+G80)/$E$42,-(K79-I80*$E$43),0)-(K79+E80+G80-I80*$E$43))</f>
        <v>169903.04996667476</v>
      </c>
      <c r="K80" s="69">
        <f t="shared" si="16" ref="K80:K111">IF(ISERROR(A80),NA(),K79+E80+G80+J80-I80)</f>
        <v>3046211.7051631054</v>
      </c>
      <c r="M80" s="70"/>
    </row>
    <row r="81" spans="8:8">
      <c r="A81" s="65">
        <f t="shared" si="7"/>
        <v>34.0</v>
      </c>
      <c r="B81" s="65">
        <f t="shared" si="0"/>
        <v>63.0</v>
      </c>
      <c r="C81" s="66">
        <f t="shared" si="11"/>
        <v>0.06</v>
      </c>
      <c r="D81" s="68">
        <f t="shared" si="17" ref="D81:D112">IF(ISERROR(A81),NA(),IF(B81&gt;=$E$9,$K$9*(1+$E$16)^(B81-$E$9),(1+$E$20)*D80))</f>
        <v>96111.57019715765</v>
      </c>
      <c r="E81" s="68">
        <f t="shared" si="12"/>
        <v>42599.631760978475</v>
      </c>
      <c r="F81" s="68" t="str">
        <f t="shared" si="9"/>
        <v/>
      </c>
      <c r="G81" s="68">
        <f t="shared" si="13"/>
        <v>2883.3471059147296</v>
      </c>
      <c r="H81" s="68">
        <f t="shared" si="10"/>
        <v>0.0</v>
      </c>
      <c r="I81" s="68">
        <f t="shared" si="14"/>
        <v>0.0</v>
      </c>
      <c r="J81" s="69">
        <f t="shared" si="15"/>
        <v>182772.70230978634</v>
      </c>
      <c r="K81" s="69">
        <f t="shared" si="16"/>
        <v>3274467.386339785</v>
      </c>
      <c r="M81" s="70"/>
    </row>
    <row r="82" spans="8:8">
      <c r="A82" s="65">
        <f t="shared" si="7"/>
        <v>35.0</v>
      </c>
      <c r="B82" s="65">
        <f t="shared" si="0"/>
        <v>64.0</v>
      </c>
      <c r="C82" s="66">
        <f t="shared" si="11"/>
        <v>0.06</v>
      </c>
      <c r="D82" s="68">
        <f t="shared" si="17"/>
        <v>98033.8016011008</v>
      </c>
      <c r="E82" s="68">
        <f t="shared" si="12"/>
        <v>43451.62439619804</v>
      </c>
      <c r="F82" s="68" t="str">
        <f t="shared" si="9"/>
        <v/>
      </c>
      <c r="G82" s="68">
        <f t="shared" si="13"/>
        <v>2941.0140480330238</v>
      </c>
      <c r="H82" s="68">
        <f t="shared" si="10"/>
        <v>0.0</v>
      </c>
      <c r="I82" s="68">
        <f t="shared" si="14"/>
        <v>0.0</v>
      </c>
      <c r="J82" s="69">
        <f t="shared" si="15"/>
        <v>196468.04318038747</v>
      </c>
      <c r="K82" s="69">
        <f t="shared" si="16"/>
        <v>3517328.0679644034</v>
      </c>
      <c r="M82" s="70"/>
    </row>
    <row r="83" spans="8:8">
      <c r="A83" s="65">
        <f t="shared" si="7"/>
        <v>36.0</v>
      </c>
      <c r="B83" s="65">
        <f t="shared" si="0"/>
        <v>65.0</v>
      </c>
      <c r="C83" s="66">
        <f t="shared" si="11"/>
        <v>0.03</v>
      </c>
      <c r="D83" s="68">
        <f t="shared" si="17"/>
        <v>140693.1227185763</v>
      </c>
      <c r="E83" s="68">
        <f t="shared" si="12"/>
        <v>0.0</v>
      </c>
      <c r="F83" s="68" t="str">
        <f t="shared" si="9"/>
        <v/>
      </c>
      <c r="G83" s="68">
        <f t="shared" si="13"/>
        <v>0.0</v>
      </c>
      <c r="H83" s="68">
        <f t="shared" si="10"/>
        <v>0.0</v>
      </c>
      <c r="I83" s="68">
        <f t="shared" si="14"/>
        <v>140693.1227185763</v>
      </c>
      <c r="J83" s="69">
        <f t="shared" si="15"/>
        <v>101299.04835737497</v>
      </c>
      <c r="K83" s="69">
        <f t="shared" si="16"/>
        <v>3477933.993603202</v>
      </c>
      <c r="M83" s="70"/>
    </row>
    <row r="84" spans="8:8">
      <c r="A84" s="65">
        <f t="shared" si="7"/>
        <v>37.0</v>
      </c>
      <c r="B84" s="65">
        <f t="shared" si="0"/>
        <v>66.0</v>
      </c>
      <c r="C84" s="66">
        <f t="shared" si="11"/>
        <v>0.03</v>
      </c>
      <c r="D84" s="68">
        <f t="shared" si="17"/>
        <v>144913.9164001336</v>
      </c>
      <c r="E84" s="68">
        <f t="shared" si="12"/>
        <v>0.0</v>
      </c>
      <c r="F84" s="68" t="str">
        <f t="shared" si="9"/>
        <v/>
      </c>
      <c r="G84" s="68">
        <f t="shared" si="13"/>
        <v>0.0</v>
      </c>
      <c r="H84" s="68">
        <f t="shared" si="10"/>
        <v>0.0</v>
      </c>
      <c r="I84" s="68">
        <f t="shared" si="14"/>
        <v>144913.9164001336</v>
      </c>
      <c r="J84" s="69">
        <f t="shared" si="15"/>
        <v>99990.60231609223</v>
      </c>
      <c r="K84" s="69">
        <f t="shared" si="16"/>
        <v>3433010.6795191607</v>
      </c>
      <c r="M84" s="70"/>
    </row>
    <row r="85" spans="8:8">
      <c r="A85" s="65">
        <f t="shared" si="7"/>
        <v>38.0</v>
      </c>
      <c r="B85" s="65">
        <f t="shared" si="0"/>
        <v>67.0</v>
      </c>
      <c r="C85" s="66">
        <f t="shared" si="11"/>
        <v>0.03</v>
      </c>
      <c r="D85" s="68">
        <f t="shared" si="17"/>
        <v>149261.3338921376</v>
      </c>
      <c r="E85" s="68">
        <f t="shared" si="12"/>
        <v>0.0</v>
      </c>
      <c r="F85" s="68" t="str">
        <f t="shared" si="9"/>
        <v/>
      </c>
      <c r="G85" s="68">
        <f t="shared" si="13"/>
        <v>0.0</v>
      </c>
      <c r="H85" s="68">
        <f t="shared" si="10"/>
        <v>0.0</v>
      </c>
      <c r="I85" s="68">
        <f t="shared" si="14"/>
        <v>149261.3338921376</v>
      </c>
      <c r="J85" s="69">
        <f t="shared" si="15"/>
        <v>98512.4803688107</v>
      </c>
      <c r="K85" s="69">
        <f t="shared" si="16"/>
        <v>3382261.8259958336</v>
      </c>
      <c r="M85" s="70"/>
    </row>
    <row r="86" spans="8:8">
      <c r="A86" s="65">
        <f t="shared" si="7"/>
        <v>39.0</v>
      </c>
      <c r="B86" s="65">
        <f t="shared" si="0"/>
        <v>68.0</v>
      </c>
      <c r="C86" s="66">
        <f t="shared" si="11"/>
        <v>0.03</v>
      </c>
      <c r="D86" s="68">
        <f t="shared" si="17"/>
        <v>153739.17390890175</v>
      </c>
      <c r="E86" s="68">
        <f t="shared" si="12"/>
        <v>0.0</v>
      </c>
      <c r="F86" s="68" t="str">
        <f t="shared" si="9"/>
        <v/>
      </c>
      <c r="G86" s="68">
        <f t="shared" si="13"/>
        <v>0.0</v>
      </c>
      <c r="H86" s="68">
        <f t="shared" si="10"/>
        <v>0.0</v>
      </c>
      <c r="I86" s="68">
        <f t="shared" si="14"/>
        <v>153739.17390890175</v>
      </c>
      <c r="J86" s="69">
        <f t="shared" si="15"/>
        <v>96855.67956260825</v>
      </c>
      <c r="K86" s="69">
        <f t="shared" si="16"/>
        <v>3325378.33164954</v>
      </c>
      <c r="M86" s="70"/>
    </row>
    <row r="87" spans="8:8">
      <c r="A87" s="65">
        <f t="shared" si="7"/>
        <v>40.0</v>
      </c>
      <c r="B87" s="65">
        <f t="shared" si="0"/>
        <v>69.0</v>
      </c>
      <c r="C87" s="66">
        <f t="shared" si="11"/>
        <v>0.03</v>
      </c>
      <c r="D87" s="68">
        <f t="shared" si="17"/>
        <v>158351.34912616882</v>
      </c>
      <c r="E87" s="68">
        <f t="shared" si="12"/>
        <v>0.0</v>
      </c>
      <c r="F87" s="68" t="str">
        <f t="shared" si="9"/>
        <v/>
      </c>
      <c r="G87" s="68">
        <f t="shared" si="13"/>
        <v>0.0</v>
      </c>
      <c r="H87" s="68">
        <f t="shared" si="10"/>
        <v>0.0</v>
      </c>
      <c r="I87" s="68">
        <f t="shared" si="14"/>
        <v>158351.34912616882</v>
      </c>
      <c r="J87" s="69">
        <f t="shared" si="15"/>
        <v>95010.8094757013</v>
      </c>
      <c r="K87" s="69">
        <f t="shared" si="16"/>
        <v>3262037.7919990723</v>
      </c>
      <c r="M87" s="70"/>
    </row>
    <row r="88" spans="8:8">
      <c r="A88" s="65">
        <f t="shared" si="7"/>
        <v>41.0</v>
      </c>
      <c r="B88" s="65">
        <f t="shared" si="0"/>
        <v>70.0</v>
      </c>
      <c r="C88" s="66">
        <f t="shared" si="11"/>
        <v>0.03</v>
      </c>
      <c r="D88" s="68">
        <f t="shared" si="17"/>
        <v>163101.88959995387</v>
      </c>
      <c r="E88" s="68">
        <f t="shared" si="12"/>
        <v>0.0</v>
      </c>
      <c r="F88" s="68" t="str">
        <f t="shared" si="9"/>
        <v/>
      </c>
      <c r="G88" s="68">
        <f t="shared" si="13"/>
        <v>0.0</v>
      </c>
      <c r="H88" s="68">
        <f t="shared" si="10"/>
        <v>0.0</v>
      </c>
      <c r="I88" s="68">
        <f t="shared" si="14"/>
        <v>163101.88959995387</v>
      </c>
      <c r="J88" s="69">
        <f t="shared" si="15"/>
        <v>92968.07707197359</v>
      </c>
      <c r="K88" s="69">
        <f t="shared" si="16"/>
        <v>3191903.979471092</v>
      </c>
      <c r="M88" s="70"/>
    </row>
    <row r="89" spans="8:8">
      <c r="A89" s="65">
        <f t="shared" si="7"/>
        <v>42.0</v>
      </c>
      <c r="B89" s="65">
        <f t="shared" si="0"/>
        <v>71.0</v>
      </c>
      <c r="C89" s="66">
        <f t="shared" si="11"/>
        <v>0.03</v>
      </c>
      <c r="D89" s="68">
        <f t="shared" si="17"/>
        <v>167994.94628795248</v>
      </c>
      <c r="E89" s="68">
        <f t="shared" si="12"/>
        <v>0.0</v>
      </c>
      <c r="F89" s="68" t="str">
        <f t="shared" si="9"/>
        <v/>
      </c>
      <c r="G89" s="68">
        <f t="shared" si="13"/>
        <v>0.0</v>
      </c>
      <c r="H89" s="68">
        <f t="shared" si="10"/>
        <v>0.0</v>
      </c>
      <c r="I89" s="68">
        <f t="shared" si="14"/>
        <v>167994.94628795248</v>
      </c>
      <c r="J89" s="69">
        <f t="shared" si="15"/>
        <v>90717.27099549444</v>
      </c>
      <c r="K89" s="69">
        <f t="shared" si="16"/>
        <v>3114626.304178634</v>
      </c>
      <c r="M89" s="70"/>
    </row>
    <row r="90" spans="8:8">
      <c r="A90" s="65">
        <f t="shared" si="7"/>
        <v>43.0</v>
      </c>
      <c r="B90" s="65">
        <f t="shared" si="0"/>
        <v>72.0</v>
      </c>
      <c r="C90" s="66">
        <f t="shared" si="11"/>
        <v>0.03</v>
      </c>
      <c r="D90" s="68">
        <f t="shared" si="17"/>
        <v>173034.79467659106</v>
      </c>
      <c r="E90" s="68">
        <f t="shared" si="12"/>
        <v>0.0</v>
      </c>
      <c r="F90" s="68" t="str">
        <f t="shared" si="9"/>
        <v/>
      </c>
      <c r="G90" s="68">
        <f t="shared" si="13"/>
        <v>0.0</v>
      </c>
      <c r="H90" s="68">
        <f t="shared" si="10"/>
        <v>0.0</v>
      </c>
      <c r="I90" s="68">
        <f t="shared" si="14"/>
        <v>173034.79467659106</v>
      </c>
      <c r="J90" s="69">
        <f t="shared" si="15"/>
        <v>88247.74528506119</v>
      </c>
      <c r="K90" s="69">
        <f t="shared" si="16"/>
        <v>3029839.254787104</v>
      </c>
      <c r="M90" s="70"/>
    </row>
    <row r="91" spans="8:8">
      <c r="A91" s="65">
        <f t="shared" si="7"/>
        <v>44.0</v>
      </c>
      <c r="B91" s="65">
        <f t="shared" si="0"/>
        <v>73.0</v>
      </c>
      <c r="C91" s="66">
        <f t="shared" si="11"/>
        <v>0.03</v>
      </c>
      <c r="D91" s="68">
        <f t="shared" si="17"/>
        <v>178225.83851688882</v>
      </c>
      <c r="E91" s="68">
        <f t="shared" si="12"/>
        <v>0.0</v>
      </c>
      <c r="F91" s="68" t="str">
        <f t="shared" si="9"/>
        <v/>
      </c>
      <c r="G91" s="68">
        <f t="shared" si="13"/>
        <v>0.0</v>
      </c>
      <c r="H91" s="68">
        <f t="shared" si="10"/>
        <v>0.0</v>
      </c>
      <c r="I91" s="68">
        <f t="shared" si="14"/>
        <v>178225.83851688882</v>
      </c>
      <c r="J91" s="69">
        <f t="shared" si="15"/>
        <v>85548.4024881064</v>
      </c>
      <c r="K91" s="69">
        <f t="shared" si="16"/>
        <v>2937161.818758322</v>
      </c>
      <c r="M91" s="70"/>
    </row>
    <row r="92" spans="8:8">
      <c r="A92" s="65">
        <f t="shared" si="7"/>
        <v>45.0</v>
      </c>
      <c r="B92" s="65">
        <f t="shared" si="0"/>
        <v>74.0</v>
      </c>
      <c r="C92" s="66">
        <f t="shared" si="11"/>
        <v>0.03</v>
      </c>
      <c r="D92" s="68">
        <f t="shared" si="17"/>
        <v>183572.61367239547</v>
      </c>
      <c r="E92" s="68">
        <f t="shared" si="12"/>
        <v>0.0</v>
      </c>
      <c r="F92" s="68" t="str">
        <f t="shared" si="9"/>
        <v/>
      </c>
      <c r="G92" s="68">
        <f t="shared" si="13"/>
        <v>0.0</v>
      </c>
      <c r="H92" s="68">
        <f t="shared" si="10"/>
        <v>0.0</v>
      </c>
      <c r="I92" s="68">
        <f t="shared" si="14"/>
        <v>183572.61367239547</v>
      </c>
      <c r="J92" s="69">
        <f t="shared" si="15"/>
        <v>82607.67615257809</v>
      </c>
      <c r="K92" s="69">
        <f t="shared" si="16"/>
        <v>2836196.8812385043</v>
      </c>
      <c r="M92" s="70"/>
    </row>
    <row r="93" spans="8:8">
      <c r="A93" s="65">
        <f t="shared" si="7"/>
        <v>46.0</v>
      </c>
      <c r="B93" s="65">
        <f t="shared" si="0"/>
        <v>75.0</v>
      </c>
      <c r="C93" s="66">
        <f t="shared" si="11"/>
        <v>0.03</v>
      </c>
      <c r="D93" s="68">
        <f t="shared" si="17"/>
        <v>189079.79208256735</v>
      </c>
      <c r="E93" s="68">
        <f t="shared" si="12"/>
        <v>0.0</v>
      </c>
      <c r="F93" s="68" t="str">
        <f t="shared" si="9"/>
        <v/>
      </c>
      <c r="G93" s="68">
        <f t="shared" si="13"/>
        <v>0.0</v>
      </c>
      <c r="H93" s="68">
        <f t="shared" si="10"/>
        <v>0.0</v>
      </c>
      <c r="I93" s="68">
        <f t="shared" si="14"/>
        <v>189079.79208256735</v>
      </c>
      <c r="J93" s="69">
        <f t="shared" si="15"/>
        <v>79413.51267467812</v>
      </c>
      <c r="K93" s="69">
        <f t="shared" si="16"/>
        <v>2726530.601830615</v>
      </c>
      <c r="M93" s="70"/>
    </row>
    <row r="94" spans="8:8">
      <c r="A94" s="65">
        <f t="shared" si="7"/>
        <v>47.0</v>
      </c>
      <c r="B94" s="65">
        <f t="shared" si="0"/>
        <v>76.0</v>
      </c>
      <c r="C94" s="66">
        <f t="shared" si="11"/>
        <v>0.03</v>
      </c>
      <c r="D94" s="68">
        <f t="shared" si="17"/>
        <v>194752.18584504438</v>
      </c>
      <c r="E94" s="68">
        <f t="shared" si="12"/>
        <v>0.0</v>
      </c>
      <c r="F94" s="68" t="str">
        <f t="shared" si="9"/>
        <v/>
      </c>
      <c r="G94" s="68">
        <f t="shared" si="13"/>
        <v>0.0</v>
      </c>
      <c r="H94" s="68">
        <f t="shared" si="10"/>
        <v>0.0</v>
      </c>
      <c r="I94" s="68">
        <f t="shared" si="14"/>
        <v>194752.18584504438</v>
      </c>
      <c r="J94" s="69">
        <f t="shared" si="15"/>
        <v>75953.35247956729</v>
      </c>
      <c r="K94" s="69">
        <f t="shared" si="16"/>
        <v>2607731.768465138</v>
      </c>
      <c r="M94" s="70"/>
    </row>
    <row r="95" spans="8:8">
      <c r="A95" s="65">
        <f t="shared" si="7"/>
        <v>48.0</v>
      </c>
      <c r="B95" s="65">
        <f t="shared" si="0"/>
        <v>77.0</v>
      </c>
      <c r="C95" s="66">
        <f t="shared" si="11"/>
        <v>0.03</v>
      </c>
      <c r="D95" s="68">
        <f t="shared" si="17"/>
        <v>200594.7514203957</v>
      </c>
      <c r="E95" s="68">
        <f t="shared" si="12"/>
        <v>0.0</v>
      </c>
      <c r="F95" s="68" t="str">
        <f t="shared" si="9"/>
        <v/>
      </c>
      <c r="G95" s="68">
        <f t="shared" si="13"/>
        <v>0.0</v>
      </c>
      <c r="H95" s="68">
        <f t="shared" si="10"/>
        <v>0.0</v>
      </c>
      <c r="I95" s="68">
        <f t="shared" si="14"/>
        <v>200594.7514203957</v>
      </c>
      <c r="J95" s="69">
        <f t="shared" si="15"/>
        <v>72214.11051134253</v>
      </c>
      <c r="K95" s="69">
        <f t="shared" si="16"/>
        <v>2479351.1275560847</v>
      </c>
      <c r="M95" s="70"/>
    </row>
    <row r="96" spans="8:8">
      <c r="A96" s="65">
        <f t="shared" si="7"/>
        <v>49.0</v>
      </c>
      <c r="B96" s="65">
        <f t="shared" si="0"/>
        <v>78.0</v>
      </c>
      <c r="C96" s="66">
        <f t="shared" si="11"/>
        <v>0.03</v>
      </c>
      <c r="D96" s="68">
        <f t="shared" si="17"/>
        <v>206612.5939630076</v>
      </c>
      <c r="E96" s="68">
        <f t="shared" si="12"/>
        <v>0.0</v>
      </c>
      <c r="F96" s="68" t="str">
        <f t="shared" si="9"/>
        <v/>
      </c>
      <c r="G96" s="68">
        <f t="shared" si="13"/>
        <v>0.0</v>
      </c>
      <c r="H96" s="68">
        <f t="shared" si="10"/>
        <v>0.0</v>
      </c>
      <c r="I96" s="68">
        <f t="shared" si="14"/>
        <v>206612.5939630076</v>
      </c>
      <c r="J96" s="69">
        <f t="shared" si="15"/>
        <v>68182.15600779234</v>
      </c>
      <c r="K96" s="69">
        <f t="shared" si="16"/>
        <v>2340920.6896008695</v>
      </c>
      <c r="M96" s="70"/>
    </row>
    <row r="97" spans="8:8">
      <c r="A97" s="65">
        <f t="shared" si="7"/>
        <v>50.0</v>
      </c>
      <c r="B97" s="65">
        <f t="shared" si="0"/>
        <v>79.0</v>
      </c>
      <c r="C97" s="66">
        <f t="shared" si="11"/>
        <v>0.03</v>
      </c>
      <c r="D97" s="68">
        <f t="shared" si="17"/>
        <v>212810.97178189782</v>
      </c>
      <c r="E97" s="68">
        <f t="shared" si="12"/>
        <v>0.0</v>
      </c>
      <c r="F97" s="68" t="str">
        <f t="shared" si="9"/>
        <v/>
      </c>
      <c r="G97" s="68">
        <f t="shared" si="13"/>
        <v>0.0</v>
      </c>
      <c r="H97" s="68">
        <f t="shared" si="10"/>
        <v>0.0</v>
      </c>
      <c r="I97" s="68">
        <f t="shared" si="14"/>
        <v>212810.97178189782</v>
      </c>
      <c r="J97" s="69">
        <f t="shared" si="15"/>
        <v>63843.291534569114</v>
      </c>
      <c r="K97" s="69">
        <f t="shared" si="16"/>
        <v>2191953.009353541</v>
      </c>
      <c r="M97" s="70"/>
    </row>
    <row r="98" spans="8:8">
      <c r="A98" s="65">
        <f t="shared" si="7"/>
        <v>51.0</v>
      </c>
      <c r="B98" s="65">
        <f t="shared" si="0"/>
        <v>80.0</v>
      </c>
      <c r="C98" s="66">
        <f t="shared" si="11"/>
        <v>0.03</v>
      </c>
      <c r="D98" s="68">
        <f t="shared" si="17"/>
        <v>219195.30093535475</v>
      </c>
      <c r="E98" s="68">
        <f t="shared" si="12"/>
        <v>0.0</v>
      </c>
      <c r="F98" s="68" t="str">
        <f t="shared" si="9"/>
        <v/>
      </c>
      <c r="G98" s="68">
        <f t="shared" si="13"/>
        <v>0.0</v>
      </c>
      <c r="H98" s="68">
        <f t="shared" si="10"/>
        <v>0.0</v>
      </c>
      <c r="I98" s="68">
        <f t="shared" si="14"/>
        <v>219195.30093535475</v>
      </c>
      <c r="J98" s="69">
        <f t="shared" si="15"/>
        <v>59182.731252545724</v>
      </c>
      <c r="K98" s="69">
        <f t="shared" si="16"/>
        <v>2031940.4396707315</v>
      </c>
      <c r="M98" s="70"/>
    </row>
    <row r="99" spans="8:8">
      <c r="A99" s="65">
        <f t="shared" si="7"/>
        <v>52.0</v>
      </c>
      <c r="B99" s="65">
        <f t="shared" si="0"/>
        <v>81.0</v>
      </c>
      <c r="C99" s="66">
        <f t="shared" si="11"/>
        <v>0.03</v>
      </c>
      <c r="D99" s="68">
        <f t="shared" si="17"/>
        <v>225771.1599634154</v>
      </c>
      <c r="E99" s="68">
        <f t="shared" si="12"/>
        <v>0.0</v>
      </c>
      <c r="F99" s="68" t="str">
        <f t="shared" si="9"/>
        <v/>
      </c>
      <c r="G99" s="68">
        <f t="shared" si="13"/>
        <v>0.0</v>
      </c>
      <c r="H99" s="68">
        <f t="shared" si="10"/>
        <v>0.0</v>
      </c>
      <c r="I99" s="68">
        <f t="shared" si="14"/>
        <v>225771.1599634154</v>
      </c>
      <c r="J99" s="69">
        <f t="shared" si="15"/>
        <v>54185.07839121949</v>
      </c>
      <c r="K99" s="69">
        <f t="shared" si="16"/>
        <v>1860354.3580985356</v>
      </c>
      <c r="M99" s="70"/>
    </row>
    <row r="100" spans="8:8">
      <c r="A100" s="65">
        <f t="shared" si="7"/>
        <v>53.0</v>
      </c>
      <c r="B100" s="65">
        <f t="shared" si="0"/>
        <v>82.0</v>
      </c>
      <c r="C100" s="66">
        <f t="shared" si="11"/>
        <v>0.03</v>
      </c>
      <c r="D100" s="68">
        <f t="shared" si="17"/>
        <v>232544.29476231788</v>
      </c>
      <c r="E100" s="68">
        <f t="shared" si="12"/>
        <v>0.0</v>
      </c>
      <c r="F100" s="68" t="str">
        <f t="shared" si="9"/>
        <v/>
      </c>
      <c r="G100" s="68">
        <f t="shared" si="13"/>
        <v>0.0</v>
      </c>
      <c r="H100" s="68">
        <f t="shared" si="10"/>
        <v>0.0</v>
      </c>
      <c r="I100" s="68">
        <f t="shared" si="14"/>
        <v>232544.29476231788</v>
      </c>
      <c r="J100" s="69">
        <f t="shared" si="15"/>
        <v>48834.30190008669</v>
      </c>
      <c r="K100" s="69">
        <f t="shared" si="16"/>
        <v>1676644.3652363045</v>
      </c>
      <c r="M100" s="70"/>
    </row>
    <row r="101" spans="8:8">
      <c r="A101" s="65">
        <f t="shared" si="7"/>
        <v>54.0</v>
      </c>
      <c r="B101" s="65">
        <f t="shared" si="0"/>
        <v>83.0</v>
      </c>
      <c r="C101" s="66">
        <f t="shared" si="11"/>
        <v>0.03</v>
      </c>
      <c r="D101" s="68">
        <f t="shared" si="17"/>
        <v>239520.62360518743</v>
      </c>
      <c r="E101" s="68">
        <f t="shared" si="12"/>
        <v>0.0</v>
      </c>
      <c r="F101" s="68" t="str">
        <f t="shared" si="9"/>
        <v/>
      </c>
      <c r="G101" s="68">
        <f t="shared" si="13"/>
        <v>0.0</v>
      </c>
      <c r="H101" s="68">
        <f t="shared" si="10"/>
        <v>0.0</v>
      </c>
      <c r="I101" s="68">
        <f t="shared" si="14"/>
        <v>239520.62360518743</v>
      </c>
      <c r="J101" s="69">
        <f t="shared" si="15"/>
        <v>43113.7122489335</v>
      </c>
      <c r="K101" s="69">
        <f t="shared" si="16"/>
        <v>1480237.4538800505</v>
      </c>
      <c r="M101" s="70"/>
    </row>
    <row r="102" spans="8:8">
      <c r="A102" s="65">
        <f t="shared" si="7"/>
        <v>55.0</v>
      </c>
      <c r="B102" s="65">
        <f t="shared" si="18" ref="B102:B122">IF(ISERROR(A102),NA(),$E$8+A102-1)</f>
        <v>84.0</v>
      </c>
      <c r="C102" s="66">
        <f t="shared" si="11"/>
        <v>0.03</v>
      </c>
      <c r="D102" s="68">
        <f t="shared" si="17"/>
        <v>246706.24231334304</v>
      </c>
      <c r="E102" s="68">
        <f t="shared" si="12"/>
        <v>0.0</v>
      </c>
      <c r="F102" s="68" t="str">
        <f t="shared" si="9"/>
        <v/>
      </c>
      <c r="G102" s="68">
        <f t="shared" si="13"/>
        <v>0.0</v>
      </c>
      <c r="H102" s="68">
        <f t="shared" si="10"/>
        <v>0.0</v>
      </c>
      <c r="I102" s="68">
        <f t="shared" si="14"/>
        <v>246706.24231334304</v>
      </c>
      <c r="J102" s="69">
        <f t="shared" si="15"/>
        <v>37005.93634700123</v>
      </c>
      <c r="K102" s="69">
        <f t="shared" si="16"/>
        <v>1270537.1479137086</v>
      </c>
      <c r="M102" s="70"/>
    </row>
    <row r="103" spans="8:8">
      <c r="A103" s="65">
        <f t="shared" si="7"/>
        <v>56.0</v>
      </c>
      <c r="B103" s="65">
        <f t="shared" si="18"/>
        <v>85.0</v>
      </c>
      <c r="C103" s="66">
        <f t="shared" si="11"/>
        <v>0.03</v>
      </c>
      <c r="D103" s="68">
        <f t="shared" si="17"/>
        <v>254107.42958274335</v>
      </c>
      <c r="E103" s="68">
        <f t="shared" si="12"/>
        <v>0.0</v>
      </c>
      <c r="F103" s="68" t="str">
        <f t="shared" si="9"/>
        <v/>
      </c>
      <c r="G103" s="68">
        <f t="shared" si="13"/>
        <v>0.0</v>
      </c>
      <c r="H103" s="68">
        <f t="shared" si="10"/>
        <v>0.0</v>
      </c>
      <c r="I103" s="68">
        <f t="shared" si="14"/>
        <v>254107.42958274335</v>
      </c>
      <c r="J103" s="69">
        <f t="shared" si="15"/>
        <v>30492.89154992893</v>
      </c>
      <c r="K103" s="69">
        <f t="shared" si="16"/>
        <v>1046922.6098808941</v>
      </c>
      <c r="M103" s="70"/>
    </row>
    <row r="104" spans="8:8">
      <c r="A104" s="65">
        <f t="shared" si="7"/>
        <v>57.0</v>
      </c>
      <c r="B104" s="65">
        <f t="shared" si="18"/>
        <v>86.0</v>
      </c>
      <c r="C104" s="66">
        <f t="shared" si="11"/>
        <v>0.03</v>
      </c>
      <c r="D104" s="68">
        <f t="shared" si="17"/>
        <v>261730.65247022564</v>
      </c>
      <c r="E104" s="68">
        <f t="shared" si="12"/>
        <v>0.0</v>
      </c>
      <c r="F104" s="68" t="str">
        <f t="shared" si="9"/>
        <v/>
      </c>
      <c r="G104" s="68">
        <f t="shared" si="13"/>
        <v>0.0</v>
      </c>
      <c r="H104" s="68">
        <f t="shared" si="10"/>
        <v>0.0</v>
      </c>
      <c r="I104" s="68">
        <f t="shared" si="14"/>
        <v>261730.65247022564</v>
      </c>
      <c r="J104" s="69">
        <f t="shared" si="15"/>
        <v>23555.758722320083</v>
      </c>
      <c r="K104" s="69">
        <f t="shared" si="16"/>
        <v>808747.7161329885</v>
      </c>
      <c r="M104" s="70"/>
    </row>
    <row r="105" spans="8:8">
      <c r="A105" s="65">
        <f t="shared" si="7"/>
        <v>58.0</v>
      </c>
      <c r="B105" s="65">
        <f t="shared" si="18"/>
        <v>87.0</v>
      </c>
      <c r="C105" s="66">
        <f t="shared" si="11"/>
        <v>0.03</v>
      </c>
      <c r="D105" s="68">
        <f t="shared" si="17"/>
        <v>269582.57204433245</v>
      </c>
      <c r="E105" s="68">
        <f t="shared" si="12"/>
        <v>0.0</v>
      </c>
      <c r="F105" s="68" t="str">
        <f t="shared" si="9"/>
        <v/>
      </c>
      <c r="G105" s="68">
        <f t="shared" si="13"/>
        <v>0.0</v>
      </c>
      <c r="H105" s="68">
        <f t="shared" si="10"/>
        <v>0.0</v>
      </c>
      <c r="I105" s="68">
        <f t="shared" si="14"/>
        <v>269582.57204433245</v>
      </c>
      <c r="J105" s="69">
        <f t="shared" si="15"/>
        <v>16174.954322659643</v>
      </c>
      <c r="K105" s="69">
        <f t="shared" si="16"/>
        <v>555340.0984113156</v>
      </c>
      <c r="M105" s="70"/>
    </row>
    <row r="106" spans="8:8">
      <c r="A106" s="65">
        <f t="shared" si="7"/>
        <v>59.0</v>
      </c>
      <c r="B106" s="65">
        <f t="shared" si="18"/>
        <v>88.0</v>
      </c>
      <c r="C106" s="66">
        <f t="shared" si="11"/>
        <v>0.03</v>
      </c>
      <c r="D106" s="68">
        <f t="shared" si="17"/>
        <v>277670.04920566245</v>
      </c>
      <c r="E106" s="68">
        <f t="shared" si="12"/>
        <v>0.0</v>
      </c>
      <c r="F106" s="68" t="str">
        <f t="shared" si="9"/>
        <v/>
      </c>
      <c r="G106" s="68">
        <f t="shared" si="13"/>
        <v>0.0</v>
      </c>
      <c r="H106" s="68">
        <f t="shared" si="10"/>
        <v>0.0</v>
      </c>
      <c r="I106" s="68">
        <f t="shared" si="14"/>
        <v>277670.04920566245</v>
      </c>
      <c r="J106" s="69">
        <f t="shared" si="15"/>
        <v>8330.101476169599</v>
      </c>
      <c r="K106" s="69">
        <f t="shared" si="16"/>
        <v>286000.1506818228</v>
      </c>
      <c r="M106" s="70"/>
    </row>
    <row r="107" spans="8:8">
      <c r="A107" s="65">
        <f t="shared" si="7"/>
        <v>60.0</v>
      </c>
      <c r="B107" s="65">
        <f t="shared" si="18"/>
        <v>89.0</v>
      </c>
      <c r="C107" s="66">
        <f t="shared" si="11"/>
        <v>0.03</v>
      </c>
      <c r="D107" s="68">
        <f t="shared" si="17"/>
        <v>286000.1506818323</v>
      </c>
      <c r="E107" s="68">
        <f t="shared" si="12"/>
        <v>0.0</v>
      </c>
      <c r="F107" s="68" t="str">
        <f t="shared" si="9"/>
        <v/>
      </c>
      <c r="G107" s="68">
        <f t="shared" si="13"/>
        <v>0.0</v>
      </c>
      <c r="H107" s="68">
        <f t="shared" si="10"/>
        <v>0.0</v>
      </c>
      <c r="I107" s="68">
        <f t="shared" si="14"/>
        <v>286000.1506818323</v>
      </c>
      <c r="J107" s="69">
        <f t="shared" si="15"/>
        <v>-2.846354618668565E-10</v>
      </c>
      <c r="K107" s="69">
        <f t="shared" si="16"/>
        <v>-9.778887033462524E-9</v>
      </c>
      <c r="M107" s="70"/>
    </row>
    <row r="108" spans="8:8">
      <c r="A108" s="65" t="e">
        <f t="shared" si="7"/>
        <v>#N/A</v>
      </c>
      <c r="B108" s="65" t="e">
        <f t="shared" si="18"/>
        <v>#N/A</v>
      </c>
      <c r="C108" s="66" t="e">
        <f t="shared" si="11"/>
        <v>#N/A</v>
      </c>
      <c r="D108" s="68" t="e">
        <f t="shared" si="17"/>
        <v>#N/A</v>
      </c>
      <c r="E108" s="68" t="e">
        <f t="shared" si="12"/>
        <v>#N/A</v>
      </c>
      <c r="F108" s="68" t="e">
        <f t="shared" si="9"/>
        <v>#N/A</v>
      </c>
      <c r="G108" s="68" t="e">
        <f t="shared" si="13"/>
        <v>#N/A</v>
      </c>
      <c r="H108" s="68" t="e">
        <f t="shared" si="10"/>
        <v>#N/A</v>
      </c>
      <c r="I108" s="68" t="e">
        <f t="shared" si="14"/>
        <v>#N/A</v>
      </c>
      <c r="J108" s="69" t="e">
        <f t="shared" si="15"/>
        <v>#N/A</v>
      </c>
      <c r="K108" s="69" t="e">
        <f t="shared" si="16"/>
        <v>#N/A</v>
      </c>
      <c r="M108" s="70"/>
    </row>
    <row r="109" spans="8:8">
      <c r="A109" s="65" t="e">
        <f t="shared" si="7"/>
        <v>#N/A</v>
      </c>
      <c r="B109" s="65" t="e">
        <f t="shared" si="18"/>
        <v>#N/A</v>
      </c>
      <c r="C109" s="66" t="e">
        <f t="shared" si="11"/>
        <v>#N/A</v>
      </c>
      <c r="D109" s="68" t="e">
        <f t="shared" si="17"/>
        <v>#N/A</v>
      </c>
      <c r="E109" s="68" t="e">
        <f t="shared" si="12"/>
        <v>#N/A</v>
      </c>
      <c r="F109" s="68" t="e">
        <f t="shared" si="9"/>
        <v>#N/A</v>
      </c>
      <c r="G109" s="68" t="e">
        <f t="shared" si="13"/>
        <v>#N/A</v>
      </c>
      <c r="H109" s="68" t="e">
        <f t="shared" si="10"/>
        <v>#N/A</v>
      </c>
      <c r="I109" s="68" t="e">
        <f t="shared" si="14"/>
        <v>#N/A</v>
      </c>
      <c r="J109" s="69" t="e">
        <f t="shared" si="15"/>
        <v>#N/A</v>
      </c>
      <c r="K109" s="69" t="e">
        <f t="shared" si="16"/>
        <v>#N/A</v>
      </c>
      <c r="M109" s="70"/>
    </row>
    <row r="110" spans="8:8">
      <c r="A110" s="65" t="e">
        <f t="shared" si="7"/>
        <v>#N/A</v>
      </c>
      <c r="B110" s="65" t="e">
        <f t="shared" si="18"/>
        <v>#N/A</v>
      </c>
      <c r="C110" s="66" t="e">
        <f t="shared" si="11"/>
        <v>#N/A</v>
      </c>
      <c r="D110" s="68" t="e">
        <f t="shared" si="17"/>
        <v>#N/A</v>
      </c>
      <c r="E110" s="68" t="e">
        <f t="shared" si="12"/>
        <v>#N/A</v>
      </c>
      <c r="F110" s="68" t="e">
        <f t="shared" si="9"/>
        <v>#N/A</v>
      </c>
      <c r="G110" s="68" t="e">
        <f t="shared" si="13"/>
        <v>#N/A</v>
      </c>
      <c r="H110" s="68" t="e">
        <f t="shared" si="10"/>
        <v>#N/A</v>
      </c>
      <c r="I110" s="68" t="e">
        <f t="shared" si="14"/>
        <v>#N/A</v>
      </c>
      <c r="J110" s="69" t="e">
        <f t="shared" si="15"/>
        <v>#N/A</v>
      </c>
      <c r="K110" s="69" t="e">
        <f t="shared" si="16"/>
        <v>#N/A</v>
      </c>
      <c r="M110" s="70"/>
    </row>
    <row r="111" spans="8:8">
      <c r="A111" s="65" t="e">
        <f t="shared" si="7"/>
        <v>#N/A</v>
      </c>
      <c r="B111" s="65" t="e">
        <f t="shared" si="18"/>
        <v>#N/A</v>
      </c>
      <c r="C111" s="66" t="e">
        <f t="shared" si="11"/>
        <v>#N/A</v>
      </c>
      <c r="D111" s="68" t="e">
        <f t="shared" si="17"/>
        <v>#N/A</v>
      </c>
      <c r="E111" s="68" t="e">
        <f t="shared" si="12"/>
        <v>#N/A</v>
      </c>
      <c r="F111" s="68" t="e">
        <f t="shared" si="9"/>
        <v>#N/A</v>
      </c>
      <c r="G111" s="68" t="e">
        <f t="shared" si="13"/>
        <v>#N/A</v>
      </c>
      <c r="H111" s="68" t="e">
        <f t="shared" si="10"/>
        <v>#N/A</v>
      </c>
      <c r="I111" s="68" t="e">
        <f t="shared" si="14"/>
        <v>#N/A</v>
      </c>
      <c r="J111" s="69" t="e">
        <f t="shared" si="15"/>
        <v>#N/A</v>
      </c>
      <c r="K111" s="69" t="e">
        <f t="shared" si="16"/>
        <v>#N/A</v>
      </c>
      <c r="M111" s="70"/>
    </row>
    <row r="112" spans="8:8">
      <c r="A112" s="65" t="e">
        <f t="shared" si="7"/>
        <v>#N/A</v>
      </c>
      <c r="B112" s="65" t="e">
        <f t="shared" si="18"/>
        <v>#N/A</v>
      </c>
      <c r="C112" s="66" t="e">
        <f t="shared" si="19" ref="C112:C122">IF(ISERROR(A112),NA(),IF(B112&lt;$E$9,$E$14,$E$15))</f>
        <v>#N/A</v>
      </c>
      <c r="D112" s="68" t="e">
        <f t="shared" si="17"/>
        <v>#N/A</v>
      </c>
      <c r="E112" s="68" t="e">
        <f t="shared" si="20" ref="E112:E122">IF(ISERROR(A112),NA(),IF(B112=$E$9-1,$K$25,0)+IF(A112&lt;=$E$11,$K$30*D112,0))</f>
        <v>#N/A</v>
      </c>
      <c r="F112" s="68" t="e">
        <f t="shared" si="9"/>
        <v>#N/A</v>
      </c>
      <c r="G112" s="68" t="e">
        <f t="shared" si="21" ref="G112:G122">IF(ISERROR(A112),NA(),IF(A112&lt;=$E$11,MIN($E$24*E112,$E$25*$E$24*D112),0))</f>
        <v>#N/A</v>
      </c>
      <c r="H112" s="68" t="e">
        <f t="shared" si="10"/>
        <v>#N/A</v>
      </c>
      <c r="I112" s="68" t="e">
        <f t="shared" si="22" ref="I112:I122">IF(ISERROR(A112),NA(),IF(B112&gt;=$E$9,D112-H112,0))</f>
        <v>#N/A</v>
      </c>
      <c r="J112" s="69" t="e">
        <f t="shared" si="23" ref="J112:J122">IF(ISERROR(A112),NA(),FV(C112/$E$42,$E$42,-(E112+G112)/$E$42,-(K111-I112*$E$43),0)-(K111+E112+G112-I112*$E$43))</f>
        <v>#N/A</v>
      </c>
      <c r="K112" s="69" t="e">
        <f t="shared" si="24" ref="K112:K122">IF(ISERROR(A112),NA(),K111+E112+G112+J112-I112)</f>
        <v>#N/A</v>
      </c>
      <c r="M112" s="70"/>
    </row>
    <row r="113" spans="8:8">
      <c r="A113" s="65" t="e">
        <f t="shared" si="25" ref="A113:A122">IF($E$8&gt;=$E$9,NA(),IF(A112&lt;($E$9-$E$8)+$E$10,A112+1,NA()))</f>
        <v>#N/A</v>
      </c>
      <c r="B113" s="65" t="e">
        <f t="shared" si="18"/>
        <v>#N/A</v>
      </c>
      <c r="C113" s="66" t="e">
        <f t="shared" si="19"/>
        <v>#N/A</v>
      </c>
      <c r="D113" s="68" t="e">
        <f t="shared" si="26" ref="D113:D122">IF(ISERROR(A113),NA(),IF(B113&gt;=$E$9,$K$9*(1+$E$16)^(B113-$E$9),(1+$E$20)*D112))</f>
        <v>#N/A</v>
      </c>
      <c r="E113" s="68" t="e">
        <f t="shared" si="20"/>
        <v>#N/A</v>
      </c>
      <c r="F113" s="68" t="e">
        <f t="shared" si="27" ref="F113:F122">IF(ISERROR(A113),NA(),"")</f>
        <v>#N/A</v>
      </c>
      <c r="G113" s="68" t="e">
        <f t="shared" si="21"/>
        <v>#N/A</v>
      </c>
      <c r="H113" s="68" t="e">
        <f t="shared" si="28" ref="H113:H122">IF(ISERROR(A113),NA(),IF(ISERROR(B113),0,IF(AND(B113&gt;=$K$18,B113&lt;($K$18+$K$21)),$K$19*(1+$K$20)^(B113-$K$18),0)))</f>
        <v>#N/A</v>
      </c>
      <c r="I113" s="68" t="e">
        <f t="shared" si="22"/>
        <v>#N/A</v>
      </c>
      <c r="J113" s="69" t="e">
        <f t="shared" si="23"/>
        <v>#N/A</v>
      </c>
      <c r="K113" s="69" t="e">
        <f t="shared" si="24"/>
        <v>#N/A</v>
      </c>
      <c r="M113" s="70"/>
    </row>
    <row r="114" spans="8:8">
      <c r="A114" s="65" t="e">
        <f t="shared" si="25"/>
        <v>#N/A</v>
      </c>
      <c r="B114" s="65" t="e">
        <f t="shared" si="18"/>
        <v>#N/A</v>
      </c>
      <c r="C114" s="66" t="e">
        <f t="shared" si="19"/>
        <v>#N/A</v>
      </c>
      <c r="D114" s="68" t="e">
        <f t="shared" si="26"/>
        <v>#N/A</v>
      </c>
      <c r="E114" s="68" t="e">
        <f t="shared" si="20"/>
        <v>#N/A</v>
      </c>
      <c r="F114" s="68" t="e">
        <f t="shared" si="27"/>
        <v>#N/A</v>
      </c>
      <c r="G114" s="68" t="e">
        <f t="shared" si="21"/>
        <v>#N/A</v>
      </c>
      <c r="H114" s="68" t="e">
        <f t="shared" si="28"/>
        <v>#N/A</v>
      </c>
      <c r="I114" s="68" t="e">
        <f t="shared" si="22"/>
        <v>#N/A</v>
      </c>
      <c r="J114" s="69" t="e">
        <f t="shared" si="23"/>
        <v>#N/A</v>
      </c>
      <c r="K114" s="69" t="e">
        <f t="shared" si="24"/>
        <v>#N/A</v>
      </c>
      <c r="M114" s="70"/>
    </row>
    <row r="115" spans="8:8">
      <c r="A115" s="65" t="e">
        <f t="shared" si="25"/>
        <v>#N/A</v>
      </c>
      <c r="B115" s="65" t="e">
        <f t="shared" si="18"/>
        <v>#N/A</v>
      </c>
      <c r="C115" s="66" t="e">
        <f t="shared" si="19"/>
        <v>#N/A</v>
      </c>
      <c r="D115" s="68" t="e">
        <f t="shared" si="26"/>
        <v>#N/A</v>
      </c>
      <c r="E115" s="68" t="e">
        <f t="shared" si="20"/>
        <v>#N/A</v>
      </c>
      <c r="F115" s="68" t="e">
        <f t="shared" si="27"/>
        <v>#N/A</v>
      </c>
      <c r="G115" s="68" t="e">
        <f t="shared" si="21"/>
        <v>#N/A</v>
      </c>
      <c r="H115" s="68" t="e">
        <f t="shared" si="28"/>
        <v>#N/A</v>
      </c>
      <c r="I115" s="68" t="e">
        <f t="shared" si="22"/>
        <v>#N/A</v>
      </c>
      <c r="J115" s="69" t="e">
        <f t="shared" si="23"/>
        <v>#N/A</v>
      </c>
      <c r="K115" s="69" t="e">
        <f t="shared" si="24"/>
        <v>#N/A</v>
      </c>
    </row>
    <row r="116" spans="8:8">
      <c r="A116" s="65" t="e">
        <f t="shared" si="25"/>
        <v>#N/A</v>
      </c>
      <c r="B116" s="65" t="e">
        <f t="shared" si="18"/>
        <v>#N/A</v>
      </c>
      <c r="C116" s="66" t="e">
        <f t="shared" si="19"/>
        <v>#N/A</v>
      </c>
      <c r="D116" s="68" t="e">
        <f t="shared" si="26"/>
        <v>#N/A</v>
      </c>
      <c r="E116" s="68" t="e">
        <f t="shared" si="20"/>
        <v>#N/A</v>
      </c>
      <c r="F116" s="68" t="e">
        <f t="shared" si="27"/>
        <v>#N/A</v>
      </c>
      <c r="G116" s="68" t="e">
        <f t="shared" si="21"/>
        <v>#N/A</v>
      </c>
      <c r="H116" s="68" t="e">
        <f t="shared" si="28"/>
        <v>#N/A</v>
      </c>
      <c r="I116" s="68" t="e">
        <f t="shared" si="22"/>
        <v>#N/A</v>
      </c>
      <c r="J116" s="69" t="e">
        <f t="shared" si="23"/>
        <v>#N/A</v>
      </c>
      <c r="K116" s="69" t="e">
        <f t="shared" si="24"/>
        <v>#N/A</v>
      </c>
    </row>
    <row r="117" spans="8:8">
      <c r="A117" s="65" t="e">
        <f t="shared" si="25"/>
        <v>#N/A</v>
      </c>
      <c r="B117" s="65" t="e">
        <f t="shared" si="18"/>
        <v>#N/A</v>
      </c>
      <c r="C117" s="66" t="e">
        <f t="shared" si="19"/>
        <v>#N/A</v>
      </c>
      <c r="D117" s="68" t="e">
        <f t="shared" si="26"/>
        <v>#N/A</v>
      </c>
      <c r="E117" s="68" t="e">
        <f t="shared" si="20"/>
        <v>#N/A</v>
      </c>
      <c r="F117" s="68" t="e">
        <f t="shared" si="27"/>
        <v>#N/A</v>
      </c>
      <c r="G117" s="68" t="e">
        <f t="shared" si="21"/>
        <v>#N/A</v>
      </c>
      <c r="H117" s="68" t="e">
        <f t="shared" si="28"/>
        <v>#N/A</v>
      </c>
      <c r="I117" s="68" t="e">
        <f t="shared" si="22"/>
        <v>#N/A</v>
      </c>
      <c r="J117" s="69" t="e">
        <f t="shared" si="23"/>
        <v>#N/A</v>
      </c>
      <c r="K117" s="69" t="e">
        <f t="shared" si="24"/>
        <v>#N/A</v>
      </c>
    </row>
    <row r="118" spans="8:8">
      <c r="A118" s="65" t="e">
        <f t="shared" si="25"/>
        <v>#N/A</v>
      </c>
      <c r="B118" s="65" t="e">
        <f t="shared" si="18"/>
        <v>#N/A</v>
      </c>
      <c r="C118" s="66" t="e">
        <f t="shared" si="19"/>
        <v>#N/A</v>
      </c>
      <c r="D118" s="68" t="e">
        <f t="shared" si="26"/>
        <v>#N/A</v>
      </c>
      <c r="E118" s="68" t="e">
        <f t="shared" si="20"/>
        <v>#N/A</v>
      </c>
      <c r="F118" s="68" t="e">
        <f t="shared" si="27"/>
        <v>#N/A</v>
      </c>
      <c r="G118" s="68" t="e">
        <f t="shared" si="21"/>
        <v>#N/A</v>
      </c>
      <c r="H118" s="68" t="e">
        <f t="shared" si="28"/>
        <v>#N/A</v>
      </c>
      <c r="I118" s="68" t="e">
        <f t="shared" si="22"/>
        <v>#N/A</v>
      </c>
      <c r="J118" s="69" t="e">
        <f t="shared" si="23"/>
        <v>#N/A</v>
      </c>
      <c r="K118" s="69" t="e">
        <f t="shared" si="24"/>
        <v>#N/A</v>
      </c>
    </row>
    <row r="119" spans="8:8">
      <c r="A119" s="65" t="e">
        <f t="shared" si="25"/>
        <v>#N/A</v>
      </c>
      <c r="B119" s="65" t="e">
        <f t="shared" si="18"/>
        <v>#N/A</v>
      </c>
      <c r="C119" s="66" t="e">
        <f t="shared" si="19"/>
        <v>#N/A</v>
      </c>
      <c r="D119" s="68" t="e">
        <f t="shared" si="26"/>
        <v>#N/A</v>
      </c>
      <c r="E119" s="68" t="e">
        <f t="shared" si="20"/>
        <v>#N/A</v>
      </c>
      <c r="F119" s="68" t="e">
        <f t="shared" si="27"/>
        <v>#N/A</v>
      </c>
      <c r="G119" s="68" t="e">
        <f t="shared" si="21"/>
        <v>#N/A</v>
      </c>
      <c r="H119" s="68" t="e">
        <f t="shared" si="28"/>
        <v>#N/A</v>
      </c>
      <c r="I119" s="68" t="e">
        <f t="shared" si="22"/>
        <v>#N/A</v>
      </c>
      <c r="J119" s="69" t="e">
        <f t="shared" si="23"/>
        <v>#N/A</v>
      </c>
      <c r="K119" s="69" t="e">
        <f t="shared" si="24"/>
        <v>#N/A</v>
      </c>
    </row>
    <row r="120" spans="8:8">
      <c r="A120" s="65" t="e">
        <f t="shared" si="25"/>
        <v>#N/A</v>
      </c>
      <c r="B120" s="65" t="e">
        <f t="shared" si="18"/>
        <v>#N/A</v>
      </c>
      <c r="C120" s="66" t="e">
        <f t="shared" si="19"/>
        <v>#N/A</v>
      </c>
      <c r="D120" s="68" t="e">
        <f t="shared" si="26"/>
        <v>#N/A</v>
      </c>
      <c r="E120" s="68" t="e">
        <f t="shared" si="20"/>
        <v>#N/A</v>
      </c>
      <c r="F120" s="68" t="e">
        <f t="shared" si="27"/>
        <v>#N/A</v>
      </c>
      <c r="G120" s="68" t="e">
        <f t="shared" si="21"/>
        <v>#N/A</v>
      </c>
      <c r="H120" s="68" t="e">
        <f t="shared" si="28"/>
        <v>#N/A</v>
      </c>
      <c r="I120" s="68" t="e">
        <f t="shared" si="22"/>
        <v>#N/A</v>
      </c>
      <c r="J120" s="69" t="e">
        <f t="shared" si="23"/>
        <v>#N/A</v>
      </c>
      <c r="K120" s="69" t="e">
        <f t="shared" si="24"/>
        <v>#N/A</v>
      </c>
    </row>
    <row r="121" spans="8:8">
      <c r="A121" s="65" t="e">
        <f t="shared" si="25"/>
        <v>#N/A</v>
      </c>
      <c r="B121" s="65" t="e">
        <f t="shared" si="29" ref="B121">IF(ISERROR(A121),NA(),$E$8+A121-1)</f>
        <v>#N/A</v>
      </c>
      <c r="C121" s="66" t="e">
        <f t="shared" si="19"/>
        <v>#N/A</v>
      </c>
      <c r="D121" s="68" t="e">
        <f t="shared" si="26"/>
        <v>#N/A</v>
      </c>
      <c r="E121" s="68" t="e">
        <f t="shared" si="20"/>
        <v>#N/A</v>
      </c>
      <c r="F121" s="68" t="e">
        <f t="shared" si="27"/>
        <v>#N/A</v>
      </c>
      <c r="G121" s="68" t="e">
        <f t="shared" si="21"/>
        <v>#N/A</v>
      </c>
      <c r="H121" s="68" t="e">
        <f t="shared" si="28"/>
        <v>#N/A</v>
      </c>
      <c r="I121" s="68" t="e">
        <f t="shared" si="22"/>
        <v>#N/A</v>
      </c>
      <c r="J121" s="69" t="e">
        <f t="shared" si="23"/>
        <v>#N/A</v>
      </c>
      <c r="K121" s="69" t="e">
        <f t="shared" si="24"/>
        <v>#N/A</v>
      </c>
    </row>
    <row r="122" spans="8:8">
      <c r="A122" s="65" t="e">
        <f t="shared" si="25"/>
        <v>#N/A</v>
      </c>
      <c r="B122" s="65" t="e">
        <f t="shared" si="18"/>
        <v>#N/A</v>
      </c>
      <c r="C122" s="66" t="e">
        <f t="shared" si="19"/>
        <v>#N/A</v>
      </c>
      <c r="D122" s="68" t="e">
        <f t="shared" si="26"/>
        <v>#N/A</v>
      </c>
      <c r="E122" s="68" t="e">
        <f t="shared" si="20"/>
        <v>#N/A</v>
      </c>
      <c r="F122" s="68" t="e">
        <f t="shared" si="27"/>
        <v>#N/A</v>
      </c>
      <c r="G122" s="68" t="e">
        <f t="shared" si="21"/>
        <v>#N/A</v>
      </c>
      <c r="H122" s="68" t="e">
        <f t="shared" si="28"/>
        <v>#N/A</v>
      </c>
      <c r="I122" s="68" t="e">
        <f t="shared" si="22"/>
        <v>#N/A</v>
      </c>
      <c r="J122" s="69" t="e">
        <f t="shared" si="23"/>
        <v>#N/A</v>
      </c>
      <c r="K122" s="69" t="e">
        <f t="shared" si="24"/>
        <v>#N/A</v>
      </c>
    </row>
    <row r="123" spans="8:8">
      <c r="A123" s="71"/>
      <c r="B123" s="71"/>
      <c r="C123" s="71"/>
      <c r="D123" s="71"/>
      <c r="E123" s="71"/>
      <c r="F123" s="71"/>
      <c r="G123" s="71"/>
      <c r="H123" s="71"/>
      <c r="I123" s="71"/>
      <c r="J123" s="71"/>
      <c r="K123" s="71"/>
    </row>
    <row r="126" spans="8:8">
      <c r="A126" s="56" t="str">
        <f>IF(E8=E9,"No Accumulation Phase","Table Based on "&amp;TEXT(E23,"0.00%")&amp;" Salary Contribution Scenario")</f>
        <v>Table Based on 10.00% Salary Contribution Scenario</v>
      </c>
      <c r="J126" s="52"/>
      <c r="K126" s="57" t="s">
        <v>23</v>
      </c>
    </row>
    <row r="127" spans="8:8" ht="26.25">
      <c r="A127" s="58" t="s">
        <v>3</v>
      </c>
      <c r="B127" s="58" t="s">
        <v>4</v>
      </c>
      <c r="C127" s="58" t="s">
        <v>8</v>
      </c>
      <c r="D127" s="58" t="s">
        <v>14</v>
      </c>
      <c r="E127" s="58" t="s">
        <v>6</v>
      </c>
      <c r="F127" s="58"/>
      <c r="G127" s="58" t="s">
        <v>20</v>
      </c>
      <c r="H127" s="59" t="s">
        <v>29</v>
      </c>
      <c r="I127" s="60" t="s">
        <v>12</v>
      </c>
      <c r="J127" s="58" t="s">
        <v>16</v>
      </c>
      <c r="K127" s="61" t="s">
        <v>0</v>
      </c>
    </row>
    <row r="128" spans="8:8">
      <c r="A128" s="62"/>
      <c r="B128" s="62"/>
      <c r="C128" s="62"/>
      <c r="D128" s="63"/>
      <c r="E128" s="63"/>
      <c r="F128" s="63"/>
      <c r="G128" s="63"/>
      <c r="H128" s="63"/>
      <c r="I128" s="62"/>
      <c r="J128" s="62"/>
      <c r="K128" s="64">
        <f>Retirement!$K$13</f>
        <v>20000.0</v>
      </c>
    </row>
    <row r="129" spans="8:8">
      <c r="A129" s="65">
        <f>IF(OR(K128&lt;0,A128&gt;=($E$9-$E$8)+$E$10),NA(),A128+1)</f>
        <v>1.0</v>
      </c>
      <c r="B129" s="65">
        <f>IF(ISERROR(A129),NA(),$E$8+A129-1)</f>
        <v>30.0</v>
      </c>
      <c r="C129" s="66">
        <f>IF(ISERROR(A129),NA(),IF(B129&lt;$E$9,$E$14,$E$15))</f>
        <v>0.06</v>
      </c>
      <c r="D129" s="67">
        <f>IF(E8&gt;=E9,K8,E19)</f>
        <v>50000.0</v>
      </c>
      <c r="E129" s="68">
        <f>IF(ISERROR(A129),NA(),IF(B129=$E$9-1,$K$25)+IF(A129&lt;=$E$11,$E$23*D129,0))</f>
        <v>5000.0</v>
      </c>
      <c r="F129" s="68" t="str">
        <f t="shared" si="30" ref="F129:F160">IF(ISERROR(A129),NA(),"")</f>
        <v/>
      </c>
      <c r="G129" s="68">
        <f>IF(ISERROR(A129),NA(),IF(A129&lt;=$E$11,MIN($E$24*E129,$E$25*$E$24*D129),0))</f>
        <v>1500.0</v>
      </c>
      <c r="H129" s="68">
        <f>IF(ISERROR(A129),NA(),IF(ISERROR(B129),0,IF(AND(B129&gt;=$K$18,B129&lt;($K$18+$K$21)),$K$19*(1+$K$20)^(B129-$K$18),0)))</f>
        <v>0.0</v>
      </c>
      <c r="I129" s="68">
        <f>IF(ISERROR(A129),NA(),IF(B129&gt;=$E$9,D129-H129,0))</f>
        <v>0.0</v>
      </c>
      <c r="J129" s="69">
        <f>IF(ISERROR(A129),NA(),FV(C129/$E$42,$E$42,-(E129+G129)/$E$42,-(K128-I129*$E$43),0)-(K128+E129+G129-I129*$E$43))</f>
        <v>1200.0000000000073</v>
      </c>
      <c r="K129" s="69">
        <f t="shared" si="31" ref="K129:K160">IF(ISERROR(A129),NA(),K128+E129+G129+J129-I129)</f>
        <v>27700.000000000007</v>
      </c>
    </row>
    <row r="130" spans="8:8">
      <c r="A130" s="65">
        <f t="shared" si="32" ref="A130:A193">IF(OR(K129&lt;0,A129&gt;=($E$9-$E$8)+$E$10),NA(),A129+1)</f>
        <v>2.0</v>
      </c>
      <c r="B130" s="65">
        <f t="shared" si="33" ref="B130:B193">IF(ISERROR(A130),NA(),$E$8+A130-1)</f>
        <v>31.0</v>
      </c>
      <c r="C130" s="66">
        <f t="shared" si="34" ref="C130:C193">IF(ISERROR(A130),NA(),IF(B130&lt;$E$9,$E$14,$E$15))</f>
        <v>0.06</v>
      </c>
      <c r="D130" s="68">
        <f>IF(ISERROR(A130),NA(),IF(B130&gt;=$E$9,$K$9*(1+$E$16)^(B130-$E$9),(1+$E$20)*D129))</f>
        <v>51000.0</v>
      </c>
      <c r="E130" s="68">
        <f t="shared" si="35" ref="E130:E193">IF(ISERROR(A130),NA(),IF(B130=$E$9-1,$K$25)+IF(A130&lt;=$E$11,$E$23*D130,0))</f>
        <v>5100.0</v>
      </c>
      <c r="F130" s="68" t="str">
        <f t="shared" si="30"/>
        <v/>
      </c>
      <c r="G130" s="68">
        <f t="shared" si="36" ref="G130:G193">IF(ISERROR(A130),NA(),IF(A130&lt;=$E$11,MIN($E$24*E130,$E$25*$E$24*D130),0))</f>
        <v>1530.0</v>
      </c>
      <c r="H130" s="68">
        <f t="shared" si="37" ref="H130:H193">IF(ISERROR(A130),NA(),IF(ISERROR(B130),0,IF(AND(B130&gt;=$K$18,B130&lt;($K$18+$K$21)),$K$19*(1+$K$20)^(B130-$K$18),0)))</f>
        <v>0.0</v>
      </c>
      <c r="I130" s="68">
        <f t="shared" si="38" ref="I130:I193">IF(ISERROR(A130),NA(),IF(B130&gt;=$E$9,D130-H130,0))</f>
        <v>0.0</v>
      </c>
      <c r="J130" s="69">
        <f t="shared" si="39" ref="J130:J193">IF(ISERROR(A130),NA(),FV(C130/$E$42,$E$42,-(E130+G130)/$E$42,-(K129-I130*$E$43),0)-(K129+E130+G130-I130*$E$43))</f>
        <v>1662.0000000000073</v>
      </c>
      <c r="K130" s="69">
        <f t="shared" si="31"/>
        <v>35992.000000000015</v>
      </c>
    </row>
    <row r="131" spans="8:8">
      <c r="A131" s="65">
        <f t="shared" si="32"/>
        <v>3.0</v>
      </c>
      <c r="B131" s="65">
        <f t="shared" si="33"/>
        <v>32.0</v>
      </c>
      <c r="C131" s="66">
        <f t="shared" si="34"/>
        <v>0.06</v>
      </c>
      <c r="D131" s="68">
        <f t="shared" si="40" ref="D131:D194">IF(ISERROR(A131),NA(),IF(B131&gt;=$E$9,$K$9*(1+$E$16)^(B131-$E$9),(1+$E$20)*D130))</f>
        <v>52020.0</v>
      </c>
      <c r="E131" s="68">
        <f t="shared" si="35"/>
        <v>5202.0</v>
      </c>
      <c r="F131" s="68" t="str">
        <f t="shared" si="30"/>
        <v/>
      </c>
      <c r="G131" s="68">
        <f t="shared" si="36"/>
        <v>1560.6</v>
      </c>
      <c r="H131" s="68">
        <f t="shared" si="37"/>
        <v>0.0</v>
      </c>
      <c r="I131" s="68">
        <f t="shared" si="38"/>
        <v>0.0</v>
      </c>
      <c r="J131" s="69">
        <f t="shared" si="39"/>
        <v>2159.5200000000114</v>
      </c>
      <c r="K131" s="69">
        <f t="shared" si="31"/>
        <v>44914.120000000024</v>
      </c>
    </row>
    <row r="132" spans="8:8">
      <c r="A132" s="65">
        <f t="shared" si="32"/>
        <v>4.0</v>
      </c>
      <c r="B132" s="65">
        <f t="shared" si="33"/>
        <v>33.0</v>
      </c>
      <c r="C132" s="66">
        <f t="shared" si="34"/>
        <v>0.06</v>
      </c>
      <c r="D132" s="68">
        <f t="shared" si="40"/>
        <v>53060.4</v>
      </c>
      <c r="E132" s="68">
        <f t="shared" si="35"/>
        <v>5306.040000000001</v>
      </c>
      <c r="F132" s="68" t="str">
        <f t="shared" si="30"/>
        <v/>
      </c>
      <c r="G132" s="68">
        <f t="shared" si="36"/>
        <v>1591.812</v>
      </c>
      <c r="H132" s="68">
        <f t="shared" si="37"/>
        <v>0.0</v>
      </c>
      <c r="I132" s="68">
        <f t="shared" si="38"/>
        <v>0.0</v>
      </c>
      <c r="J132" s="69">
        <f t="shared" si="39"/>
        <v>2694.847200000011</v>
      </c>
      <c r="K132" s="69">
        <f t="shared" si="31"/>
        <v>54506.819200000034</v>
      </c>
    </row>
    <row r="133" spans="8:8">
      <c r="A133" s="65">
        <f t="shared" si="32"/>
        <v>5.0</v>
      </c>
      <c r="B133" s="65">
        <f t="shared" si="33"/>
        <v>34.0</v>
      </c>
      <c r="C133" s="66">
        <f t="shared" si="34"/>
        <v>0.06</v>
      </c>
      <c r="D133" s="68">
        <f t="shared" si="40"/>
        <v>54121.608</v>
      </c>
      <c r="E133" s="68">
        <f t="shared" si="35"/>
        <v>5412.160800000001</v>
      </c>
      <c r="F133" s="68" t="str">
        <f t="shared" si="30"/>
        <v/>
      </c>
      <c r="G133" s="68">
        <f t="shared" si="36"/>
        <v>1623.64824</v>
      </c>
      <c r="H133" s="68">
        <f t="shared" si="37"/>
        <v>0.0</v>
      </c>
      <c r="I133" s="68">
        <f t="shared" si="38"/>
        <v>0.0</v>
      </c>
      <c r="J133" s="69">
        <f t="shared" si="39"/>
        <v>3270.4091520000147</v>
      </c>
      <c r="K133" s="69">
        <f t="shared" si="31"/>
        <v>64813.03739200005</v>
      </c>
    </row>
    <row r="134" spans="8:8">
      <c r="A134" s="65">
        <f t="shared" si="32"/>
        <v>6.0</v>
      </c>
      <c r="B134" s="65">
        <f t="shared" si="33"/>
        <v>35.0</v>
      </c>
      <c r="C134" s="66">
        <f t="shared" si="34"/>
        <v>0.06</v>
      </c>
      <c r="D134" s="68">
        <f t="shared" si="40"/>
        <v>55204.040160000004</v>
      </c>
      <c r="E134" s="68">
        <f t="shared" si="35"/>
        <v>5520.404016</v>
      </c>
      <c r="F134" s="68" t="str">
        <f t="shared" si="30"/>
        <v/>
      </c>
      <c r="G134" s="68">
        <f t="shared" si="36"/>
        <v>1656.1212048</v>
      </c>
      <c r="H134" s="68">
        <f t="shared" si="37"/>
        <v>0.0</v>
      </c>
      <c r="I134" s="68">
        <f t="shared" si="38"/>
        <v>0.0</v>
      </c>
      <c r="J134" s="69">
        <f t="shared" si="39"/>
        <v>3888.782243520007</v>
      </c>
      <c r="K134" s="69">
        <f t="shared" si="31"/>
        <v>75878.34485632005</v>
      </c>
    </row>
    <row r="135" spans="8:8">
      <c r="A135" s="65">
        <f t="shared" si="32"/>
        <v>7.0</v>
      </c>
      <c r="B135" s="65">
        <f t="shared" si="33"/>
        <v>36.0</v>
      </c>
      <c r="C135" s="66">
        <f t="shared" si="34"/>
        <v>0.06</v>
      </c>
      <c r="D135" s="68">
        <f t="shared" si="40"/>
        <v>56308.1209632</v>
      </c>
      <c r="E135" s="68">
        <f t="shared" si="35"/>
        <v>5630.812096320001</v>
      </c>
      <c r="F135" s="68" t="str">
        <f t="shared" si="30"/>
        <v/>
      </c>
      <c r="G135" s="68">
        <f t="shared" si="36"/>
        <v>1689.243628896</v>
      </c>
      <c r="H135" s="68">
        <f t="shared" si="37"/>
        <v>0.0</v>
      </c>
      <c r="I135" s="68">
        <f t="shared" si="38"/>
        <v>0.0</v>
      </c>
      <c r="J135" s="69">
        <f t="shared" si="39"/>
        <v>4552.700691379214</v>
      </c>
      <c r="K135" s="69">
        <f t="shared" si="31"/>
        <v>87751.10127291527</v>
      </c>
    </row>
    <row r="136" spans="8:8">
      <c r="A136" s="65">
        <f t="shared" si="32"/>
        <v>8.0</v>
      </c>
      <c r="B136" s="65">
        <f t="shared" si="33"/>
        <v>37.0</v>
      </c>
      <c r="C136" s="66">
        <f t="shared" si="34"/>
        <v>0.06</v>
      </c>
      <c r="D136" s="68">
        <f t="shared" si="40"/>
        <v>57434.283382464004</v>
      </c>
      <c r="E136" s="68">
        <f t="shared" si="35"/>
        <v>5743.428338246401</v>
      </c>
      <c r="F136" s="68" t="str">
        <f t="shared" si="30"/>
        <v/>
      </c>
      <c r="G136" s="68">
        <f t="shared" si="36"/>
        <v>1723.02850147392</v>
      </c>
      <c r="H136" s="68">
        <f t="shared" si="37"/>
        <v>0.0</v>
      </c>
      <c r="I136" s="68">
        <f t="shared" si="38"/>
        <v>0.0</v>
      </c>
      <c r="J136" s="69">
        <f t="shared" si="39"/>
        <v>5265.066076374918</v>
      </c>
      <c r="K136" s="69">
        <f t="shared" si="31"/>
        <v>100482.62418901052</v>
      </c>
    </row>
    <row r="137" spans="8:8">
      <c r="A137" s="65">
        <f t="shared" si="32"/>
        <v>9.0</v>
      </c>
      <c r="B137" s="65">
        <f t="shared" si="33"/>
        <v>38.0</v>
      </c>
      <c r="C137" s="66">
        <f t="shared" si="34"/>
        <v>0.06</v>
      </c>
      <c r="D137" s="68">
        <f t="shared" si="40"/>
        <v>58582.969050113286</v>
      </c>
      <c r="E137" s="68">
        <f t="shared" si="35"/>
        <v>5858.296905011329</v>
      </c>
      <c r="F137" s="68" t="str">
        <f t="shared" si="30"/>
        <v/>
      </c>
      <c r="G137" s="68">
        <f t="shared" si="36"/>
        <v>1757.4890715033985</v>
      </c>
      <c r="H137" s="68">
        <f t="shared" si="37"/>
        <v>0.0</v>
      </c>
      <c r="I137" s="68">
        <f t="shared" si="38"/>
        <v>0.0</v>
      </c>
      <c r="J137" s="69">
        <f t="shared" si="39"/>
        <v>6028.957451340641</v>
      </c>
      <c r="K137" s="69">
        <f t="shared" si="31"/>
        <v>114127.36761686589</v>
      </c>
    </row>
    <row r="138" spans="8:8">
      <c r="A138" s="65">
        <f t="shared" si="32"/>
        <v>10.0</v>
      </c>
      <c r="B138" s="65">
        <f t="shared" si="33"/>
        <v>39.0</v>
      </c>
      <c r="C138" s="66">
        <f t="shared" si="34"/>
        <v>0.06</v>
      </c>
      <c r="D138" s="68">
        <f t="shared" si="40"/>
        <v>59754.628431115554</v>
      </c>
      <c r="E138" s="68">
        <f t="shared" si="35"/>
        <v>5975.462843111556</v>
      </c>
      <c r="F138" s="68" t="str">
        <f t="shared" si="30"/>
        <v/>
      </c>
      <c r="G138" s="68">
        <f t="shared" si="36"/>
        <v>1792.6388529334665</v>
      </c>
      <c r="H138" s="68">
        <f t="shared" si="37"/>
        <v>0.0</v>
      </c>
      <c r="I138" s="68">
        <f t="shared" si="38"/>
        <v>0.0</v>
      </c>
      <c r="J138" s="69">
        <f t="shared" si="39"/>
        <v>6847.642057011981</v>
      </c>
      <c r="K138" s="69">
        <f t="shared" si="31"/>
        <v>128743.11136992289</v>
      </c>
    </row>
    <row r="139" spans="8:8">
      <c r="A139" s="65">
        <f t="shared" si="32"/>
        <v>11.0</v>
      </c>
      <c r="B139" s="65">
        <f t="shared" si="33"/>
        <v>40.0</v>
      </c>
      <c r="C139" s="66">
        <f t="shared" si="34"/>
        <v>0.06</v>
      </c>
      <c r="D139" s="68">
        <f t="shared" si="40"/>
        <v>60949.72099973787</v>
      </c>
      <c r="E139" s="68">
        <f t="shared" si="35"/>
        <v>6094.972099973787</v>
      </c>
      <c r="F139" s="68" t="str">
        <f t="shared" si="30"/>
        <v/>
      </c>
      <c r="G139" s="68">
        <f t="shared" si="36"/>
        <v>1828.491629992136</v>
      </c>
      <c r="H139" s="68">
        <f t="shared" si="37"/>
        <v>0.0</v>
      </c>
      <c r="I139" s="68">
        <f t="shared" si="38"/>
        <v>0.0</v>
      </c>
      <c r="J139" s="69">
        <f t="shared" si="39"/>
        <v>7724.586682195397</v>
      </c>
      <c r="K139" s="69">
        <f t="shared" si="31"/>
        <v>144391.1617820842</v>
      </c>
    </row>
    <row r="140" spans="8:8">
      <c r="A140" s="65">
        <f t="shared" si="32"/>
        <v>12.0</v>
      </c>
      <c r="B140" s="65">
        <f t="shared" si="33"/>
        <v>41.0</v>
      </c>
      <c r="C140" s="66">
        <f t="shared" si="34"/>
        <v>0.06</v>
      </c>
      <c r="D140" s="68">
        <f t="shared" si="40"/>
        <v>62168.71541973262</v>
      </c>
      <c r="E140" s="68">
        <f t="shared" si="35"/>
        <v>6216.8715419732625</v>
      </c>
      <c r="F140" s="68" t="str">
        <f t="shared" si="30"/>
        <v/>
      </c>
      <c r="G140" s="68">
        <f t="shared" si="36"/>
        <v>1865.0614625919786</v>
      </c>
      <c r="H140" s="68">
        <f t="shared" si="37"/>
        <v>0.0</v>
      </c>
      <c r="I140" s="68">
        <f t="shared" si="38"/>
        <v>0.0</v>
      </c>
      <c r="J140" s="69">
        <f t="shared" si="39"/>
        <v>8663.469706925069</v>
      </c>
      <c r="K140" s="69">
        <f t="shared" si="31"/>
        <v>161136.56449357452</v>
      </c>
    </row>
    <row r="141" spans="8:8">
      <c r="A141" s="65">
        <f t="shared" si="32"/>
        <v>13.0</v>
      </c>
      <c r="B141" s="65">
        <f t="shared" si="33"/>
        <v>42.0</v>
      </c>
      <c r="C141" s="66">
        <f t="shared" si="34"/>
        <v>0.06</v>
      </c>
      <c r="D141" s="68">
        <f t="shared" si="40"/>
        <v>63412.08972812728</v>
      </c>
      <c r="E141" s="68">
        <f t="shared" si="35"/>
        <v>6341.2089728127285</v>
      </c>
      <c r="F141" s="68" t="str">
        <f t="shared" si="30"/>
        <v/>
      </c>
      <c r="G141" s="68">
        <f t="shared" si="36"/>
        <v>1902.3626918438183</v>
      </c>
      <c r="H141" s="68">
        <f t="shared" si="37"/>
        <v>0.0</v>
      </c>
      <c r="I141" s="68">
        <f t="shared" si="38"/>
        <v>0.0</v>
      </c>
      <c r="J141" s="69">
        <f t="shared" si="39"/>
        <v>9668.193869614479</v>
      </c>
      <c r="K141" s="69">
        <f t="shared" si="31"/>
        <v>179048.33002784554</v>
      </c>
    </row>
    <row r="142" spans="8:8">
      <c r="A142" s="65">
        <f t="shared" si="32"/>
        <v>14.0</v>
      </c>
      <c r="B142" s="65">
        <f t="shared" si="33"/>
        <v>43.0</v>
      </c>
      <c r="C142" s="66">
        <f t="shared" si="34"/>
        <v>0.06</v>
      </c>
      <c r="D142" s="68">
        <f t="shared" si="40"/>
        <v>64680.33152268983</v>
      </c>
      <c r="E142" s="68">
        <f t="shared" si="35"/>
        <v>6468.033152268983</v>
      </c>
      <c r="F142" s="68" t="str">
        <f t="shared" si="30"/>
        <v/>
      </c>
      <c r="G142" s="68">
        <f t="shared" si="36"/>
        <v>1940.4099456806948</v>
      </c>
      <c r="H142" s="68">
        <f t="shared" si="37"/>
        <v>0.0</v>
      </c>
      <c r="I142" s="68">
        <f t="shared" si="38"/>
        <v>0.0</v>
      </c>
      <c r="J142" s="69">
        <f t="shared" si="39"/>
        <v>10742.899801670748</v>
      </c>
      <c r="K142" s="69">
        <f t="shared" si="31"/>
        <v>198199.672927466</v>
      </c>
    </row>
    <row r="143" spans="8:8">
      <c r="A143" s="65">
        <f t="shared" si="32"/>
        <v>15.0</v>
      </c>
      <c r="B143" s="65">
        <f t="shared" si="33"/>
        <v>44.0</v>
      </c>
      <c r="C143" s="66">
        <f t="shared" si="34"/>
        <v>0.06</v>
      </c>
      <c r="D143" s="68">
        <f t="shared" si="40"/>
        <v>65973.93815314362</v>
      </c>
      <c r="E143" s="68">
        <f t="shared" si="35"/>
        <v>6597.393815314363</v>
      </c>
      <c r="F143" s="68" t="str">
        <f t="shared" si="30"/>
        <v/>
      </c>
      <c r="G143" s="68">
        <f t="shared" si="36"/>
        <v>1979.2181445943086</v>
      </c>
      <c r="H143" s="68">
        <f t="shared" si="37"/>
        <v>0.0</v>
      </c>
      <c r="I143" s="68">
        <f t="shared" si="38"/>
        <v>0.0</v>
      </c>
      <c r="J143" s="69">
        <f t="shared" si="39"/>
        <v>11891.980375647981</v>
      </c>
      <c r="K143" s="69">
        <f t="shared" si="31"/>
        <v>218668.26526302265</v>
      </c>
    </row>
    <row r="144" spans="8:8">
      <c r="A144" s="65">
        <f t="shared" si="32"/>
        <v>16.0</v>
      </c>
      <c r="B144" s="65">
        <f t="shared" si="33"/>
        <v>45.0</v>
      </c>
      <c r="C144" s="66">
        <f t="shared" si="34"/>
        <v>0.06</v>
      </c>
      <c r="D144" s="68">
        <f t="shared" si="40"/>
        <v>67293.4169162065</v>
      </c>
      <c r="E144" s="68">
        <f t="shared" si="35"/>
        <v>6729.34169162065</v>
      </c>
      <c r="F144" s="68" t="str">
        <f t="shared" si="30"/>
        <v/>
      </c>
      <c r="G144" s="68">
        <f t="shared" si="36"/>
        <v>2018.8025074861948</v>
      </c>
      <c r="H144" s="68">
        <f t="shared" si="37"/>
        <v>0.0</v>
      </c>
      <c r="I144" s="68">
        <f t="shared" si="38"/>
        <v>0.0</v>
      </c>
      <c r="J144" s="69">
        <f t="shared" si="39"/>
        <v>13120.095915781363</v>
      </c>
      <c r="K144" s="69">
        <f t="shared" si="31"/>
        <v>240536.50537791086</v>
      </c>
    </row>
    <row r="145" spans="8:8">
      <c r="A145" s="65">
        <f t="shared" si="32"/>
        <v>17.0</v>
      </c>
      <c r="B145" s="65">
        <f t="shared" si="33"/>
        <v>46.0</v>
      </c>
      <c r="C145" s="66">
        <f t="shared" si="34"/>
        <v>0.06</v>
      </c>
      <c r="D145" s="68">
        <f t="shared" si="40"/>
        <v>68639.28525453062</v>
      </c>
      <c r="E145" s="68">
        <f t="shared" si="35"/>
        <v>6863.928525453062</v>
      </c>
      <c r="F145" s="68" t="str">
        <f t="shared" si="30"/>
        <v/>
      </c>
      <c r="G145" s="68">
        <f t="shared" si="36"/>
        <v>2059.1785576359184</v>
      </c>
      <c r="H145" s="68">
        <f t="shared" si="37"/>
        <v>0.0</v>
      </c>
      <c r="I145" s="68">
        <f t="shared" si="38"/>
        <v>0.0</v>
      </c>
      <c r="J145" s="69">
        <f t="shared" si="39"/>
        <v>14432.190322674665</v>
      </c>
      <c r="K145" s="69">
        <f t="shared" si="31"/>
        <v>263891.8027836745</v>
      </c>
    </row>
    <row r="146" spans="8:8">
      <c r="A146" s="65">
        <f t="shared" si="32"/>
        <v>18.0</v>
      </c>
      <c r="B146" s="65">
        <f t="shared" si="33"/>
        <v>47.0</v>
      </c>
      <c r="C146" s="66">
        <f t="shared" si="34"/>
        <v>0.06</v>
      </c>
      <c r="D146" s="68">
        <f t="shared" si="40"/>
        <v>70012.07095962124</v>
      </c>
      <c r="E146" s="68">
        <f t="shared" si="35"/>
        <v>7001.207095962124</v>
      </c>
      <c r="F146" s="68" t="str">
        <f t="shared" si="30"/>
        <v/>
      </c>
      <c r="G146" s="68">
        <f t="shared" si="36"/>
        <v>2100.362128788637</v>
      </c>
      <c r="H146" s="68">
        <f t="shared" si="37"/>
        <v>0.0</v>
      </c>
      <c r="I146" s="68">
        <f t="shared" si="38"/>
        <v>0.0</v>
      </c>
      <c r="J146" s="69">
        <f t="shared" si="39"/>
        <v>15833.50816702051</v>
      </c>
      <c r="K146" s="69">
        <f t="shared" si="31"/>
        <v>288826.8801754458</v>
      </c>
    </row>
    <row r="147" spans="8:8">
      <c r="A147" s="65">
        <f t="shared" si="32"/>
        <v>19.0</v>
      </c>
      <c r="B147" s="65">
        <f t="shared" si="33"/>
        <v>48.0</v>
      </c>
      <c r="C147" s="66">
        <f t="shared" si="34"/>
        <v>0.06</v>
      </c>
      <c r="D147" s="68">
        <f t="shared" si="40"/>
        <v>71412.31237881367</v>
      </c>
      <c r="E147" s="68">
        <f t="shared" si="35"/>
        <v>7141.231237881368</v>
      </c>
      <c r="F147" s="68" t="str">
        <f t="shared" si="30"/>
        <v/>
      </c>
      <c r="G147" s="68">
        <f t="shared" si="36"/>
        <v>2142.36937136441</v>
      </c>
      <c r="H147" s="68">
        <f t="shared" si="37"/>
        <v>0.0</v>
      </c>
      <c r="I147" s="68">
        <f t="shared" si="38"/>
        <v>0.0</v>
      </c>
      <c r="J147" s="69">
        <f t="shared" si="39"/>
        <v>17329.61281052674</v>
      </c>
      <c r="K147" s="69">
        <f t="shared" si="31"/>
        <v>315440.0935952183</v>
      </c>
    </row>
    <row r="148" spans="8:8">
      <c r="A148" s="65">
        <f t="shared" si="32"/>
        <v>20.0</v>
      </c>
      <c r="B148" s="65">
        <f t="shared" si="33"/>
        <v>49.0</v>
      </c>
      <c r="C148" s="66">
        <f t="shared" si="34"/>
        <v>0.06</v>
      </c>
      <c r="D148" s="68">
        <f t="shared" si="40"/>
        <v>72840.55862638995</v>
      </c>
      <c r="E148" s="68">
        <f t="shared" si="35"/>
        <v>7284.055862638995</v>
      </c>
      <c r="F148" s="68" t="str">
        <f t="shared" si="30"/>
        <v/>
      </c>
      <c r="G148" s="68">
        <f t="shared" si="36"/>
        <v>2185.2167587916983</v>
      </c>
      <c r="H148" s="68">
        <f t="shared" si="37"/>
        <v>0.0</v>
      </c>
      <c r="I148" s="68">
        <f t="shared" si="38"/>
        <v>0.0</v>
      </c>
      <c r="J148" s="69">
        <f t="shared" si="39"/>
        <v>18926.405615713098</v>
      </c>
      <c r="K148" s="69">
        <f t="shared" si="31"/>
        <v>343835.7718323621</v>
      </c>
    </row>
    <row r="149" spans="8:8">
      <c r="A149" s="65">
        <f t="shared" si="32"/>
        <v>21.0</v>
      </c>
      <c r="B149" s="65">
        <f t="shared" si="33"/>
        <v>50.0</v>
      </c>
      <c r="C149" s="66">
        <f t="shared" si="34"/>
        <v>0.06</v>
      </c>
      <c r="D149" s="68">
        <f t="shared" si="40"/>
        <v>74297.36979891775</v>
      </c>
      <c r="E149" s="68">
        <f t="shared" si="35"/>
        <v>7429.736979891775</v>
      </c>
      <c r="F149" s="68" t="str">
        <f t="shared" si="30"/>
        <v/>
      </c>
      <c r="G149" s="68">
        <f t="shared" si="36"/>
        <v>2228.921093967532</v>
      </c>
      <c r="H149" s="68">
        <f t="shared" si="37"/>
        <v>0.0</v>
      </c>
      <c r="I149" s="68">
        <f t="shared" si="38"/>
        <v>0.0</v>
      </c>
      <c r="J149" s="69">
        <f t="shared" si="39"/>
        <v>20630.146309941716</v>
      </c>
      <c r="K149" s="69">
        <f t="shared" si="31"/>
        <v>374124.5762161631</v>
      </c>
    </row>
    <row r="150" spans="8:8">
      <c r="A150" s="65">
        <f t="shared" si="32"/>
        <v>22.0</v>
      </c>
      <c r="B150" s="65">
        <f t="shared" si="33"/>
        <v>51.0</v>
      </c>
      <c r="C150" s="66">
        <f t="shared" si="34"/>
        <v>0.06</v>
      </c>
      <c r="D150" s="68">
        <f t="shared" si="40"/>
        <v>75783.3171948961</v>
      </c>
      <c r="E150" s="68">
        <f t="shared" si="35"/>
        <v>7578.33171948961</v>
      </c>
      <c r="F150" s="68" t="str">
        <f t="shared" si="30"/>
        <v/>
      </c>
      <c r="G150" s="68">
        <f t="shared" si="36"/>
        <v>2273.499515846883</v>
      </c>
      <c r="H150" s="68">
        <f t="shared" si="37"/>
        <v>0.0</v>
      </c>
      <c r="I150" s="68">
        <f t="shared" si="38"/>
        <v>0.0</v>
      </c>
      <c r="J150" s="69">
        <f t="shared" si="39"/>
        <v>22447.474572969833</v>
      </c>
      <c r="K150" s="69">
        <f t="shared" si="31"/>
        <v>406423.88202446944</v>
      </c>
    </row>
    <row r="151" spans="8:8">
      <c r="A151" s="65">
        <f t="shared" si="32"/>
        <v>23.0</v>
      </c>
      <c r="B151" s="65">
        <f t="shared" si="33"/>
        <v>52.0</v>
      </c>
      <c r="C151" s="66">
        <f t="shared" si="34"/>
        <v>0.06</v>
      </c>
      <c r="D151" s="68">
        <f t="shared" si="40"/>
        <v>77298.98353879403</v>
      </c>
      <c r="E151" s="68">
        <f t="shared" si="35"/>
        <v>7729.898353879403</v>
      </c>
      <c r="F151" s="68" t="str">
        <f t="shared" si="30"/>
        <v/>
      </c>
      <c r="G151" s="68">
        <f t="shared" si="36"/>
        <v>2318.969506163821</v>
      </c>
      <c r="H151" s="68">
        <f t="shared" si="37"/>
        <v>0.0</v>
      </c>
      <c r="I151" s="68">
        <f t="shared" si="38"/>
        <v>0.0</v>
      </c>
      <c r="J151" s="69">
        <f t="shared" si="39"/>
        <v>24385.432921468164</v>
      </c>
      <c r="K151" s="69">
        <f t="shared" si="31"/>
        <v>440858.18280598085</v>
      </c>
    </row>
    <row r="152" spans="8:8">
      <c r="A152" s="65">
        <f t="shared" si="32"/>
        <v>24.0</v>
      </c>
      <c r="B152" s="65">
        <f t="shared" si="33"/>
        <v>53.0</v>
      </c>
      <c r="C152" s="66">
        <f t="shared" si="34"/>
        <v>0.06</v>
      </c>
      <c r="D152" s="68">
        <f t="shared" si="40"/>
        <v>78844.9632095699</v>
      </c>
      <c r="E152" s="68">
        <f t="shared" si="35"/>
        <v>7884.4963209569905</v>
      </c>
      <c r="F152" s="68" t="str">
        <f t="shared" si="30"/>
        <v/>
      </c>
      <c r="G152" s="68">
        <f t="shared" si="36"/>
        <v>2365.348896287097</v>
      </c>
      <c r="H152" s="68">
        <f t="shared" si="37"/>
        <v>0.0</v>
      </c>
      <c r="I152" s="68">
        <f t="shared" si="38"/>
        <v>0.0</v>
      </c>
      <c r="J152" s="69">
        <f t="shared" si="39"/>
        <v>26451.490968358936</v>
      </c>
      <c r="K152" s="69">
        <f t="shared" si="31"/>
        <v>477559.51899158384</v>
      </c>
    </row>
    <row r="153" spans="8:8">
      <c r="A153" s="65">
        <f t="shared" si="32"/>
        <v>25.0</v>
      </c>
      <c r="B153" s="65">
        <f t="shared" si="33"/>
        <v>54.0</v>
      </c>
      <c r="C153" s="66">
        <f t="shared" si="34"/>
        <v>0.06</v>
      </c>
      <c r="D153" s="68">
        <f t="shared" si="40"/>
        <v>80421.8624737613</v>
      </c>
      <c r="E153" s="68">
        <f t="shared" si="35"/>
        <v>8042.18624737613</v>
      </c>
      <c r="F153" s="68" t="str">
        <f t="shared" si="30"/>
        <v/>
      </c>
      <c r="G153" s="68">
        <f t="shared" si="36"/>
        <v>2412.655874212839</v>
      </c>
      <c r="H153" s="68">
        <f t="shared" si="37"/>
        <v>0.0</v>
      </c>
      <c r="I153" s="68">
        <f t="shared" si="38"/>
        <v>0.0</v>
      </c>
      <c r="J153" s="69">
        <f t="shared" si="39"/>
        <v>28653.571139495063</v>
      </c>
      <c r="K153" s="69">
        <f t="shared" si="31"/>
        <v>516667.9322526679</v>
      </c>
    </row>
    <row r="154" spans="8:8">
      <c r="A154" s="65">
        <f t="shared" si="32"/>
        <v>26.0</v>
      </c>
      <c r="B154" s="65">
        <f t="shared" si="33"/>
        <v>55.0</v>
      </c>
      <c r="C154" s="66">
        <f t="shared" si="34"/>
        <v>0.06</v>
      </c>
      <c r="D154" s="68">
        <f t="shared" si="40"/>
        <v>82030.29972323653</v>
      </c>
      <c r="E154" s="68">
        <f t="shared" si="35"/>
        <v>8203.029972323653</v>
      </c>
      <c r="F154" s="68" t="str">
        <f t="shared" si="30"/>
        <v/>
      </c>
      <c r="G154" s="68">
        <f t="shared" si="36"/>
        <v>2460.9089916970956</v>
      </c>
      <c r="H154" s="68">
        <f t="shared" si="37"/>
        <v>0.0</v>
      </c>
      <c r="I154" s="68">
        <f t="shared" si="38"/>
        <v>0.0</v>
      </c>
      <c r="J154" s="69">
        <f t="shared" si="39"/>
        <v>31000.07593516016</v>
      </c>
      <c r="K154" s="69">
        <f t="shared" si="31"/>
        <v>558331.9471518488</v>
      </c>
    </row>
    <row r="155" spans="8:8">
      <c r="A155" s="65">
        <f t="shared" si="32"/>
        <v>27.0</v>
      </c>
      <c r="B155" s="65">
        <f t="shared" si="33"/>
        <v>56.0</v>
      </c>
      <c r="C155" s="66">
        <f t="shared" si="34"/>
        <v>0.06</v>
      </c>
      <c r="D155" s="68">
        <f t="shared" si="40"/>
        <v>83670.90571770126</v>
      </c>
      <c r="E155" s="68">
        <f t="shared" si="35"/>
        <v>8367.090571770126</v>
      </c>
      <c r="F155" s="68" t="str">
        <f t="shared" si="30"/>
        <v/>
      </c>
      <c r="G155" s="68">
        <f t="shared" si="36"/>
        <v>2510.1271715310377</v>
      </c>
      <c r="H155" s="68">
        <f t="shared" si="37"/>
        <v>0.0</v>
      </c>
      <c r="I155" s="68">
        <f t="shared" si="38"/>
        <v>0.0</v>
      </c>
      <c r="J155" s="69">
        <f t="shared" si="39"/>
        <v>33499.91682911094</v>
      </c>
      <c r="K155" s="69">
        <f t="shared" si="31"/>
        <v>602709.0817242609</v>
      </c>
    </row>
    <row r="156" spans="8:8">
      <c r="A156" s="65">
        <f t="shared" si="32"/>
        <v>28.0</v>
      </c>
      <c r="B156" s="65">
        <f t="shared" si="33"/>
        <v>57.0</v>
      </c>
      <c r="C156" s="66">
        <f t="shared" si="34"/>
        <v>0.06</v>
      </c>
      <c r="D156" s="68">
        <f t="shared" si="40"/>
        <v>85344.32383205529</v>
      </c>
      <c r="E156" s="68">
        <f t="shared" si="35"/>
        <v>8534.432383205529</v>
      </c>
      <c r="F156" s="68" t="str">
        <f t="shared" si="30"/>
        <v/>
      </c>
      <c r="G156" s="68">
        <f t="shared" si="36"/>
        <v>2560.3297149616587</v>
      </c>
      <c r="H156" s="68">
        <f t="shared" si="37"/>
        <v>0.0</v>
      </c>
      <c r="I156" s="68">
        <f t="shared" si="38"/>
        <v>0.0</v>
      </c>
      <c r="J156" s="69">
        <f t="shared" si="39"/>
        <v>36162.54490345565</v>
      </c>
      <c r="K156" s="69">
        <f t="shared" si="31"/>
        <v>649966.3887258838</v>
      </c>
    </row>
    <row r="157" spans="8:8">
      <c r="A157" s="65">
        <f t="shared" si="32"/>
        <v>29.0</v>
      </c>
      <c r="B157" s="65">
        <f t="shared" si="33"/>
        <v>58.0</v>
      </c>
      <c r="C157" s="66">
        <f t="shared" si="34"/>
        <v>0.06</v>
      </c>
      <c r="D157" s="68">
        <f t="shared" si="40"/>
        <v>87051.2103086964</v>
      </c>
      <c r="E157" s="68">
        <f t="shared" si="35"/>
        <v>8705.12103086964</v>
      </c>
      <c r="F157" s="68" t="str">
        <f t="shared" si="30"/>
        <v/>
      </c>
      <c r="G157" s="68">
        <f t="shared" si="36"/>
        <v>2611.5363092608923</v>
      </c>
      <c r="H157" s="68">
        <f t="shared" si="37"/>
        <v>0.0</v>
      </c>
      <c r="I157" s="68">
        <f t="shared" si="38"/>
        <v>0.0</v>
      </c>
      <c r="J157" s="69">
        <f t="shared" si="39"/>
        <v>38997.98332355311</v>
      </c>
      <c r="K157" s="69">
        <f t="shared" si="31"/>
        <v>700281.0293895674</v>
      </c>
    </row>
    <row r="158" spans="8:8">
      <c r="A158" s="65">
        <f t="shared" si="32"/>
        <v>30.0</v>
      </c>
      <c r="B158" s="65">
        <f t="shared" si="33"/>
        <v>59.0</v>
      </c>
      <c r="C158" s="66">
        <f t="shared" si="34"/>
        <v>0.06</v>
      </c>
      <c r="D158" s="68">
        <f t="shared" si="40"/>
        <v>88792.23451487033</v>
      </c>
      <c r="E158" s="68">
        <f t="shared" si="35"/>
        <v>8879.223451487034</v>
      </c>
      <c r="F158" s="68" t="str">
        <f t="shared" si="30"/>
        <v/>
      </c>
      <c r="G158" s="68">
        <f t="shared" si="36"/>
        <v>2663.7670354461097</v>
      </c>
      <c r="H158" s="68">
        <f t="shared" si="37"/>
        <v>0.0</v>
      </c>
      <c r="I158" s="68">
        <f t="shared" si="38"/>
        <v>0.0</v>
      </c>
      <c r="J158" s="69">
        <f t="shared" si="39"/>
        <v>42016.861763374065</v>
      </c>
      <c r="K158" s="69">
        <f t="shared" si="31"/>
        <v>753840.8816398747</v>
      </c>
    </row>
    <row r="159" spans="8:8">
      <c r="A159" s="65">
        <f t="shared" si="32"/>
        <v>31.0</v>
      </c>
      <c r="B159" s="65">
        <f t="shared" si="33"/>
        <v>60.0</v>
      </c>
      <c r="C159" s="66">
        <f t="shared" si="34"/>
        <v>0.06</v>
      </c>
      <c r="D159" s="68">
        <f t="shared" si="40"/>
        <v>90568.07920516774</v>
      </c>
      <c r="E159" s="68">
        <f t="shared" si="35"/>
        <v>9056.807920516774</v>
      </c>
      <c r="F159" s="68" t="str">
        <f t="shared" si="30"/>
        <v/>
      </c>
      <c r="G159" s="68">
        <f t="shared" si="36"/>
        <v>2717.0423761550323</v>
      </c>
      <c r="H159" s="68">
        <f t="shared" si="37"/>
        <v>0.0</v>
      </c>
      <c r="I159" s="68">
        <f t="shared" si="38"/>
        <v>0.0</v>
      </c>
      <c r="J159" s="69">
        <f t="shared" si="39"/>
        <v>45230.45289839257</v>
      </c>
      <c r="K159" s="69">
        <f t="shared" si="31"/>
        <v>810845.1848349391</v>
      </c>
    </row>
    <row r="160" spans="8:8">
      <c r="A160" s="65">
        <f t="shared" si="32"/>
        <v>32.0</v>
      </c>
      <c r="B160" s="65">
        <f t="shared" si="33"/>
        <v>61.0</v>
      </c>
      <c r="C160" s="66">
        <f t="shared" si="34"/>
        <v>0.06</v>
      </c>
      <c r="D160" s="68">
        <f t="shared" si="40"/>
        <v>92379.4407892711</v>
      </c>
      <c r="E160" s="68">
        <f t="shared" si="35"/>
        <v>9237.94407892711</v>
      </c>
      <c r="F160" s="68" t="str">
        <f t="shared" si="30"/>
        <v/>
      </c>
      <c r="G160" s="68">
        <f t="shared" si="36"/>
        <v>2771.383223678133</v>
      </c>
      <c r="H160" s="68">
        <f t="shared" si="37"/>
        <v>0.0</v>
      </c>
      <c r="I160" s="68">
        <f t="shared" si="38"/>
        <v>0.0</v>
      </c>
      <c r="J160" s="69">
        <f t="shared" si="39"/>
        <v>48650.71109009639</v>
      </c>
      <c r="K160" s="69">
        <f t="shared" si="31"/>
        <v>871505.2232276407</v>
      </c>
    </row>
    <row r="161" spans="8:8">
      <c r="A161" s="65">
        <f t="shared" si="32"/>
        <v>33.0</v>
      </c>
      <c r="B161" s="65">
        <f t="shared" si="33"/>
        <v>62.0</v>
      </c>
      <c r="C161" s="66">
        <f t="shared" si="34"/>
        <v>0.06</v>
      </c>
      <c r="D161" s="68">
        <f t="shared" si="40"/>
        <v>94227.02960505652</v>
      </c>
      <c r="E161" s="68">
        <f t="shared" si="35"/>
        <v>9422.702960505652</v>
      </c>
      <c r="F161" s="68" t="str">
        <f t="shared" si="41" ref="F161:F192">IF(ISERROR(A161),NA(),"")</f>
        <v/>
      </c>
      <c r="G161" s="68">
        <f t="shared" si="36"/>
        <v>2826.8108881516955</v>
      </c>
      <c r="H161" s="68">
        <f t="shared" si="37"/>
        <v>0.0</v>
      </c>
      <c r="I161" s="68">
        <f t="shared" si="38"/>
        <v>0.0</v>
      </c>
      <c r="J161" s="69">
        <f t="shared" si="39"/>
        <v>52290.31339365861</v>
      </c>
      <c r="K161" s="69">
        <f t="shared" si="42" ref="K161:K192">IF(ISERROR(A161),NA(),K160+E161+G161+J161-I161)</f>
        <v>936045.0504699566</v>
      </c>
    </row>
    <row r="162" spans="8:8">
      <c r="A162" s="65">
        <f t="shared" si="32"/>
        <v>34.0</v>
      </c>
      <c r="B162" s="65">
        <f t="shared" si="33"/>
        <v>63.0</v>
      </c>
      <c r="C162" s="66">
        <f t="shared" si="34"/>
        <v>0.06</v>
      </c>
      <c r="D162" s="68">
        <f t="shared" si="40"/>
        <v>96111.57019715765</v>
      </c>
      <c r="E162" s="68">
        <f t="shared" si="35"/>
        <v>9611.157019715765</v>
      </c>
      <c r="F162" s="68" t="str">
        <f t="shared" si="41"/>
        <v/>
      </c>
      <c r="G162" s="68">
        <f t="shared" si="36"/>
        <v>2883.3471059147296</v>
      </c>
      <c r="H162" s="68">
        <f t="shared" si="37"/>
        <v>0.0</v>
      </c>
      <c r="I162" s="68">
        <f t="shared" si="38"/>
        <v>0.0</v>
      </c>
      <c r="J162" s="69">
        <f t="shared" si="39"/>
        <v>56162.7030281974</v>
      </c>
      <c r="K162" s="69">
        <f t="shared" si="42"/>
        <v>1004702.2576237845</v>
      </c>
    </row>
    <row r="163" spans="8:8">
      <c r="A163" s="65">
        <f t="shared" si="32"/>
        <v>35.0</v>
      </c>
      <c r="B163" s="65">
        <f t="shared" si="33"/>
        <v>64.0</v>
      </c>
      <c r="C163" s="66">
        <f t="shared" si="34"/>
        <v>0.06</v>
      </c>
      <c r="D163" s="68">
        <f t="shared" si="40"/>
        <v>98033.8016011008</v>
      </c>
      <c r="E163" s="68">
        <f t="shared" si="35"/>
        <v>9803.38016011008</v>
      </c>
      <c r="F163" s="68" t="str">
        <f t="shared" si="41"/>
        <v/>
      </c>
      <c r="G163" s="68">
        <f t="shared" si="36"/>
        <v>2941.0140480330238</v>
      </c>
      <c r="H163" s="68">
        <f t="shared" si="37"/>
        <v>0.0</v>
      </c>
      <c r="I163" s="68">
        <f t="shared" si="38"/>
        <v>0.0</v>
      </c>
      <c r="J163" s="69">
        <f t="shared" si="39"/>
        <v>60282.135457427124</v>
      </c>
      <c r="K163" s="69">
        <f t="shared" si="42"/>
        <v>1077728.7872893547</v>
      </c>
    </row>
    <row r="164" spans="8:8">
      <c r="A164" s="65">
        <f t="shared" si="32"/>
        <v>36.0</v>
      </c>
      <c r="B164" s="65">
        <f t="shared" si="33"/>
        <v>65.0</v>
      </c>
      <c r="C164" s="66">
        <f t="shared" si="34"/>
        <v>0.03</v>
      </c>
      <c r="D164" s="68">
        <f t="shared" si="40"/>
        <v>140693.1227185763</v>
      </c>
      <c r="E164" s="68">
        <f t="shared" si="35"/>
        <v>0.0</v>
      </c>
      <c r="F164" s="68" t="str">
        <f t="shared" si="41"/>
        <v/>
      </c>
      <c r="G164" s="68">
        <f t="shared" si="36"/>
        <v>0.0</v>
      </c>
      <c r="H164" s="68">
        <f t="shared" si="37"/>
        <v>0.0</v>
      </c>
      <c r="I164" s="68">
        <f t="shared" si="38"/>
        <v>140693.1227185763</v>
      </c>
      <c r="J164" s="69">
        <f t="shared" si="39"/>
        <v>28111.069937123335</v>
      </c>
      <c r="K164" s="69">
        <f t="shared" si="42"/>
        <v>965146.7345079016</v>
      </c>
    </row>
    <row r="165" spans="8:8">
      <c r="A165" s="65">
        <f t="shared" si="32"/>
        <v>37.0</v>
      </c>
      <c r="B165" s="65">
        <f t="shared" si="33"/>
        <v>66.0</v>
      </c>
      <c r="C165" s="66">
        <f t="shared" si="34"/>
        <v>0.03</v>
      </c>
      <c r="D165" s="68">
        <f t="shared" si="40"/>
        <v>144913.9164001336</v>
      </c>
      <c r="E165" s="68">
        <f t="shared" si="35"/>
        <v>0.0</v>
      </c>
      <c r="F165" s="68" t="str">
        <f t="shared" si="41"/>
        <v/>
      </c>
      <c r="G165" s="68">
        <f t="shared" si="36"/>
        <v>0.0</v>
      </c>
      <c r="H165" s="68">
        <f t="shared" si="37"/>
        <v>0.0</v>
      </c>
      <c r="I165" s="68">
        <f t="shared" si="38"/>
        <v>144913.9164001336</v>
      </c>
      <c r="J165" s="69">
        <f t="shared" si="39"/>
        <v>24606.984543233062</v>
      </c>
      <c r="K165" s="69">
        <f t="shared" si="42"/>
        <v>844839.802651001</v>
      </c>
    </row>
    <row r="166" spans="8:8">
      <c r="A166" s="65">
        <f t="shared" si="32"/>
        <v>38.0</v>
      </c>
      <c r="B166" s="65">
        <f t="shared" si="33"/>
        <v>67.0</v>
      </c>
      <c r="C166" s="66">
        <f t="shared" si="34"/>
        <v>0.03</v>
      </c>
      <c r="D166" s="68">
        <f t="shared" si="40"/>
        <v>149261.3338921376</v>
      </c>
      <c r="E166" s="68">
        <f t="shared" si="35"/>
        <v>0.0</v>
      </c>
      <c r="F166" s="68" t="str">
        <f t="shared" si="41"/>
        <v/>
      </c>
      <c r="G166" s="68">
        <f t="shared" si="36"/>
        <v>0.0</v>
      </c>
      <c r="H166" s="68">
        <f t="shared" si="37"/>
        <v>0.0</v>
      </c>
      <c r="I166" s="68">
        <f t="shared" si="38"/>
        <v>149261.3338921376</v>
      </c>
      <c r="J166" s="69">
        <f t="shared" si="39"/>
        <v>20867.354062765953</v>
      </c>
      <c r="K166" s="69">
        <f t="shared" si="42"/>
        <v>716445.8228216294</v>
      </c>
    </row>
    <row r="167" spans="8:8">
      <c r="A167" s="65">
        <f t="shared" si="32"/>
        <v>39.0</v>
      </c>
      <c r="B167" s="65">
        <f t="shared" si="33"/>
        <v>68.0</v>
      </c>
      <c r="C167" s="66">
        <f t="shared" si="34"/>
        <v>0.03</v>
      </c>
      <c r="D167" s="68">
        <f t="shared" si="40"/>
        <v>153739.17390890175</v>
      </c>
      <c r="E167" s="68">
        <f t="shared" si="35"/>
        <v>0.0</v>
      </c>
      <c r="F167" s="68" t="str">
        <f t="shared" si="41"/>
        <v/>
      </c>
      <c r="G167" s="68">
        <f t="shared" si="36"/>
        <v>0.0</v>
      </c>
      <c r="H167" s="68">
        <f t="shared" si="37"/>
        <v>0.0</v>
      </c>
      <c r="I167" s="68">
        <f t="shared" si="38"/>
        <v>153739.17390890175</v>
      </c>
      <c r="J167" s="69">
        <f t="shared" si="39"/>
        <v>16881.19946738181</v>
      </c>
      <c r="K167" s="69">
        <f t="shared" si="42"/>
        <v>579587.8483801094</v>
      </c>
    </row>
    <row r="168" spans="8:8">
      <c r="A168" s="65">
        <f t="shared" si="32"/>
        <v>40.0</v>
      </c>
      <c r="B168" s="65">
        <f t="shared" si="33"/>
        <v>69.0</v>
      </c>
      <c r="C168" s="66">
        <f t="shared" si="34"/>
        <v>0.03</v>
      </c>
      <c r="D168" s="68">
        <f t="shared" si="40"/>
        <v>158351.34912616882</v>
      </c>
      <c r="E168" s="68">
        <f t="shared" si="35"/>
        <v>0.0</v>
      </c>
      <c r="F168" s="68" t="str">
        <f t="shared" si="41"/>
        <v/>
      </c>
      <c r="G168" s="68">
        <f t="shared" si="36"/>
        <v>0.0</v>
      </c>
      <c r="H168" s="68">
        <f t="shared" si="37"/>
        <v>0.0</v>
      </c>
      <c r="I168" s="68">
        <f t="shared" si="38"/>
        <v>158351.34912616882</v>
      </c>
      <c r="J168" s="69">
        <f t="shared" si="39"/>
        <v>12637.094977618253</v>
      </c>
      <c r="K168" s="69">
        <f t="shared" si="42"/>
        <v>433873.5942315589</v>
      </c>
    </row>
    <row r="169" spans="8:8">
      <c r="A169" s="65">
        <f t="shared" si="32"/>
        <v>41.0</v>
      </c>
      <c r="B169" s="65">
        <f t="shared" si="33"/>
        <v>70.0</v>
      </c>
      <c r="C169" s="66">
        <f t="shared" si="34"/>
        <v>0.03</v>
      </c>
      <c r="D169" s="68">
        <f t="shared" si="40"/>
        <v>163101.88959995387</v>
      </c>
      <c r="E169" s="68">
        <f t="shared" si="35"/>
        <v>0.0</v>
      </c>
      <c r="F169" s="68" t="str">
        <f t="shared" si="41"/>
        <v/>
      </c>
      <c r="G169" s="68">
        <f t="shared" si="36"/>
        <v>0.0</v>
      </c>
      <c r="H169" s="68">
        <f t="shared" si="37"/>
        <v>0.0</v>
      </c>
      <c r="I169" s="68">
        <f t="shared" si="38"/>
        <v>163101.88959995387</v>
      </c>
      <c r="J169" s="69">
        <f t="shared" si="39"/>
        <v>8123.15113894816</v>
      </c>
      <c r="K169" s="69">
        <f t="shared" si="42"/>
        <v>278894.85577055323</v>
      </c>
    </row>
    <row r="170" spans="8:8">
      <c r="A170" s="65">
        <f t="shared" si="32"/>
        <v>42.0</v>
      </c>
      <c r="B170" s="65">
        <f t="shared" si="33"/>
        <v>71.0</v>
      </c>
      <c r="C170" s="66">
        <f t="shared" si="34"/>
        <v>0.03</v>
      </c>
      <c r="D170" s="68">
        <f t="shared" si="40"/>
        <v>167994.94628795248</v>
      </c>
      <c r="E170" s="68">
        <f t="shared" si="35"/>
        <v>0.0</v>
      </c>
      <c r="F170" s="68" t="str">
        <f t="shared" si="41"/>
        <v/>
      </c>
      <c r="G170" s="68">
        <f t="shared" si="36"/>
        <v>0.0</v>
      </c>
      <c r="H170" s="68">
        <f t="shared" si="37"/>
        <v>0.0</v>
      </c>
      <c r="I170" s="68">
        <f t="shared" si="38"/>
        <v>167994.94628795248</v>
      </c>
      <c r="J170" s="69">
        <f t="shared" si="39"/>
        <v>3326.9972844780277</v>
      </c>
      <c r="K170" s="69">
        <f t="shared" si="42"/>
        <v>114226.90676707879</v>
      </c>
    </row>
    <row r="171" spans="8:8">
      <c r="A171" s="65">
        <f t="shared" si="32"/>
        <v>43.0</v>
      </c>
      <c r="B171" s="65">
        <f t="shared" si="33"/>
        <v>72.0</v>
      </c>
      <c r="C171" s="66">
        <f t="shared" si="34"/>
        <v>0.03</v>
      </c>
      <c r="D171" s="68">
        <f t="shared" si="40"/>
        <v>173034.79467659106</v>
      </c>
      <c r="E171" s="68">
        <f t="shared" si="35"/>
        <v>0.0</v>
      </c>
      <c r="F171" s="68" t="str">
        <f t="shared" si="41"/>
        <v/>
      </c>
      <c r="G171" s="68">
        <f t="shared" si="36"/>
        <v>0.0</v>
      </c>
      <c r="H171" s="68">
        <f t="shared" si="37"/>
        <v>0.0</v>
      </c>
      <c r="I171" s="68">
        <f t="shared" si="38"/>
        <v>173034.79467659106</v>
      </c>
      <c r="J171" s="69">
        <f t="shared" si="39"/>
        <v>-1764.2366372853721</v>
      </c>
      <c r="K171" s="69">
        <f t="shared" si="42"/>
        <v>-60572.12454679764</v>
      </c>
    </row>
    <row r="172" spans="8:8">
      <c r="A172" s="65" t="e">
        <f t="shared" si="32"/>
        <v>#N/A</v>
      </c>
      <c r="B172" s="65" t="e">
        <f t="shared" si="33"/>
        <v>#N/A</v>
      </c>
      <c r="C172" s="66" t="e">
        <f t="shared" si="34"/>
        <v>#N/A</v>
      </c>
      <c r="D172" s="68" t="e">
        <f t="shared" si="40"/>
        <v>#N/A</v>
      </c>
      <c r="E172" s="68" t="e">
        <f t="shared" si="35"/>
        <v>#N/A</v>
      </c>
      <c r="F172" s="68" t="e">
        <f t="shared" si="41"/>
        <v>#N/A</v>
      </c>
      <c r="G172" s="68" t="e">
        <f t="shared" si="36"/>
        <v>#N/A</v>
      </c>
      <c r="H172" s="68" t="e">
        <f t="shared" si="37"/>
        <v>#N/A</v>
      </c>
      <c r="I172" s="68" t="e">
        <f t="shared" si="38"/>
        <v>#N/A</v>
      </c>
      <c r="J172" s="69" t="e">
        <f t="shared" si="39"/>
        <v>#N/A</v>
      </c>
      <c r="K172" s="69" t="e">
        <f t="shared" si="42"/>
        <v>#N/A</v>
      </c>
    </row>
    <row r="173" spans="8:8">
      <c r="A173" s="65" t="e">
        <f t="shared" si="32"/>
        <v>#N/A</v>
      </c>
      <c r="B173" s="65" t="e">
        <f t="shared" si="33"/>
        <v>#N/A</v>
      </c>
      <c r="C173" s="66" t="e">
        <f t="shared" si="34"/>
        <v>#N/A</v>
      </c>
      <c r="D173" s="68" t="e">
        <f t="shared" si="40"/>
        <v>#N/A</v>
      </c>
      <c r="E173" s="68" t="e">
        <f t="shared" si="35"/>
        <v>#N/A</v>
      </c>
      <c r="F173" s="68" t="e">
        <f t="shared" si="41"/>
        <v>#N/A</v>
      </c>
      <c r="G173" s="68" t="e">
        <f t="shared" si="36"/>
        <v>#N/A</v>
      </c>
      <c r="H173" s="68" t="e">
        <f t="shared" si="37"/>
        <v>#N/A</v>
      </c>
      <c r="I173" s="68" t="e">
        <f t="shared" si="38"/>
        <v>#N/A</v>
      </c>
      <c r="J173" s="69" t="e">
        <f t="shared" si="39"/>
        <v>#N/A</v>
      </c>
      <c r="K173" s="69" t="e">
        <f t="shared" si="42"/>
        <v>#N/A</v>
      </c>
    </row>
    <row r="174" spans="8:8">
      <c r="A174" s="65" t="e">
        <f t="shared" si="32"/>
        <v>#N/A</v>
      </c>
      <c r="B174" s="65" t="e">
        <f t="shared" si="33"/>
        <v>#N/A</v>
      </c>
      <c r="C174" s="66" t="e">
        <f t="shared" si="34"/>
        <v>#N/A</v>
      </c>
      <c r="D174" s="68" t="e">
        <f t="shared" si="40"/>
        <v>#N/A</v>
      </c>
      <c r="E174" s="68" t="e">
        <f t="shared" si="35"/>
        <v>#N/A</v>
      </c>
      <c r="F174" s="68" t="e">
        <f t="shared" si="41"/>
        <v>#N/A</v>
      </c>
      <c r="G174" s="68" t="e">
        <f t="shared" si="36"/>
        <v>#N/A</v>
      </c>
      <c r="H174" s="68" t="e">
        <f t="shared" si="37"/>
        <v>#N/A</v>
      </c>
      <c r="I174" s="68" t="e">
        <f t="shared" si="38"/>
        <v>#N/A</v>
      </c>
      <c r="J174" s="69" t="e">
        <f t="shared" si="39"/>
        <v>#N/A</v>
      </c>
      <c r="K174" s="69" t="e">
        <f t="shared" si="42"/>
        <v>#N/A</v>
      </c>
    </row>
    <row r="175" spans="8:8">
      <c r="A175" s="65" t="e">
        <f t="shared" si="32"/>
        <v>#N/A</v>
      </c>
      <c r="B175" s="65" t="e">
        <f t="shared" si="33"/>
        <v>#N/A</v>
      </c>
      <c r="C175" s="66" t="e">
        <f t="shared" si="34"/>
        <v>#N/A</v>
      </c>
      <c r="D175" s="68" t="e">
        <f t="shared" si="40"/>
        <v>#N/A</v>
      </c>
      <c r="E175" s="68" t="e">
        <f t="shared" si="35"/>
        <v>#N/A</v>
      </c>
      <c r="F175" s="68" t="e">
        <f t="shared" si="41"/>
        <v>#N/A</v>
      </c>
      <c r="G175" s="68" t="e">
        <f t="shared" si="36"/>
        <v>#N/A</v>
      </c>
      <c r="H175" s="68" t="e">
        <f t="shared" si="37"/>
        <v>#N/A</v>
      </c>
      <c r="I175" s="68" t="e">
        <f t="shared" si="38"/>
        <v>#N/A</v>
      </c>
      <c r="J175" s="69" t="e">
        <f t="shared" si="39"/>
        <v>#N/A</v>
      </c>
      <c r="K175" s="69" t="e">
        <f t="shared" si="42"/>
        <v>#N/A</v>
      </c>
    </row>
    <row r="176" spans="8:8">
      <c r="A176" s="65" t="e">
        <f t="shared" si="32"/>
        <v>#N/A</v>
      </c>
      <c r="B176" s="65" t="e">
        <f t="shared" si="33"/>
        <v>#N/A</v>
      </c>
      <c r="C176" s="66" t="e">
        <f t="shared" si="34"/>
        <v>#N/A</v>
      </c>
      <c r="D176" s="68" t="e">
        <f t="shared" si="40"/>
        <v>#N/A</v>
      </c>
      <c r="E176" s="68" t="e">
        <f t="shared" si="35"/>
        <v>#N/A</v>
      </c>
      <c r="F176" s="68" t="e">
        <f t="shared" si="41"/>
        <v>#N/A</v>
      </c>
      <c r="G176" s="68" t="e">
        <f t="shared" si="36"/>
        <v>#N/A</v>
      </c>
      <c r="H176" s="68" t="e">
        <f t="shared" si="37"/>
        <v>#N/A</v>
      </c>
      <c r="I176" s="68" t="e">
        <f t="shared" si="38"/>
        <v>#N/A</v>
      </c>
      <c r="J176" s="69" t="e">
        <f t="shared" si="39"/>
        <v>#N/A</v>
      </c>
      <c r="K176" s="69" t="e">
        <f t="shared" si="42"/>
        <v>#N/A</v>
      </c>
    </row>
    <row r="177" spans="8:8">
      <c r="A177" s="65" t="e">
        <f t="shared" si="32"/>
        <v>#N/A</v>
      </c>
      <c r="B177" s="65" t="e">
        <f t="shared" si="33"/>
        <v>#N/A</v>
      </c>
      <c r="C177" s="66" t="e">
        <f t="shared" si="34"/>
        <v>#N/A</v>
      </c>
      <c r="D177" s="68" t="e">
        <f t="shared" si="40"/>
        <v>#N/A</v>
      </c>
      <c r="E177" s="68" t="e">
        <f t="shared" si="35"/>
        <v>#N/A</v>
      </c>
      <c r="F177" s="68" t="e">
        <f t="shared" si="41"/>
        <v>#N/A</v>
      </c>
      <c r="G177" s="68" t="e">
        <f t="shared" si="36"/>
        <v>#N/A</v>
      </c>
      <c r="H177" s="68" t="e">
        <f t="shared" si="37"/>
        <v>#N/A</v>
      </c>
      <c r="I177" s="68" t="e">
        <f t="shared" si="38"/>
        <v>#N/A</v>
      </c>
      <c r="J177" s="69" t="e">
        <f t="shared" si="39"/>
        <v>#N/A</v>
      </c>
      <c r="K177" s="69" t="e">
        <f t="shared" si="42"/>
        <v>#N/A</v>
      </c>
    </row>
    <row r="178" spans="8:8">
      <c r="A178" s="65" t="e">
        <f t="shared" si="32"/>
        <v>#N/A</v>
      </c>
      <c r="B178" s="65" t="e">
        <f t="shared" si="33"/>
        <v>#N/A</v>
      </c>
      <c r="C178" s="66" t="e">
        <f t="shared" si="34"/>
        <v>#N/A</v>
      </c>
      <c r="D178" s="68" t="e">
        <f t="shared" si="40"/>
        <v>#N/A</v>
      </c>
      <c r="E178" s="68" t="e">
        <f t="shared" si="35"/>
        <v>#N/A</v>
      </c>
      <c r="F178" s="68" t="e">
        <f t="shared" si="41"/>
        <v>#N/A</v>
      </c>
      <c r="G178" s="68" t="e">
        <f t="shared" si="36"/>
        <v>#N/A</v>
      </c>
      <c r="H178" s="68" t="e">
        <f t="shared" si="37"/>
        <v>#N/A</v>
      </c>
      <c r="I178" s="68" t="e">
        <f t="shared" si="38"/>
        <v>#N/A</v>
      </c>
      <c r="J178" s="69" t="e">
        <f t="shared" si="39"/>
        <v>#N/A</v>
      </c>
      <c r="K178" s="69" t="e">
        <f t="shared" si="42"/>
        <v>#N/A</v>
      </c>
    </row>
    <row r="179" spans="8:8">
      <c r="A179" s="65" t="e">
        <f t="shared" si="32"/>
        <v>#N/A</v>
      </c>
      <c r="B179" s="65" t="e">
        <f t="shared" si="33"/>
        <v>#N/A</v>
      </c>
      <c r="C179" s="66" t="e">
        <f t="shared" si="34"/>
        <v>#N/A</v>
      </c>
      <c r="D179" s="68" t="e">
        <f t="shared" si="40"/>
        <v>#N/A</v>
      </c>
      <c r="E179" s="68" t="e">
        <f t="shared" si="35"/>
        <v>#N/A</v>
      </c>
      <c r="F179" s="68" t="e">
        <f t="shared" si="41"/>
        <v>#N/A</v>
      </c>
      <c r="G179" s="68" t="e">
        <f t="shared" si="36"/>
        <v>#N/A</v>
      </c>
      <c r="H179" s="68" t="e">
        <f t="shared" si="37"/>
        <v>#N/A</v>
      </c>
      <c r="I179" s="68" t="e">
        <f t="shared" si="38"/>
        <v>#N/A</v>
      </c>
      <c r="J179" s="69" t="e">
        <f t="shared" si="39"/>
        <v>#N/A</v>
      </c>
      <c r="K179" s="69" t="e">
        <f t="shared" si="42"/>
        <v>#N/A</v>
      </c>
    </row>
    <row r="180" spans="8:8">
      <c r="A180" s="65" t="e">
        <f t="shared" si="32"/>
        <v>#N/A</v>
      </c>
      <c r="B180" s="65" t="e">
        <f t="shared" si="33"/>
        <v>#N/A</v>
      </c>
      <c r="C180" s="66" t="e">
        <f t="shared" si="34"/>
        <v>#N/A</v>
      </c>
      <c r="D180" s="68" t="e">
        <f t="shared" si="40"/>
        <v>#N/A</v>
      </c>
      <c r="E180" s="68" t="e">
        <f t="shared" si="35"/>
        <v>#N/A</v>
      </c>
      <c r="F180" s="68" t="e">
        <f t="shared" si="41"/>
        <v>#N/A</v>
      </c>
      <c r="G180" s="68" t="e">
        <f t="shared" si="36"/>
        <v>#N/A</v>
      </c>
      <c r="H180" s="68" t="e">
        <f t="shared" si="37"/>
        <v>#N/A</v>
      </c>
      <c r="I180" s="68" t="e">
        <f t="shared" si="38"/>
        <v>#N/A</v>
      </c>
      <c r="J180" s="69" t="e">
        <f t="shared" si="39"/>
        <v>#N/A</v>
      </c>
      <c r="K180" s="69" t="e">
        <f t="shared" si="42"/>
        <v>#N/A</v>
      </c>
    </row>
    <row r="181" spans="8:8">
      <c r="A181" s="65" t="e">
        <f t="shared" si="32"/>
        <v>#N/A</v>
      </c>
      <c r="B181" s="65" t="e">
        <f t="shared" si="33"/>
        <v>#N/A</v>
      </c>
      <c r="C181" s="66" t="e">
        <f t="shared" si="34"/>
        <v>#N/A</v>
      </c>
      <c r="D181" s="68" t="e">
        <f t="shared" si="40"/>
        <v>#N/A</v>
      </c>
      <c r="E181" s="68" t="e">
        <f t="shared" si="35"/>
        <v>#N/A</v>
      </c>
      <c r="F181" s="68" t="e">
        <f t="shared" si="41"/>
        <v>#N/A</v>
      </c>
      <c r="G181" s="68" t="e">
        <f t="shared" si="36"/>
        <v>#N/A</v>
      </c>
      <c r="H181" s="68" t="e">
        <f t="shared" si="37"/>
        <v>#N/A</v>
      </c>
      <c r="I181" s="68" t="e">
        <f t="shared" si="38"/>
        <v>#N/A</v>
      </c>
      <c r="J181" s="69" t="e">
        <f t="shared" si="39"/>
        <v>#N/A</v>
      </c>
      <c r="K181" s="69" t="e">
        <f t="shared" si="42"/>
        <v>#N/A</v>
      </c>
    </row>
    <row r="182" spans="8:8">
      <c r="A182" s="65" t="e">
        <f t="shared" si="32"/>
        <v>#N/A</v>
      </c>
      <c r="B182" s="65" t="e">
        <f t="shared" si="33"/>
        <v>#N/A</v>
      </c>
      <c r="C182" s="66" t="e">
        <f t="shared" si="34"/>
        <v>#N/A</v>
      </c>
      <c r="D182" s="68" t="e">
        <f t="shared" si="40"/>
        <v>#N/A</v>
      </c>
      <c r="E182" s="68" t="e">
        <f t="shared" si="35"/>
        <v>#N/A</v>
      </c>
      <c r="F182" s="68" t="e">
        <f t="shared" si="41"/>
        <v>#N/A</v>
      </c>
      <c r="G182" s="68" t="e">
        <f t="shared" si="36"/>
        <v>#N/A</v>
      </c>
      <c r="H182" s="68" t="e">
        <f t="shared" si="37"/>
        <v>#N/A</v>
      </c>
      <c r="I182" s="68" t="e">
        <f t="shared" si="38"/>
        <v>#N/A</v>
      </c>
      <c r="J182" s="69" t="e">
        <f t="shared" si="39"/>
        <v>#N/A</v>
      </c>
      <c r="K182" s="69" t="e">
        <f t="shared" si="42"/>
        <v>#N/A</v>
      </c>
    </row>
    <row r="183" spans="8:8">
      <c r="A183" s="65" t="e">
        <f t="shared" si="32"/>
        <v>#N/A</v>
      </c>
      <c r="B183" s="65" t="e">
        <f t="shared" si="33"/>
        <v>#N/A</v>
      </c>
      <c r="C183" s="66" t="e">
        <f t="shared" si="34"/>
        <v>#N/A</v>
      </c>
      <c r="D183" s="68" t="e">
        <f t="shared" si="40"/>
        <v>#N/A</v>
      </c>
      <c r="E183" s="68" t="e">
        <f t="shared" si="35"/>
        <v>#N/A</v>
      </c>
      <c r="F183" s="68" t="e">
        <f t="shared" si="41"/>
        <v>#N/A</v>
      </c>
      <c r="G183" s="68" t="e">
        <f t="shared" si="36"/>
        <v>#N/A</v>
      </c>
      <c r="H183" s="68" t="e">
        <f t="shared" si="37"/>
        <v>#N/A</v>
      </c>
      <c r="I183" s="68" t="e">
        <f t="shared" si="38"/>
        <v>#N/A</v>
      </c>
      <c r="J183" s="69" t="e">
        <f t="shared" si="39"/>
        <v>#N/A</v>
      </c>
      <c r="K183" s="69" t="e">
        <f t="shared" si="42"/>
        <v>#N/A</v>
      </c>
    </row>
    <row r="184" spans="8:8">
      <c r="A184" s="65" t="e">
        <f t="shared" si="32"/>
        <v>#N/A</v>
      </c>
      <c r="B184" s="65" t="e">
        <f t="shared" si="33"/>
        <v>#N/A</v>
      </c>
      <c r="C184" s="66" t="e">
        <f t="shared" si="34"/>
        <v>#N/A</v>
      </c>
      <c r="D184" s="68" t="e">
        <f t="shared" si="40"/>
        <v>#N/A</v>
      </c>
      <c r="E184" s="68" t="e">
        <f t="shared" si="35"/>
        <v>#N/A</v>
      </c>
      <c r="F184" s="68" t="e">
        <f t="shared" si="41"/>
        <v>#N/A</v>
      </c>
      <c r="G184" s="68" t="e">
        <f t="shared" si="36"/>
        <v>#N/A</v>
      </c>
      <c r="H184" s="68" t="e">
        <f t="shared" si="37"/>
        <v>#N/A</v>
      </c>
      <c r="I184" s="68" t="e">
        <f t="shared" si="38"/>
        <v>#N/A</v>
      </c>
      <c r="J184" s="69" t="e">
        <f t="shared" si="39"/>
        <v>#N/A</v>
      </c>
      <c r="K184" s="69" t="e">
        <f t="shared" si="42"/>
        <v>#N/A</v>
      </c>
    </row>
    <row r="185" spans="8:8">
      <c r="A185" s="65" t="e">
        <f t="shared" si="32"/>
        <v>#N/A</v>
      </c>
      <c r="B185" s="65" t="e">
        <f t="shared" si="33"/>
        <v>#N/A</v>
      </c>
      <c r="C185" s="66" t="e">
        <f t="shared" si="34"/>
        <v>#N/A</v>
      </c>
      <c r="D185" s="68" t="e">
        <f t="shared" si="40"/>
        <v>#N/A</v>
      </c>
      <c r="E185" s="68" t="e">
        <f t="shared" si="35"/>
        <v>#N/A</v>
      </c>
      <c r="F185" s="68" t="e">
        <f t="shared" si="41"/>
        <v>#N/A</v>
      </c>
      <c r="G185" s="68" t="e">
        <f t="shared" si="36"/>
        <v>#N/A</v>
      </c>
      <c r="H185" s="68" t="e">
        <f t="shared" si="37"/>
        <v>#N/A</v>
      </c>
      <c r="I185" s="68" t="e">
        <f t="shared" si="38"/>
        <v>#N/A</v>
      </c>
      <c r="J185" s="69" t="e">
        <f t="shared" si="39"/>
        <v>#N/A</v>
      </c>
      <c r="K185" s="69" t="e">
        <f t="shared" si="42"/>
        <v>#N/A</v>
      </c>
    </row>
    <row r="186" spans="8:8">
      <c r="A186" s="65" t="e">
        <f t="shared" si="32"/>
        <v>#N/A</v>
      </c>
      <c r="B186" s="65" t="e">
        <f t="shared" si="33"/>
        <v>#N/A</v>
      </c>
      <c r="C186" s="66" t="e">
        <f t="shared" si="34"/>
        <v>#N/A</v>
      </c>
      <c r="D186" s="68" t="e">
        <f t="shared" si="40"/>
        <v>#N/A</v>
      </c>
      <c r="E186" s="68" t="e">
        <f t="shared" si="35"/>
        <v>#N/A</v>
      </c>
      <c r="F186" s="68" t="e">
        <f t="shared" si="41"/>
        <v>#N/A</v>
      </c>
      <c r="G186" s="68" t="e">
        <f t="shared" si="36"/>
        <v>#N/A</v>
      </c>
      <c r="H186" s="68" t="e">
        <f t="shared" si="37"/>
        <v>#N/A</v>
      </c>
      <c r="I186" s="68" t="e">
        <f t="shared" si="38"/>
        <v>#N/A</v>
      </c>
      <c r="J186" s="69" t="e">
        <f t="shared" si="39"/>
        <v>#N/A</v>
      </c>
      <c r="K186" s="69" t="e">
        <f t="shared" si="42"/>
        <v>#N/A</v>
      </c>
    </row>
    <row r="187" spans="8:8">
      <c r="A187" s="65" t="e">
        <f t="shared" si="32"/>
        <v>#N/A</v>
      </c>
      <c r="B187" s="65" t="e">
        <f t="shared" si="33"/>
        <v>#N/A</v>
      </c>
      <c r="C187" s="66" t="e">
        <f t="shared" si="34"/>
        <v>#N/A</v>
      </c>
      <c r="D187" s="68" t="e">
        <f t="shared" si="40"/>
        <v>#N/A</v>
      </c>
      <c r="E187" s="68" t="e">
        <f t="shared" si="35"/>
        <v>#N/A</v>
      </c>
      <c r="F187" s="68" t="e">
        <f t="shared" si="41"/>
        <v>#N/A</v>
      </c>
      <c r="G187" s="68" t="e">
        <f t="shared" si="36"/>
        <v>#N/A</v>
      </c>
      <c r="H187" s="68" t="e">
        <f t="shared" si="37"/>
        <v>#N/A</v>
      </c>
      <c r="I187" s="68" t="e">
        <f t="shared" si="38"/>
        <v>#N/A</v>
      </c>
      <c r="J187" s="69" t="e">
        <f t="shared" si="39"/>
        <v>#N/A</v>
      </c>
      <c r="K187" s="69" t="e">
        <f t="shared" si="42"/>
        <v>#N/A</v>
      </c>
    </row>
    <row r="188" spans="8:8">
      <c r="A188" s="65" t="e">
        <f t="shared" si="32"/>
        <v>#N/A</v>
      </c>
      <c r="B188" s="65" t="e">
        <f t="shared" si="33"/>
        <v>#N/A</v>
      </c>
      <c r="C188" s="66" t="e">
        <f t="shared" si="34"/>
        <v>#N/A</v>
      </c>
      <c r="D188" s="68" t="e">
        <f t="shared" si="40"/>
        <v>#N/A</v>
      </c>
      <c r="E188" s="68" t="e">
        <f t="shared" si="35"/>
        <v>#N/A</v>
      </c>
      <c r="F188" s="68" t="e">
        <f t="shared" si="41"/>
        <v>#N/A</v>
      </c>
      <c r="G188" s="68" t="e">
        <f t="shared" si="36"/>
        <v>#N/A</v>
      </c>
      <c r="H188" s="68" t="e">
        <f t="shared" si="37"/>
        <v>#N/A</v>
      </c>
      <c r="I188" s="68" t="e">
        <f t="shared" si="38"/>
        <v>#N/A</v>
      </c>
      <c r="J188" s="69" t="e">
        <f t="shared" si="39"/>
        <v>#N/A</v>
      </c>
      <c r="K188" s="69" t="e">
        <f t="shared" si="42"/>
        <v>#N/A</v>
      </c>
    </row>
    <row r="189" spans="8:8">
      <c r="A189" s="65" t="e">
        <f t="shared" si="32"/>
        <v>#N/A</v>
      </c>
      <c r="B189" s="65" t="e">
        <f t="shared" si="33"/>
        <v>#N/A</v>
      </c>
      <c r="C189" s="66" t="e">
        <f t="shared" si="34"/>
        <v>#N/A</v>
      </c>
      <c r="D189" s="68" t="e">
        <f t="shared" si="40"/>
        <v>#N/A</v>
      </c>
      <c r="E189" s="68" t="e">
        <f t="shared" si="35"/>
        <v>#N/A</v>
      </c>
      <c r="F189" s="68" t="e">
        <f t="shared" si="41"/>
        <v>#N/A</v>
      </c>
      <c r="G189" s="68" t="e">
        <f t="shared" si="36"/>
        <v>#N/A</v>
      </c>
      <c r="H189" s="68" t="e">
        <f t="shared" si="37"/>
        <v>#N/A</v>
      </c>
      <c r="I189" s="68" t="e">
        <f t="shared" si="38"/>
        <v>#N/A</v>
      </c>
      <c r="J189" s="69" t="e">
        <f t="shared" si="39"/>
        <v>#N/A</v>
      </c>
      <c r="K189" s="69" t="e">
        <f t="shared" si="42"/>
        <v>#N/A</v>
      </c>
    </row>
    <row r="190" spans="8:8">
      <c r="A190" s="65" t="e">
        <f t="shared" si="32"/>
        <v>#N/A</v>
      </c>
      <c r="B190" s="65" t="e">
        <f t="shared" si="33"/>
        <v>#N/A</v>
      </c>
      <c r="C190" s="66" t="e">
        <f t="shared" si="34"/>
        <v>#N/A</v>
      </c>
      <c r="D190" s="68" t="e">
        <f t="shared" si="40"/>
        <v>#N/A</v>
      </c>
      <c r="E190" s="68" t="e">
        <f t="shared" si="35"/>
        <v>#N/A</v>
      </c>
      <c r="F190" s="68" t="e">
        <f t="shared" si="41"/>
        <v>#N/A</v>
      </c>
      <c r="G190" s="68" t="e">
        <f t="shared" si="36"/>
        <v>#N/A</v>
      </c>
      <c r="H190" s="68" t="e">
        <f t="shared" si="37"/>
        <v>#N/A</v>
      </c>
      <c r="I190" s="68" t="e">
        <f t="shared" si="38"/>
        <v>#N/A</v>
      </c>
      <c r="J190" s="69" t="e">
        <f t="shared" si="39"/>
        <v>#N/A</v>
      </c>
      <c r="K190" s="69" t="e">
        <f t="shared" si="42"/>
        <v>#N/A</v>
      </c>
    </row>
    <row r="191" spans="8:8">
      <c r="A191" s="65" t="e">
        <f t="shared" si="32"/>
        <v>#N/A</v>
      </c>
      <c r="B191" s="65" t="e">
        <f t="shared" si="33"/>
        <v>#N/A</v>
      </c>
      <c r="C191" s="66" t="e">
        <f t="shared" si="34"/>
        <v>#N/A</v>
      </c>
      <c r="D191" s="68" t="e">
        <f t="shared" si="40"/>
        <v>#N/A</v>
      </c>
      <c r="E191" s="68" t="e">
        <f t="shared" si="35"/>
        <v>#N/A</v>
      </c>
      <c r="F191" s="68" t="e">
        <f t="shared" si="41"/>
        <v>#N/A</v>
      </c>
      <c r="G191" s="68" t="e">
        <f t="shared" si="36"/>
        <v>#N/A</v>
      </c>
      <c r="H191" s="68" t="e">
        <f t="shared" si="37"/>
        <v>#N/A</v>
      </c>
      <c r="I191" s="68" t="e">
        <f t="shared" si="38"/>
        <v>#N/A</v>
      </c>
      <c r="J191" s="69" t="e">
        <f t="shared" si="39"/>
        <v>#N/A</v>
      </c>
      <c r="K191" s="69" t="e">
        <f t="shared" si="42"/>
        <v>#N/A</v>
      </c>
    </row>
    <row r="192" spans="8:8">
      <c r="A192" s="65" t="e">
        <f t="shared" si="32"/>
        <v>#N/A</v>
      </c>
      <c r="B192" s="65" t="e">
        <f t="shared" si="33"/>
        <v>#N/A</v>
      </c>
      <c r="C192" s="66" t="e">
        <f t="shared" si="34"/>
        <v>#N/A</v>
      </c>
      <c r="D192" s="68" t="e">
        <f t="shared" si="40"/>
        <v>#N/A</v>
      </c>
      <c r="E192" s="68" t="e">
        <f t="shared" si="35"/>
        <v>#N/A</v>
      </c>
      <c r="F192" s="68" t="e">
        <f t="shared" si="41"/>
        <v>#N/A</v>
      </c>
      <c r="G192" s="68" t="e">
        <f t="shared" si="36"/>
        <v>#N/A</v>
      </c>
      <c r="H192" s="68" t="e">
        <f t="shared" si="37"/>
        <v>#N/A</v>
      </c>
      <c r="I192" s="68" t="e">
        <f t="shared" si="38"/>
        <v>#N/A</v>
      </c>
      <c r="J192" s="69" t="e">
        <f t="shared" si="39"/>
        <v>#N/A</v>
      </c>
      <c r="K192" s="69" t="e">
        <f t="shared" si="42"/>
        <v>#N/A</v>
      </c>
    </row>
    <row r="193" spans="8:8">
      <c r="A193" s="65" t="e">
        <f t="shared" si="32"/>
        <v>#N/A</v>
      </c>
      <c r="B193" s="65" t="e">
        <f t="shared" si="33"/>
        <v>#N/A</v>
      </c>
      <c r="C193" s="66" t="e">
        <f t="shared" si="34"/>
        <v>#N/A</v>
      </c>
      <c r="D193" s="68" t="e">
        <f t="shared" si="40"/>
        <v>#N/A</v>
      </c>
      <c r="E193" s="68" t="e">
        <f t="shared" si="35"/>
        <v>#N/A</v>
      </c>
      <c r="F193" s="68" t="e">
        <f t="shared" si="43" ref="F193:F203">IF(ISERROR(A193),NA(),"")</f>
        <v>#N/A</v>
      </c>
      <c r="G193" s="68" t="e">
        <f t="shared" si="36"/>
        <v>#N/A</v>
      </c>
      <c r="H193" s="68" t="e">
        <f t="shared" si="37"/>
        <v>#N/A</v>
      </c>
      <c r="I193" s="68" t="e">
        <f t="shared" si="38"/>
        <v>#N/A</v>
      </c>
      <c r="J193" s="69" t="e">
        <f t="shared" si="39"/>
        <v>#N/A</v>
      </c>
      <c r="K193" s="69" t="e">
        <f t="shared" si="44" ref="K193:K203">IF(ISERROR(A193),NA(),K192+E193+G193+J193-I193)</f>
        <v>#N/A</v>
      </c>
    </row>
    <row r="194" spans="8:8">
      <c r="A194" s="65" t="e">
        <f t="shared" si="45" ref="A194:A203">IF(OR(K193&lt;0,A193&gt;=($E$9-$E$8)+$E$10),NA(),A193+1)</f>
        <v>#N/A</v>
      </c>
      <c r="B194" s="65" t="e">
        <f t="shared" si="46" ref="B194:B203">IF(ISERROR(A194),NA(),$E$8+A194-1)</f>
        <v>#N/A</v>
      </c>
      <c r="C194" s="66" t="e">
        <f t="shared" si="47" ref="C194:C203">IF(ISERROR(A194),NA(),IF(B194&lt;$E$9,$E$14,$E$15))</f>
        <v>#N/A</v>
      </c>
      <c r="D194" s="68" t="e">
        <f t="shared" si="40"/>
        <v>#N/A</v>
      </c>
      <c r="E194" s="68" t="e">
        <f t="shared" si="48" ref="E194:E203">IF(ISERROR(A194),NA(),IF(B194=$E$9-1,$K$25)+IF(A194&lt;=$E$11,$E$23*D194,0))</f>
        <v>#N/A</v>
      </c>
      <c r="F194" s="68" t="e">
        <f t="shared" si="43"/>
        <v>#N/A</v>
      </c>
      <c r="G194" s="68" t="e">
        <f t="shared" si="49" ref="G194:G203">IF(ISERROR(A194),NA(),IF(A194&lt;=$E$11,MIN($E$24*E194,$E$25*$E$24*D194),0))</f>
        <v>#N/A</v>
      </c>
      <c r="H194" s="68" t="e">
        <f t="shared" si="50" ref="H194:H203">IF(ISERROR(A194),NA(),IF(ISERROR(B194),0,IF(AND(B194&gt;=$K$18,B194&lt;($K$18+$K$21)),$K$19*(1+$K$20)^(B194-$K$18),0)))</f>
        <v>#N/A</v>
      </c>
      <c r="I194" s="68" t="e">
        <f t="shared" si="51" ref="I194:I203">IF(ISERROR(A194),NA(),IF(B194&gt;=$E$9,D194-H194,0))</f>
        <v>#N/A</v>
      </c>
      <c r="J194" s="69" t="e">
        <f t="shared" si="52" ref="J194:J203">IF(ISERROR(A194),NA(),FV(C194/$E$42,$E$42,-(E194+G194)/$E$42,-(K193-I194*$E$43),0)-(K193+E194+G194-I194*$E$43))</f>
        <v>#N/A</v>
      </c>
      <c r="K194" s="69" t="e">
        <f t="shared" si="44"/>
        <v>#N/A</v>
      </c>
    </row>
    <row r="195" spans="8:8">
      <c r="A195" s="65" t="e">
        <f t="shared" si="45"/>
        <v>#N/A</v>
      </c>
      <c r="B195" s="65" t="e">
        <f t="shared" si="46"/>
        <v>#N/A</v>
      </c>
      <c r="C195" s="66" t="e">
        <f t="shared" si="47"/>
        <v>#N/A</v>
      </c>
      <c r="D195" s="68" t="e">
        <f t="shared" si="53" ref="D195:D203">IF(ISERROR(A195),NA(),IF(B195&gt;=$E$9,$K$9*(1+$E$16)^(B195-$E$9),(1+$E$20)*D194))</f>
        <v>#N/A</v>
      </c>
      <c r="E195" s="68" t="e">
        <f t="shared" si="48"/>
        <v>#N/A</v>
      </c>
      <c r="F195" s="68" t="e">
        <f t="shared" si="43"/>
        <v>#N/A</v>
      </c>
      <c r="G195" s="68" t="e">
        <f t="shared" si="49"/>
        <v>#N/A</v>
      </c>
      <c r="H195" s="68" t="e">
        <f t="shared" si="50"/>
        <v>#N/A</v>
      </c>
      <c r="I195" s="68" t="e">
        <f t="shared" si="51"/>
        <v>#N/A</v>
      </c>
      <c r="J195" s="69" t="e">
        <f t="shared" si="52"/>
        <v>#N/A</v>
      </c>
      <c r="K195" s="69" t="e">
        <f t="shared" si="44"/>
        <v>#N/A</v>
      </c>
    </row>
    <row r="196" spans="8:8">
      <c r="A196" s="65" t="e">
        <f t="shared" si="45"/>
        <v>#N/A</v>
      </c>
      <c r="B196" s="65" t="e">
        <f t="shared" si="46"/>
        <v>#N/A</v>
      </c>
      <c r="C196" s="66" t="e">
        <f t="shared" si="47"/>
        <v>#N/A</v>
      </c>
      <c r="D196" s="68" t="e">
        <f t="shared" si="53"/>
        <v>#N/A</v>
      </c>
      <c r="E196" s="68" t="e">
        <f t="shared" si="48"/>
        <v>#N/A</v>
      </c>
      <c r="F196" s="68" t="e">
        <f t="shared" si="43"/>
        <v>#N/A</v>
      </c>
      <c r="G196" s="68" t="e">
        <f t="shared" si="49"/>
        <v>#N/A</v>
      </c>
      <c r="H196" s="68" t="e">
        <f t="shared" si="50"/>
        <v>#N/A</v>
      </c>
      <c r="I196" s="68" t="e">
        <f t="shared" si="51"/>
        <v>#N/A</v>
      </c>
      <c r="J196" s="69" t="e">
        <f t="shared" si="52"/>
        <v>#N/A</v>
      </c>
      <c r="K196" s="69" t="e">
        <f t="shared" si="44"/>
        <v>#N/A</v>
      </c>
    </row>
    <row r="197" spans="8:8">
      <c r="A197" s="65" t="e">
        <f t="shared" si="45"/>
        <v>#N/A</v>
      </c>
      <c r="B197" s="65" t="e">
        <f t="shared" si="46"/>
        <v>#N/A</v>
      </c>
      <c r="C197" s="66" t="e">
        <f t="shared" si="47"/>
        <v>#N/A</v>
      </c>
      <c r="D197" s="68" t="e">
        <f t="shared" si="53"/>
        <v>#N/A</v>
      </c>
      <c r="E197" s="68" t="e">
        <f t="shared" si="48"/>
        <v>#N/A</v>
      </c>
      <c r="F197" s="68" t="e">
        <f t="shared" si="43"/>
        <v>#N/A</v>
      </c>
      <c r="G197" s="68" t="e">
        <f t="shared" si="49"/>
        <v>#N/A</v>
      </c>
      <c r="H197" s="68" t="e">
        <f t="shared" si="50"/>
        <v>#N/A</v>
      </c>
      <c r="I197" s="68" t="e">
        <f t="shared" si="51"/>
        <v>#N/A</v>
      </c>
      <c r="J197" s="69" t="e">
        <f t="shared" si="52"/>
        <v>#N/A</v>
      </c>
      <c r="K197" s="69" t="e">
        <f t="shared" si="44"/>
        <v>#N/A</v>
      </c>
    </row>
    <row r="198" spans="8:8">
      <c r="A198" s="65" t="e">
        <f t="shared" si="45"/>
        <v>#N/A</v>
      </c>
      <c r="B198" s="65" t="e">
        <f t="shared" si="46"/>
        <v>#N/A</v>
      </c>
      <c r="C198" s="66" t="e">
        <f t="shared" si="47"/>
        <v>#N/A</v>
      </c>
      <c r="D198" s="68" t="e">
        <f t="shared" si="53"/>
        <v>#N/A</v>
      </c>
      <c r="E198" s="68" t="e">
        <f t="shared" si="48"/>
        <v>#N/A</v>
      </c>
      <c r="F198" s="68" t="e">
        <f t="shared" si="43"/>
        <v>#N/A</v>
      </c>
      <c r="G198" s="68" t="e">
        <f t="shared" si="49"/>
        <v>#N/A</v>
      </c>
      <c r="H198" s="68" t="e">
        <f t="shared" si="50"/>
        <v>#N/A</v>
      </c>
      <c r="I198" s="68" t="e">
        <f t="shared" si="51"/>
        <v>#N/A</v>
      </c>
      <c r="J198" s="69" t="e">
        <f t="shared" si="52"/>
        <v>#N/A</v>
      </c>
      <c r="K198" s="69" t="e">
        <f t="shared" si="44"/>
        <v>#N/A</v>
      </c>
    </row>
    <row r="199" spans="8:8">
      <c r="A199" s="65" t="e">
        <f t="shared" si="45"/>
        <v>#N/A</v>
      </c>
      <c r="B199" s="65" t="e">
        <f t="shared" si="46"/>
        <v>#N/A</v>
      </c>
      <c r="C199" s="66" t="e">
        <f t="shared" si="47"/>
        <v>#N/A</v>
      </c>
      <c r="D199" s="68" t="e">
        <f t="shared" si="53"/>
        <v>#N/A</v>
      </c>
      <c r="E199" s="68" t="e">
        <f t="shared" si="48"/>
        <v>#N/A</v>
      </c>
      <c r="F199" s="68" t="e">
        <f t="shared" si="43"/>
        <v>#N/A</v>
      </c>
      <c r="G199" s="68" t="e">
        <f t="shared" si="49"/>
        <v>#N/A</v>
      </c>
      <c r="H199" s="68" t="e">
        <f t="shared" si="50"/>
        <v>#N/A</v>
      </c>
      <c r="I199" s="68" t="e">
        <f t="shared" si="51"/>
        <v>#N/A</v>
      </c>
      <c r="J199" s="69" t="e">
        <f t="shared" si="52"/>
        <v>#N/A</v>
      </c>
      <c r="K199" s="69" t="e">
        <f t="shared" si="44"/>
        <v>#N/A</v>
      </c>
    </row>
    <row r="200" spans="8:8">
      <c r="A200" s="65" t="e">
        <f t="shared" si="45"/>
        <v>#N/A</v>
      </c>
      <c r="B200" s="65" t="e">
        <f t="shared" si="46"/>
        <v>#N/A</v>
      </c>
      <c r="C200" s="66" t="e">
        <f t="shared" si="47"/>
        <v>#N/A</v>
      </c>
      <c r="D200" s="68" t="e">
        <f t="shared" si="53"/>
        <v>#N/A</v>
      </c>
      <c r="E200" s="68" t="e">
        <f t="shared" si="48"/>
        <v>#N/A</v>
      </c>
      <c r="F200" s="68" t="e">
        <f t="shared" si="43"/>
        <v>#N/A</v>
      </c>
      <c r="G200" s="68" t="e">
        <f t="shared" si="49"/>
        <v>#N/A</v>
      </c>
      <c r="H200" s="68" t="e">
        <f t="shared" si="50"/>
        <v>#N/A</v>
      </c>
      <c r="I200" s="68" t="e">
        <f t="shared" si="51"/>
        <v>#N/A</v>
      </c>
      <c r="J200" s="69" t="e">
        <f t="shared" si="52"/>
        <v>#N/A</v>
      </c>
      <c r="K200" s="69" t="e">
        <f t="shared" si="44"/>
        <v>#N/A</v>
      </c>
    </row>
    <row r="201" spans="8:8">
      <c r="A201" s="65" t="e">
        <f t="shared" si="45"/>
        <v>#N/A</v>
      </c>
      <c r="B201" s="65" t="e">
        <f t="shared" si="46"/>
        <v>#N/A</v>
      </c>
      <c r="C201" s="66" t="e">
        <f t="shared" si="47"/>
        <v>#N/A</v>
      </c>
      <c r="D201" s="68" t="e">
        <f t="shared" si="53"/>
        <v>#N/A</v>
      </c>
      <c r="E201" s="68" t="e">
        <f t="shared" si="48"/>
        <v>#N/A</v>
      </c>
      <c r="F201" s="68" t="e">
        <f t="shared" si="43"/>
        <v>#N/A</v>
      </c>
      <c r="G201" s="68" t="e">
        <f t="shared" si="49"/>
        <v>#N/A</v>
      </c>
      <c r="H201" s="68" t="e">
        <f t="shared" si="50"/>
        <v>#N/A</v>
      </c>
      <c r="I201" s="68" t="e">
        <f t="shared" si="51"/>
        <v>#N/A</v>
      </c>
      <c r="J201" s="69" t="e">
        <f t="shared" si="52"/>
        <v>#N/A</v>
      </c>
      <c r="K201" s="69" t="e">
        <f t="shared" si="44"/>
        <v>#N/A</v>
      </c>
    </row>
    <row r="202" spans="8:8">
      <c r="A202" s="65" t="e">
        <f t="shared" si="45"/>
        <v>#N/A</v>
      </c>
      <c r="B202" s="65" t="e">
        <f t="shared" si="46"/>
        <v>#N/A</v>
      </c>
      <c r="C202" s="66" t="e">
        <f t="shared" si="47"/>
        <v>#N/A</v>
      </c>
      <c r="D202" s="68" t="e">
        <f t="shared" si="53"/>
        <v>#N/A</v>
      </c>
      <c r="E202" s="68" t="e">
        <f t="shared" si="48"/>
        <v>#N/A</v>
      </c>
      <c r="F202" s="68" t="e">
        <f t="shared" si="43"/>
        <v>#N/A</v>
      </c>
      <c r="G202" s="68" t="e">
        <f t="shared" si="49"/>
        <v>#N/A</v>
      </c>
      <c r="H202" s="68" t="e">
        <f t="shared" si="50"/>
        <v>#N/A</v>
      </c>
      <c r="I202" s="68" t="e">
        <f t="shared" si="51"/>
        <v>#N/A</v>
      </c>
      <c r="J202" s="69" t="e">
        <f t="shared" si="52"/>
        <v>#N/A</v>
      </c>
      <c r="K202" s="69" t="e">
        <f t="shared" si="44"/>
        <v>#N/A</v>
      </c>
    </row>
    <row r="203" spans="8:8">
      <c r="A203" s="65" t="e">
        <f t="shared" si="45"/>
        <v>#N/A</v>
      </c>
      <c r="B203" s="65" t="e">
        <f t="shared" si="46"/>
        <v>#N/A</v>
      </c>
      <c r="C203" s="66" t="e">
        <f t="shared" si="47"/>
        <v>#N/A</v>
      </c>
      <c r="D203" s="68" t="e">
        <f t="shared" si="53"/>
        <v>#N/A</v>
      </c>
      <c r="E203" s="68" t="e">
        <f t="shared" si="48"/>
        <v>#N/A</v>
      </c>
      <c r="F203" s="68" t="e">
        <f t="shared" si="43"/>
        <v>#N/A</v>
      </c>
      <c r="G203" s="68" t="e">
        <f t="shared" si="49"/>
        <v>#N/A</v>
      </c>
      <c r="H203" s="68" t="e">
        <f t="shared" si="50"/>
        <v>#N/A</v>
      </c>
      <c r="I203" s="68" t="e">
        <f t="shared" si="51"/>
        <v>#N/A</v>
      </c>
      <c r="J203" s="69" t="e">
        <f t="shared" si="52"/>
        <v>#N/A</v>
      </c>
      <c r="K203" s="69" t="e">
        <f t="shared" si="44"/>
        <v>#N/A</v>
      </c>
    </row>
    <row r="204" spans="8:8">
      <c r="A204" s="71"/>
      <c r="B204" s="71"/>
      <c r="C204" s="71"/>
      <c r="D204" s="71"/>
      <c r="E204" s="71"/>
      <c r="F204" s="71"/>
      <c r="G204" s="71"/>
      <c r="H204" s="71"/>
      <c r="I204" s="71"/>
      <c r="J204" s="71"/>
      <c r="K204" s="71"/>
    </row>
  </sheetData>
  <mergeCells count="2">
    <mergeCell ref="B3:E3"/>
    <mergeCell ref="H3:I3"/>
  </mergeCells>
  <conditionalFormatting sqref="A129:K203 A48:K122">
    <cfRule type="expression" priority="11" stopIfTrue="1" dxfId="0">
      <formula>ISERROR(A48)</formula>
    </cfRule>
    <cfRule type="expression" priority="12" stopIfTrue="1" dxfId="1">
      <formula>MOD(ROW(),2)=1</formula>
    </cfRule>
  </conditionalFormatting>
  <conditionalFormatting sqref="E9">
    <cfRule type="cellIs" operator="lessThan" priority="1" dxfId="2">
      <formula>$E$8</formula>
    </cfRule>
  </conditionalFormatting>
  <conditionalFormatting sqref="K20">
    <cfRule type="expression" priority="6" stopIfTrue="1" dxfId="3"/>
  </conditionalFormatting>
  <conditionalFormatting sqref="E14:E16">
    <cfRule type="expression" priority="10" stopIfTrue="1" dxfId="4"/>
  </conditionalFormatting>
  <conditionalFormatting sqref="K18">
    <cfRule type="cellIs" operator="lessThan" priority="2" dxfId="5">
      <formula>$E$9</formula>
    </cfRule>
  </conditionalFormatting>
  <dataValidations count="2">
    <dataValidation allowBlank="1" type="list" errorStyle="stop" showInputMessage="1" showErrorMessage="1" sqref="E42">
      <formula1>"12,24,26,52,13,4,2,1"</formula1>
    </dataValidation>
    <dataValidation allowBlank="1" type="list" errorStyle="stop" showInputMessage="1" showErrorMessage="1" sqref="E43">
      <formula1>"0,1"</formula1>
    </dataValidation>
  </dataValidations>
  <printOptions horizontalCentered="1"/>
  <pageMargins left="0.5" right="0.5" top="0.5" bottom="0.5" header="0.5" footer="0.25"/>
  <pageSetup paperSize="9" scale="93"/>
  <headerFooter scaleWithDoc="0">
    <firstFooter>&amp;R&amp;"Arial,Regular"&amp;8Page &amp;P of &amp;N</firstFooter>
  </headerFooter>
  <drawing r:id="rId1"/>
  <legacyDrawing r:id="rId2"/>
</worksheet>
</file>

<file path=xl/worksheets/sheet2.xml><?xml version="1.0" encoding="utf-8"?>
<worksheet xmlns:r="http://schemas.openxmlformats.org/officeDocument/2006/relationships" xmlns="http://schemas.openxmlformats.org/spreadsheetml/2006/main">
  <dimension ref="A1:F17"/>
  <sheetViews>
    <sheetView workbookViewId="0" showGridLines="0" zoomScale="50">
      <selection activeCell="A15" sqref="A15"/>
    </sheetView>
  </sheetViews>
  <sheetFormatPr defaultRowHeight="12.75" defaultColWidth="9"/>
  <cols>
    <col min="1" max="1" customWidth="1" width="10.425781" style="72"/>
    <col min="2" max="2" customWidth="1" width="72.71094" style="72"/>
    <col min="3" max="3" customWidth="1" width="19.140625" style="72"/>
    <col min="4" max="4" customWidth="1" width="10.285156" style="72"/>
    <col min="5" max="16384" customWidth="0" width="9.140625" style="72"/>
  </cols>
  <sheetData>
    <row r="1" spans="8:8" ht="31.5" customHeight="1">
      <c r="A1" s="73" t="s">
        <v>10</v>
      </c>
      <c r="B1" s="73"/>
      <c r="C1" s="73"/>
    </row>
    <row r="2" spans="8:8">
      <c r="A2" s="5"/>
      <c r="C2" s="74"/>
    </row>
    <row r="3" spans="8:8">
      <c r="B3" s="75"/>
    </row>
    <row r="4" spans="8:8" ht="18.0">
      <c r="A4" s="76" t="s">
        <v>79</v>
      </c>
      <c r="B4" s="77"/>
      <c r="C4" s="78"/>
    </row>
    <row r="5" spans="8:8" ht="57.0">
      <c r="B5" s="79" t="s">
        <v>63</v>
      </c>
    </row>
    <row r="6" spans="8:8" ht="14.25">
      <c r="B6" s="79"/>
    </row>
    <row r="7" spans="8:8" ht="57.75">
      <c r="B7" s="79" t="s">
        <v>62</v>
      </c>
    </row>
    <row r="8" spans="8:8" ht="14.25">
      <c r="B8" s="79"/>
    </row>
    <row r="9" spans="8:8" ht="42.75">
      <c r="B9" s="79" t="s">
        <v>65</v>
      </c>
    </row>
    <row r="10" spans="8:8" ht="14.25">
      <c r="B10" s="79"/>
    </row>
    <row r="11" spans="8:8" ht="18.0">
      <c r="A11" s="76" t="s">
        <v>35</v>
      </c>
      <c r="B11" s="77"/>
      <c r="C11" s="78"/>
    </row>
    <row r="12" spans="8:8" ht="15.0">
      <c r="B12" s="80" t="s">
        <v>34</v>
      </c>
    </row>
    <row r="13" spans="8:8" ht="14.25">
      <c r="B13" s="79"/>
    </row>
    <row r="14" spans="8:8" ht="28.5">
      <c r="B14" s="81" t="s">
        <v>64</v>
      </c>
    </row>
    <row r="15" spans="8:8" ht="14.25">
      <c r="B15" s="82"/>
      <c r="E15" s="83"/>
    </row>
    <row r="16" spans="8:8">
      <c r="E16" s="84"/>
    </row>
    <row r="17" spans="8:8">
      <c r="E17" s="83"/>
    </row>
  </sheetData>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Company>Vertex42 LLC</Company>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itle>Retirement Calculator</dc:title>
  <dc:creator>Vertex42.com</dc:creator>
  <dc:description>(c) 2015-2020 Vertex42 LLC. All Rights Reserved.</dc:description>
  <cp:lastModifiedBy>Ghasli @ Ghazali, Mohamad Amir</cp:lastModifiedBy>
  <dcterms:created xsi:type="dcterms:W3CDTF">2005-04-02T12:59:36Z</dcterms:created>
  <dcterms:modified xsi:type="dcterms:W3CDTF">2022-12-05T10:35:04Z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2015-2020 Vertex42 LLC</vt:lpwstr>
  </property>
  <property fmtid="{D5CDD505-2E9C-101B-9397-08002B2CF9AE}" pid="3" name="Version">
    <vt:lpwstr>1.1.1</vt:lpwstr>
  </property>
  <property fmtid="{D5CDD505-2E9C-101B-9397-08002B2CF9AE}" pid="4" name="ICV">
    <vt:lpwstr>ffd86c11b8e3419ca79dd006ee6e6162</vt:lpwstr>
  </property>
  <property fmtid="{D5CDD505-2E9C-101B-9397-08002B2CF9AE}" pid="5" name="Source">
    <vt:lpwstr>https://www.vertex42.com/Calculators/retirement-calculator.html</vt:lpwstr>
  </property>
</Properties>
</file>