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mc:AlternateContent xmlns:mc="http://schemas.openxmlformats.org/markup-compatibility/2006">
    <mc:Choice Requires="x15">
      <x15ac:absPath xmlns:x15ac="http://schemas.microsoft.com/office/spreadsheetml/2010/11/ac" url="C:\Users\Vertex42.com\Documents\VERTEX42\TEMPLATES\TEMPLATE - Retirement &amp; Savings\"/>
    </mc:Choice>
  </mc:AlternateContent>
  <xr:revisionPtr revIDLastSave="0" documentId="13_ncr:1_{82E36C73-3457-4DBC-94FE-01F798E4A8D0}" xr6:coauthVersionLast="45" xr6:coauthVersionMax="45" xr10:uidLastSave="{00000000-0000-0000-0000-000000000000}"/>
  <bookViews>
    <workbookView xWindow="1950" yWindow="1485" windowWidth="18060" windowHeight="14715" xr2:uid="{00000000-000D-0000-FFFF-FFFF00000000}"/>
  </bookViews>
  <sheets>
    <sheet name="Retirement" sheetId="1" r:id="rId1"/>
    <sheet name="Help" sheetId="7" r:id="rId2"/>
    <sheet name="©" sheetId="8" r:id="rId3"/>
  </sheets>
  <definedNames>
    <definedName name="_xlnm.Print_Area" localSheetId="0">Retirement!$A$1:$K$204</definedName>
    <definedName name="_xlnm.Print_Titles" localSheetId="0">Retirement!$46:$46</definedName>
    <definedName name="solver_adj" localSheetId="0" hidden="1">Retirement!$E$14,Retirement!#REF!,Retirement!$K$13</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in" localSheetId="0" hidden="1">2</definedName>
    <definedName name="solver_neg" localSheetId="0" hidden="1">2</definedName>
    <definedName name="solver_num" localSheetId="0" hidden="1">0</definedName>
    <definedName name="solver_nwt" localSheetId="0" hidden="1">1</definedName>
    <definedName name="solver_opt" localSheetId="0" hidden="1">Retirement!#REF!</definedName>
    <definedName name="solver_pre" localSheetId="0" hidden="1">0.000001</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1000</definedName>
    <definedName name="valuevx">42.314159</definedName>
    <definedName name="vertex42_copyright" hidden="1">"© 2015-2020 Vertex42 LLC"</definedName>
    <definedName name="vertex42_id" hidden="1">"retirement-calculator.xlsx"</definedName>
    <definedName name="vertex42_title" hidden="1">"Retirement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1" i="1" l="1"/>
  <c r="A48" i="1" l="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E41" i="1"/>
  <c r="A126" i="1"/>
  <c r="D129" i="1"/>
  <c r="D48" i="1"/>
  <c r="B25" i="7"/>
  <c r="B23" i="7"/>
  <c r="B21" i="7"/>
  <c r="B27" i="7"/>
  <c r="B29" i="7"/>
  <c r="E27" i="1" l="1"/>
  <c r="E26" i="1"/>
  <c r="E28" i="1" l="1"/>
  <c r="K22" i="1"/>
  <c r="K128" i="1" l="1"/>
  <c r="A129" i="1" s="1"/>
  <c r="B129" i="1" l="1"/>
  <c r="C129" i="1" s="1"/>
  <c r="F129" i="1"/>
  <c r="H129" i="1" l="1"/>
  <c r="I129" i="1" s="1"/>
  <c r="K14" i="1"/>
  <c r="K47" i="1" l="1"/>
  <c r="B48" i="1" l="1"/>
  <c r="H48" i="1" s="1"/>
  <c r="F48" i="1"/>
  <c r="K9" i="1" l="1"/>
  <c r="K10" i="1" l="1"/>
  <c r="F49" i="1" l="1"/>
  <c r="I48" i="1"/>
  <c r="B49" i="1"/>
  <c r="H49" i="1" s="1"/>
  <c r="F50" i="1" l="1"/>
  <c r="B50" i="1"/>
  <c r="H50" i="1" s="1"/>
  <c r="F51" i="1" l="1"/>
  <c r="B51" i="1"/>
  <c r="H51" i="1" s="1"/>
  <c r="F52" i="1" l="1"/>
  <c r="B52" i="1"/>
  <c r="H52" i="1" s="1"/>
  <c r="F53" i="1" l="1"/>
  <c r="B53" i="1"/>
  <c r="H53" i="1" s="1"/>
  <c r="F54" i="1" l="1"/>
  <c r="B54" i="1"/>
  <c r="H54" i="1" s="1"/>
  <c r="F55" i="1" l="1"/>
  <c r="B55" i="1"/>
  <c r="H55" i="1" s="1"/>
  <c r="F56" i="1" l="1"/>
  <c r="B56" i="1"/>
  <c r="H56" i="1" s="1"/>
  <c r="F57" i="1" l="1"/>
  <c r="B57" i="1"/>
  <c r="H57" i="1" s="1"/>
  <c r="F58" i="1" l="1"/>
  <c r="B58" i="1"/>
  <c r="H58" i="1" s="1"/>
  <c r="F59" i="1" l="1"/>
  <c r="B59" i="1"/>
  <c r="H59" i="1" s="1"/>
  <c r="F60" i="1" l="1"/>
  <c r="B60" i="1"/>
  <c r="H60" i="1" s="1"/>
  <c r="F61" i="1" l="1"/>
  <c r="B61" i="1"/>
  <c r="H61" i="1" s="1"/>
  <c r="F62" i="1" l="1"/>
  <c r="B62" i="1"/>
  <c r="H62" i="1" s="1"/>
  <c r="F63" i="1" l="1"/>
  <c r="B63" i="1"/>
  <c r="H63" i="1" s="1"/>
  <c r="F64" i="1" l="1"/>
  <c r="B64" i="1"/>
  <c r="H64" i="1" s="1"/>
  <c r="F65" i="1" l="1"/>
  <c r="B65" i="1"/>
  <c r="H65" i="1" s="1"/>
  <c r="F66" i="1" l="1"/>
  <c r="B66" i="1"/>
  <c r="H66" i="1" s="1"/>
  <c r="F67" i="1" l="1"/>
  <c r="B67" i="1"/>
  <c r="H67" i="1" s="1"/>
  <c r="F68" i="1" l="1"/>
  <c r="B68" i="1"/>
  <c r="H68" i="1" s="1"/>
  <c r="F69" i="1" l="1"/>
  <c r="B69" i="1"/>
  <c r="H69" i="1" s="1"/>
  <c r="F70" i="1" l="1"/>
  <c r="B70" i="1"/>
  <c r="H70" i="1" s="1"/>
  <c r="F71" i="1" l="1"/>
  <c r="B71" i="1"/>
  <c r="H71" i="1" s="1"/>
  <c r="F72" i="1" l="1"/>
  <c r="B72" i="1"/>
  <c r="H72" i="1" s="1"/>
  <c r="F73" i="1" l="1"/>
  <c r="B73" i="1"/>
  <c r="H73" i="1" s="1"/>
  <c r="F74" i="1" l="1"/>
  <c r="B74" i="1"/>
  <c r="H74" i="1" s="1"/>
  <c r="F75" i="1" l="1"/>
  <c r="B75" i="1"/>
  <c r="H75" i="1" s="1"/>
  <c r="F76" i="1" l="1"/>
  <c r="B76" i="1"/>
  <c r="H76" i="1" s="1"/>
  <c r="F77" i="1" l="1"/>
  <c r="B77" i="1"/>
  <c r="H77" i="1" s="1"/>
  <c r="F78" i="1" l="1"/>
  <c r="B78" i="1"/>
  <c r="H78" i="1" s="1"/>
  <c r="F79" i="1" l="1"/>
  <c r="B79" i="1"/>
  <c r="H79" i="1" s="1"/>
  <c r="F80" i="1" l="1"/>
  <c r="B80" i="1"/>
  <c r="H80" i="1" s="1"/>
  <c r="F81" i="1" l="1"/>
  <c r="B81" i="1"/>
  <c r="H81" i="1" s="1"/>
  <c r="F82" i="1" l="1"/>
  <c r="B82" i="1"/>
  <c r="H82" i="1" s="1"/>
  <c r="F83" i="1" l="1"/>
  <c r="B83" i="1"/>
  <c r="H83" i="1" s="1"/>
  <c r="F84" i="1" l="1"/>
  <c r="B84" i="1"/>
  <c r="H84" i="1" s="1"/>
  <c r="F85" i="1" l="1"/>
  <c r="B85" i="1"/>
  <c r="H85" i="1" s="1"/>
  <c r="F86" i="1" l="1"/>
  <c r="B86" i="1"/>
  <c r="H86" i="1" s="1"/>
  <c r="F87" i="1" l="1"/>
  <c r="B87" i="1"/>
  <c r="H87" i="1" s="1"/>
  <c r="F88" i="1" l="1"/>
  <c r="B88" i="1"/>
  <c r="H88" i="1" s="1"/>
  <c r="F89" i="1" l="1"/>
  <c r="B89" i="1"/>
  <c r="D89" i="1" s="1"/>
  <c r="H89" i="1" l="1"/>
  <c r="F90" i="1"/>
  <c r="B90" i="1"/>
  <c r="D90" i="1" s="1"/>
  <c r="H90" i="1" l="1"/>
  <c r="F91" i="1"/>
  <c r="B91" i="1"/>
  <c r="H91" i="1" s="1"/>
  <c r="F92" i="1" l="1"/>
  <c r="B92" i="1"/>
  <c r="D92" i="1" s="1"/>
  <c r="D91" i="1"/>
  <c r="H92" i="1" l="1"/>
  <c r="F93" i="1"/>
  <c r="B93" i="1"/>
  <c r="D93" i="1" s="1"/>
  <c r="H93" i="1" l="1"/>
  <c r="F94" i="1"/>
  <c r="B94" i="1"/>
  <c r="D94" i="1" s="1"/>
  <c r="H94" i="1" l="1"/>
  <c r="F95" i="1"/>
  <c r="B95" i="1"/>
  <c r="H95" i="1" s="1"/>
  <c r="F96" i="1" l="1"/>
  <c r="B96" i="1"/>
  <c r="H96" i="1" s="1"/>
  <c r="D95" i="1"/>
  <c r="F97" i="1" l="1"/>
  <c r="D96" i="1"/>
  <c r="B97" i="1"/>
  <c r="D97" i="1" s="1"/>
  <c r="H97" i="1" l="1"/>
  <c r="F98" i="1"/>
  <c r="B98" i="1"/>
  <c r="D98" i="1" s="1"/>
  <c r="H98" i="1" l="1"/>
  <c r="F99" i="1"/>
  <c r="B99" i="1"/>
  <c r="H99" i="1" s="1"/>
  <c r="F100" i="1" l="1"/>
  <c r="B100" i="1"/>
  <c r="H100" i="1" s="1"/>
  <c r="D99" i="1"/>
  <c r="F101" i="1" l="1"/>
  <c r="D100" i="1"/>
  <c r="B101" i="1"/>
  <c r="H101" i="1" s="1"/>
  <c r="F102" i="1" l="1"/>
  <c r="D101" i="1"/>
  <c r="B102" i="1"/>
  <c r="D102" i="1" s="1"/>
  <c r="H102" i="1" l="1"/>
  <c r="F103" i="1"/>
  <c r="B103" i="1"/>
  <c r="H103" i="1" s="1"/>
  <c r="F104" i="1" l="1"/>
  <c r="B104" i="1"/>
  <c r="H104" i="1" s="1"/>
  <c r="D103" i="1"/>
  <c r="F105" i="1" l="1"/>
  <c r="D104" i="1"/>
  <c r="B105" i="1"/>
  <c r="D105" i="1" s="1"/>
  <c r="H105" i="1" l="1"/>
  <c r="F106" i="1"/>
  <c r="B106" i="1"/>
  <c r="D106" i="1" s="1"/>
  <c r="H106" i="1" l="1"/>
  <c r="F107" i="1"/>
  <c r="B107" i="1"/>
  <c r="H107" i="1" s="1"/>
  <c r="F108" i="1" l="1"/>
  <c r="B108" i="1"/>
  <c r="H108" i="1" s="1"/>
  <c r="D107" i="1"/>
  <c r="F109" i="1" l="1"/>
  <c r="D108" i="1"/>
  <c r="B109" i="1"/>
  <c r="H109" i="1" s="1"/>
  <c r="F110" i="1" l="1"/>
  <c r="D109" i="1"/>
  <c r="B110" i="1"/>
  <c r="D110" i="1" s="1"/>
  <c r="H110" i="1" l="1"/>
  <c r="F111" i="1"/>
  <c r="B111" i="1"/>
  <c r="H111" i="1" s="1"/>
  <c r="F112" i="1" l="1"/>
  <c r="B112" i="1"/>
  <c r="H112" i="1" s="1"/>
  <c r="H113" i="1"/>
  <c r="D111" i="1"/>
  <c r="E113" i="1" l="1"/>
  <c r="F113" i="1"/>
  <c r="D112" i="1"/>
  <c r="B113" i="1"/>
  <c r="D113" i="1" s="1"/>
  <c r="H114" i="1"/>
  <c r="E114" i="1" l="1"/>
  <c r="F114" i="1"/>
  <c r="J114" i="1"/>
  <c r="K114" i="1"/>
  <c r="D114" i="1"/>
  <c r="B114" i="1"/>
  <c r="H115" i="1"/>
  <c r="E115" i="1" l="1"/>
  <c r="F115" i="1"/>
  <c r="J115" i="1"/>
  <c r="K115" i="1"/>
  <c r="D115" i="1"/>
  <c r="B115" i="1"/>
  <c r="H116" i="1"/>
  <c r="E116" i="1" l="1"/>
  <c r="F116" i="1"/>
  <c r="J116" i="1"/>
  <c r="K116" i="1"/>
  <c r="B116" i="1"/>
  <c r="D116" i="1"/>
  <c r="H117" i="1"/>
  <c r="E117" i="1" l="1"/>
  <c r="F117" i="1"/>
  <c r="J117" i="1"/>
  <c r="K117" i="1"/>
  <c r="D117" i="1"/>
  <c r="B117" i="1"/>
  <c r="H118" i="1"/>
  <c r="E118" i="1" l="1"/>
  <c r="F118" i="1"/>
  <c r="J118" i="1"/>
  <c r="K118" i="1"/>
  <c r="D118" i="1"/>
  <c r="B118" i="1"/>
  <c r="H119" i="1"/>
  <c r="E119" i="1" l="1"/>
  <c r="F119" i="1"/>
  <c r="J119" i="1"/>
  <c r="K119" i="1"/>
  <c r="D119" i="1"/>
  <c r="B119" i="1"/>
  <c r="H120" i="1"/>
  <c r="E120" i="1" l="1"/>
  <c r="F120" i="1"/>
  <c r="J120" i="1"/>
  <c r="K120" i="1"/>
  <c r="B120" i="1"/>
  <c r="D120" i="1"/>
  <c r="H121" i="1"/>
  <c r="H122" i="1"/>
  <c r="E121" i="1" l="1"/>
  <c r="E122" i="1"/>
  <c r="F121" i="1"/>
  <c r="F122" i="1"/>
  <c r="J122" i="1"/>
  <c r="J121" i="1"/>
  <c r="K122" i="1"/>
  <c r="K121" i="1"/>
  <c r="D122" i="1"/>
  <c r="B122" i="1"/>
  <c r="B121" i="1"/>
  <c r="D121" i="1"/>
  <c r="E11" i="1" l="1"/>
  <c r="E129" i="1" s="1"/>
  <c r="G129" i="1" s="1"/>
  <c r="J129" i="1" s="1"/>
  <c r="E98" i="1" l="1"/>
  <c r="E99" i="1"/>
  <c r="E100" i="1"/>
  <c r="E101" i="1"/>
  <c r="E102" i="1"/>
  <c r="E103" i="1"/>
  <c r="E104" i="1"/>
  <c r="E105" i="1"/>
  <c r="E106" i="1"/>
  <c r="E107" i="1"/>
  <c r="E108" i="1"/>
  <c r="E109" i="1"/>
  <c r="E110" i="1"/>
  <c r="E111" i="1"/>
  <c r="E112" i="1"/>
  <c r="E88" i="1"/>
  <c r="E89" i="1"/>
  <c r="E90" i="1"/>
  <c r="E91" i="1"/>
  <c r="E92" i="1"/>
  <c r="E93" i="1"/>
  <c r="E94" i="1"/>
  <c r="E95" i="1"/>
  <c r="E96" i="1"/>
  <c r="E97" i="1"/>
  <c r="D49" i="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K129" i="1" l="1"/>
  <c r="C48" i="1"/>
  <c r="A130" i="1" l="1"/>
  <c r="G89" i="1"/>
  <c r="B130" i="1" l="1"/>
  <c r="F130" i="1"/>
  <c r="G90" i="1"/>
  <c r="D130" i="1" l="1"/>
  <c r="E130" i="1" s="1"/>
  <c r="G130" i="1" s="1"/>
  <c r="C130" i="1"/>
  <c r="H130" i="1"/>
  <c r="I130" i="1" s="1"/>
  <c r="G91" i="1"/>
  <c r="J130" i="1" l="1"/>
  <c r="K130" i="1" s="1"/>
  <c r="A131" i="1" s="1"/>
  <c r="G92" i="1"/>
  <c r="F131" i="1" l="1"/>
  <c r="B131" i="1"/>
  <c r="C131" i="1" s="1"/>
  <c r="G93" i="1"/>
  <c r="D131" i="1" l="1"/>
  <c r="E131" i="1" s="1"/>
  <c r="G131" i="1" s="1"/>
  <c r="H131" i="1"/>
  <c r="G94" i="1"/>
  <c r="I131" i="1" l="1"/>
  <c r="J131" i="1" s="1"/>
  <c r="K131" i="1" s="1"/>
  <c r="G95" i="1"/>
  <c r="A132" i="1" l="1"/>
  <c r="G96" i="1"/>
  <c r="B132" i="1" l="1"/>
  <c r="C132" i="1" s="1"/>
  <c r="F132" i="1"/>
  <c r="G97" i="1"/>
  <c r="D132" i="1" l="1"/>
  <c r="E132" i="1" s="1"/>
  <c r="G132" i="1" s="1"/>
  <c r="H132" i="1"/>
  <c r="G98" i="1"/>
  <c r="I132" i="1" l="1"/>
  <c r="J132" i="1" s="1"/>
  <c r="K132" i="1" s="1"/>
  <c r="A133" i="1" s="1"/>
  <c r="G99" i="1"/>
  <c r="B133" i="1" l="1"/>
  <c r="D133" i="1" s="1"/>
  <c r="F133" i="1"/>
  <c r="G100" i="1"/>
  <c r="C133" i="1" l="1"/>
  <c r="E133" i="1"/>
  <c r="G133" i="1" s="1"/>
  <c r="H133" i="1"/>
  <c r="I133" i="1" s="1"/>
  <c r="G101" i="1"/>
  <c r="J133" i="1" l="1"/>
  <c r="K133" i="1" s="1"/>
  <c r="A134" i="1" s="1"/>
  <c r="G102" i="1"/>
  <c r="B134" i="1" l="1"/>
  <c r="F134" i="1"/>
  <c r="C102" i="1"/>
  <c r="G103" i="1"/>
  <c r="D134" i="1" l="1"/>
  <c r="E134" i="1" s="1"/>
  <c r="G134" i="1" s="1"/>
  <c r="C134" i="1"/>
  <c r="H134" i="1"/>
  <c r="I102" i="1"/>
  <c r="C103" i="1"/>
  <c r="G104" i="1"/>
  <c r="I134" i="1" l="1"/>
  <c r="J134" i="1" s="1"/>
  <c r="K134" i="1" s="1"/>
  <c r="A135" i="1" s="1"/>
  <c r="I103" i="1"/>
  <c r="C104" i="1"/>
  <c r="G105" i="1"/>
  <c r="F135" i="1" l="1"/>
  <c r="B135" i="1"/>
  <c r="H135" i="1" s="1"/>
  <c r="C105" i="1"/>
  <c r="I104" i="1"/>
  <c r="G106" i="1"/>
  <c r="C135" i="1" l="1"/>
  <c r="D135" i="1"/>
  <c r="E135" i="1" s="1"/>
  <c r="G135" i="1" s="1"/>
  <c r="I105" i="1"/>
  <c r="C106" i="1"/>
  <c r="G107" i="1"/>
  <c r="I135" i="1" l="1"/>
  <c r="J135" i="1" s="1"/>
  <c r="K135" i="1" s="1"/>
  <c r="A136" i="1" s="1"/>
  <c r="I106" i="1"/>
  <c r="C107" i="1"/>
  <c r="G108" i="1"/>
  <c r="F136" i="1" l="1"/>
  <c r="B136" i="1"/>
  <c r="C136" i="1" s="1"/>
  <c r="C108" i="1"/>
  <c r="I107" i="1"/>
  <c r="G109" i="1"/>
  <c r="D136" i="1" l="1"/>
  <c r="E136" i="1" s="1"/>
  <c r="G136" i="1" s="1"/>
  <c r="H136" i="1"/>
  <c r="I136" i="1" s="1"/>
  <c r="I108" i="1"/>
  <c r="C109" i="1"/>
  <c r="G110" i="1"/>
  <c r="J136" i="1" l="1"/>
  <c r="K136" i="1" s="1"/>
  <c r="A137" i="1" s="1"/>
  <c r="I109" i="1"/>
  <c r="C110" i="1"/>
  <c r="I110" i="1"/>
  <c r="G111" i="1"/>
  <c r="B137" i="1" l="1"/>
  <c r="C137" i="1" s="1"/>
  <c r="F137" i="1"/>
  <c r="C111" i="1"/>
  <c r="I111" i="1"/>
  <c r="G112" i="1"/>
  <c r="D137" i="1" l="1"/>
  <c r="E137" i="1" s="1"/>
  <c r="G137" i="1" s="1"/>
  <c r="H137" i="1"/>
  <c r="I137" i="1" s="1"/>
  <c r="C112" i="1"/>
  <c r="I112" i="1"/>
  <c r="G113" i="1"/>
  <c r="J137" i="1" l="1"/>
  <c r="K137" i="1" s="1"/>
  <c r="A138" i="1" s="1"/>
  <c r="F138" i="1" s="1"/>
  <c r="C113" i="1"/>
  <c r="I113" i="1"/>
  <c r="G114" i="1"/>
  <c r="B138" i="1" l="1"/>
  <c r="H138" i="1" s="1"/>
  <c r="C114" i="1"/>
  <c r="I114" i="1"/>
  <c r="G115" i="1"/>
  <c r="I115" i="1"/>
  <c r="D138" i="1" l="1"/>
  <c r="E138" i="1" s="1"/>
  <c r="G138" i="1" s="1"/>
  <c r="C138" i="1"/>
  <c r="C115" i="1"/>
  <c r="G116" i="1"/>
  <c r="I116" i="1"/>
  <c r="I138" i="1" l="1"/>
  <c r="J138" i="1" s="1"/>
  <c r="K138" i="1" s="1"/>
  <c r="A139" i="1" s="1"/>
  <c r="B139" i="1" s="1"/>
  <c r="C116" i="1"/>
  <c r="G117" i="1"/>
  <c r="I117" i="1"/>
  <c r="D139" i="1" l="1"/>
  <c r="E139" i="1" s="1"/>
  <c r="G139" i="1" s="1"/>
  <c r="F139" i="1"/>
  <c r="C139" i="1"/>
  <c r="H139" i="1"/>
  <c r="C117" i="1"/>
  <c r="G118" i="1"/>
  <c r="C118" i="1"/>
  <c r="I139" i="1" l="1"/>
  <c r="J139" i="1" s="1"/>
  <c r="K139" i="1" s="1"/>
  <c r="A140" i="1" s="1"/>
  <c r="I118" i="1"/>
  <c r="G119" i="1"/>
  <c r="C119" i="1"/>
  <c r="I119" i="1"/>
  <c r="B140" i="1" l="1"/>
  <c r="H140" i="1" s="1"/>
  <c r="F140" i="1"/>
  <c r="G120" i="1"/>
  <c r="D140" i="1" l="1"/>
  <c r="E140" i="1" s="1"/>
  <c r="G140" i="1" s="1"/>
  <c r="C140" i="1"/>
  <c r="C120" i="1"/>
  <c r="I120" i="1"/>
  <c r="G122" i="1"/>
  <c r="G121" i="1"/>
  <c r="I122" i="1"/>
  <c r="I140" i="1" l="1"/>
  <c r="J140" i="1" s="1"/>
  <c r="K140" i="1" s="1"/>
  <c r="A141" i="1" s="1"/>
  <c r="I121" i="1"/>
  <c r="C121" i="1"/>
  <c r="C122" i="1"/>
  <c r="F141" i="1" l="1"/>
  <c r="B141" i="1"/>
  <c r="H141" i="1" s="1"/>
  <c r="I49" i="1"/>
  <c r="C49" i="1"/>
  <c r="D141" i="1" l="1"/>
  <c r="E141" i="1" s="1"/>
  <c r="G141" i="1" s="1"/>
  <c r="C141" i="1"/>
  <c r="I51" i="1"/>
  <c r="I50" i="1"/>
  <c r="C51" i="1"/>
  <c r="C50" i="1"/>
  <c r="I141" i="1" l="1"/>
  <c r="J141" i="1" s="1"/>
  <c r="K141" i="1" s="1"/>
  <c r="A142" i="1" s="1"/>
  <c r="I52" i="1"/>
  <c r="C52" i="1"/>
  <c r="B142" i="1" l="1"/>
  <c r="F142" i="1"/>
  <c r="I53" i="1"/>
  <c r="C53" i="1"/>
  <c r="D142" i="1" l="1"/>
  <c r="E142" i="1" s="1"/>
  <c r="G142" i="1" s="1"/>
  <c r="C142" i="1"/>
  <c r="H142" i="1"/>
  <c r="I54" i="1"/>
  <c r="C54" i="1"/>
  <c r="I142" i="1" l="1"/>
  <c r="J142" i="1" s="1"/>
  <c r="K142" i="1" s="1"/>
  <c r="A143" i="1" s="1"/>
  <c r="I55" i="1"/>
  <c r="C55" i="1"/>
  <c r="F143" i="1" l="1"/>
  <c r="B143" i="1"/>
  <c r="H143" i="1" s="1"/>
  <c r="I56" i="1"/>
  <c r="C56" i="1"/>
  <c r="D143" i="1" l="1"/>
  <c r="E143" i="1" s="1"/>
  <c r="G143" i="1" s="1"/>
  <c r="C143" i="1"/>
  <c r="I57" i="1"/>
  <c r="C57" i="1"/>
  <c r="I143" i="1" l="1"/>
  <c r="J143" i="1" s="1"/>
  <c r="K143" i="1" s="1"/>
  <c r="A144" i="1" s="1"/>
  <c r="I58" i="1"/>
  <c r="C58" i="1"/>
  <c r="F144" i="1" l="1"/>
  <c r="B144" i="1"/>
  <c r="I59" i="1"/>
  <c r="C59" i="1"/>
  <c r="H144" i="1" l="1"/>
  <c r="C144" i="1"/>
  <c r="D144" i="1"/>
  <c r="E144" i="1" s="1"/>
  <c r="G144" i="1" s="1"/>
  <c r="I60" i="1"/>
  <c r="C60" i="1"/>
  <c r="I144" i="1" l="1"/>
  <c r="J144" i="1" s="1"/>
  <c r="K144" i="1" s="1"/>
  <c r="A145" i="1" s="1"/>
  <c r="I61" i="1"/>
  <c r="C61" i="1"/>
  <c r="F145" i="1" l="1"/>
  <c r="B145" i="1"/>
  <c r="H145" i="1" s="1"/>
  <c r="I62" i="1"/>
  <c r="C62" i="1"/>
  <c r="C145" i="1" l="1"/>
  <c r="D145" i="1"/>
  <c r="E145" i="1" s="1"/>
  <c r="G145" i="1" s="1"/>
  <c r="I63" i="1"/>
  <c r="C63" i="1"/>
  <c r="I145" i="1" l="1"/>
  <c r="J145" i="1" s="1"/>
  <c r="K145" i="1" s="1"/>
  <c r="A146" i="1" s="1"/>
  <c r="I64" i="1"/>
  <c r="C64" i="1"/>
  <c r="F146" i="1" l="1"/>
  <c r="B146" i="1"/>
  <c r="D146" i="1" s="1"/>
  <c r="I65" i="1"/>
  <c r="C65" i="1"/>
  <c r="H146" i="1" l="1"/>
  <c r="I146" i="1" s="1"/>
  <c r="C146" i="1"/>
  <c r="E146" i="1"/>
  <c r="G146" i="1" s="1"/>
  <c r="I66" i="1"/>
  <c r="C66" i="1"/>
  <c r="J146" i="1" l="1"/>
  <c r="K146" i="1" s="1"/>
  <c r="A147" i="1" s="1"/>
  <c r="I67" i="1"/>
  <c r="C67" i="1"/>
  <c r="F147" i="1" l="1"/>
  <c r="B147" i="1"/>
  <c r="C147" i="1" s="1"/>
  <c r="I68" i="1"/>
  <c r="C68" i="1"/>
  <c r="H147" i="1" l="1"/>
  <c r="D147" i="1"/>
  <c r="E147" i="1" s="1"/>
  <c r="I69" i="1"/>
  <c r="C69" i="1"/>
  <c r="I147" i="1" l="1"/>
  <c r="G147" i="1"/>
  <c r="I70" i="1"/>
  <c r="C70" i="1"/>
  <c r="J147" i="1" l="1"/>
  <c r="K147" i="1" s="1"/>
  <c r="A148" i="1" s="1"/>
  <c r="I71" i="1"/>
  <c r="C71" i="1"/>
  <c r="B148" i="1" l="1"/>
  <c r="H148" i="1" s="1"/>
  <c r="F148" i="1"/>
  <c r="I72" i="1"/>
  <c r="C72" i="1"/>
  <c r="C148" i="1" l="1"/>
  <c r="D148" i="1"/>
  <c r="E148" i="1" s="1"/>
  <c r="G148" i="1" s="1"/>
  <c r="I73" i="1"/>
  <c r="C73" i="1"/>
  <c r="I148" i="1" l="1"/>
  <c r="J148" i="1" s="1"/>
  <c r="K148" i="1" s="1"/>
  <c r="A149" i="1" s="1"/>
  <c r="B149" i="1" s="1"/>
  <c r="I74" i="1"/>
  <c r="C74" i="1"/>
  <c r="F149" i="1" l="1"/>
  <c r="D149" i="1"/>
  <c r="E149" i="1" s="1"/>
  <c r="G149" i="1" s="1"/>
  <c r="C149" i="1"/>
  <c r="H149" i="1"/>
  <c r="C75" i="1"/>
  <c r="I149" i="1" l="1"/>
  <c r="J149" i="1" s="1"/>
  <c r="K149" i="1" s="1"/>
  <c r="A150" i="1" s="1"/>
  <c r="I75" i="1"/>
  <c r="I76" i="1"/>
  <c r="C76" i="1"/>
  <c r="B150" i="1" l="1"/>
  <c r="F150" i="1"/>
  <c r="I77" i="1"/>
  <c r="C77" i="1"/>
  <c r="D150" i="1" l="1"/>
  <c r="E150" i="1" s="1"/>
  <c r="G150" i="1" s="1"/>
  <c r="C150" i="1"/>
  <c r="H150" i="1"/>
  <c r="C78" i="1"/>
  <c r="I150" i="1" l="1"/>
  <c r="J150" i="1" s="1"/>
  <c r="K150" i="1" s="1"/>
  <c r="A151" i="1" s="1"/>
  <c r="B151" i="1" s="1"/>
  <c r="D151" i="1" s="1"/>
  <c r="I78" i="1"/>
  <c r="C79" i="1"/>
  <c r="F151" i="1" l="1"/>
  <c r="E151" i="1"/>
  <c r="G151" i="1" s="1"/>
  <c r="C151" i="1"/>
  <c r="H151" i="1"/>
  <c r="I151" i="1" s="1"/>
  <c r="I79" i="1"/>
  <c r="C80" i="1"/>
  <c r="J151" i="1" l="1"/>
  <c r="K151" i="1" s="1"/>
  <c r="A152" i="1" s="1"/>
  <c r="I80" i="1"/>
  <c r="C81" i="1"/>
  <c r="B152" i="1" l="1"/>
  <c r="F152" i="1"/>
  <c r="I81" i="1"/>
  <c r="C82" i="1"/>
  <c r="D152" i="1" l="1"/>
  <c r="E152" i="1" s="1"/>
  <c r="G152" i="1" s="1"/>
  <c r="C152" i="1"/>
  <c r="H152" i="1"/>
  <c r="I82" i="1"/>
  <c r="C83" i="1"/>
  <c r="I152" i="1" l="1"/>
  <c r="J152" i="1" s="1"/>
  <c r="K152" i="1" s="1"/>
  <c r="A153" i="1" s="1"/>
  <c r="B153" i="1" s="1"/>
  <c r="C153" i="1" s="1"/>
  <c r="I83" i="1"/>
  <c r="C84" i="1"/>
  <c r="D153" i="1" l="1"/>
  <c r="E153" i="1" s="1"/>
  <c r="G153" i="1" s="1"/>
  <c r="F153" i="1"/>
  <c r="H153" i="1"/>
  <c r="I153" i="1" s="1"/>
  <c r="I84" i="1"/>
  <c r="C85" i="1"/>
  <c r="J153" i="1" l="1"/>
  <c r="K153" i="1" s="1"/>
  <c r="A154" i="1" s="1"/>
  <c r="I85" i="1"/>
  <c r="C86" i="1"/>
  <c r="B154" i="1" l="1"/>
  <c r="H154" i="1" s="1"/>
  <c r="F154" i="1"/>
  <c r="I86" i="1"/>
  <c r="I87" i="1"/>
  <c r="C87" i="1"/>
  <c r="I154" i="1" l="1"/>
  <c r="D154" i="1"/>
  <c r="E154" i="1" s="1"/>
  <c r="G154" i="1" s="1"/>
  <c r="C154" i="1"/>
  <c r="C88" i="1"/>
  <c r="J154" i="1" l="1"/>
  <c r="K154" i="1" s="1"/>
  <c r="A155" i="1" s="1"/>
  <c r="I88" i="1"/>
  <c r="C89" i="1"/>
  <c r="B155" i="1" l="1"/>
  <c r="D155" i="1" s="1"/>
  <c r="F155" i="1"/>
  <c r="I89" i="1"/>
  <c r="C90" i="1"/>
  <c r="I155" i="1" l="1"/>
  <c r="C155" i="1"/>
  <c r="H155" i="1"/>
  <c r="E155" i="1"/>
  <c r="G155" i="1" s="1"/>
  <c r="I90" i="1"/>
  <c r="C91" i="1"/>
  <c r="J155" i="1" l="1"/>
  <c r="K155" i="1" s="1"/>
  <c r="A156" i="1" s="1"/>
  <c r="I91" i="1"/>
  <c r="C92" i="1"/>
  <c r="B156" i="1" l="1"/>
  <c r="C156" i="1" s="1"/>
  <c r="F156" i="1"/>
  <c r="I92" i="1"/>
  <c r="C93" i="1"/>
  <c r="D156" i="1" l="1"/>
  <c r="E156" i="1" s="1"/>
  <c r="G156" i="1" s="1"/>
  <c r="I156" i="1"/>
  <c r="H156" i="1"/>
  <c r="I93" i="1"/>
  <c r="C94" i="1"/>
  <c r="J156" i="1" l="1"/>
  <c r="K156" i="1" s="1"/>
  <c r="A157" i="1" s="1"/>
  <c r="I94" i="1"/>
  <c r="C95" i="1"/>
  <c r="B157" i="1" l="1"/>
  <c r="H157" i="1" s="1"/>
  <c r="F157" i="1"/>
  <c r="I95" i="1"/>
  <c r="C96" i="1"/>
  <c r="I157" i="1" l="1"/>
  <c r="C157" i="1"/>
  <c r="D157" i="1"/>
  <c r="E157" i="1" s="1"/>
  <c r="G157" i="1" s="1"/>
  <c r="I96" i="1"/>
  <c r="C97" i="1"/>
  <c r="J157" i="1" l="1"/>
  <c r="K157" i="1" s="1"/>
  <c r="A158" i="1" s="1"/>
  <c r="I97" i="1"/>
  <c r="C98" i="1"/>
  <c r="B158" i="1" l="1"/>
  <c r="D158" i="1" s="1"/>
  <c r="F158" i="1"/>
  <c r="I98" i="1"/>
  <c r="C99" i="1"/>
  <c r="H158" i="1" l="1"/>
  <c r="C158" i="1"/>
  <c r="E158" i="1"/>
  <c r="G158" i="1" s="1"/>
  <c r="I158" i="1"/>
  <c r="I99" i="1"/>
  <c r="C100" i="1"/>
  <c r="J158" i="1" l="1"/>
  <c r="K158" i="1" s="1"/>
  <c r="A159" i="1" s="1"/>
  <c r="I100" i="1"/>
  <c r="C101" i="1"/>
  <c r="F159" i="1" l="1"/>
  <c r="B159" i="1"/>
  <c r="I159" i="1" s="1"/>
  <c r="I101" i="1"/>
  <c r="E29" i="1"/>
  <c r="K15" i="1"/>
  <c r="H159" i="1" l="1"/>
  <c r="C159" i="1"/>
  <c r="D159" i="1"/>
  <c r="E159" i="1" s="1"/>
  <c r="G159" i="1" s="1"/>
  <c r="K27" i="1"/>
  <c r="K26" i="1" s="1"/>
  <c r="G88" i="1"/>
  <c r="J159" i="1" l="1"/>
  <c r="K159" i="1" s="1"/>
  <c r="A160" i="1" s="1"/>
  <c r="K28" i="1"/>
  <c r="K29" i="1"/>
  <c r="K30" i="1" s="1"/>
  <c r="A45" i="1" s="1"/>
  <c r="E40" i="1" l="1"/>
  <c r="B160" i="1"/>
  <c r="H160" i="1" s="1"/>
  <c r="F160" i="1"/>
  <c r="E53" i="1"/>
  <c r="G53" i="1" s="1"/>
  <c r="E73" i="1"/>
  <c r="G73" i="1" s="1"/>
  <c r="E77" i="1"/>
  <c r="G77" i="1" s="1"/>
  <c r="E81" i="1"/>
  <c r="G81" i="1" s="1"/>
  <c r="E85" i="1"/>
  <c r="G85" i="1" s="1"/>
  <c r="E74" i="1"/>
  <c r="G74" i="1" s="1"/>
  <c r="E78" i="1"/>
  <c r="G78" i="1" s="1"/>
  <c r="E82" i="1"/>
  <c r="G82" i="1" s="1"/>
  <c r="E86" i="1"/>
  <c r="G86" i="1" s="1"/>
  <c r="E76" i="1"/>
  <c r="G76" i="1" s="1"/>
  <c r="E80" i="1"/>
  <c r="G80" i="1" s="1"/>
  <c r="E75" i="1"/>
  <c r="G75" i="1" s="1"/>
  <c r="E79" i="1"/>
  <c r="G79" i="1" s="1"/>
  <c r="E83" i="1"/>
  <c r="G83" i="1" s="1"/>
  <c r="E87" i="1"/>
  <c r="G87" i="1" s="1"/>
  <c r="E84" i="1"/>
  <c r="G84" i="1" s="1"/>
  <c r="E63" i="1"/>
  <c r="G63" i="1" s="1"/>
  <c r="E56" i="1"/>
  <c r="G56" i="1" s="1"/>
  <c r="E68" i="1"/>
  <c r="G68" i="1" s="1"/>
  <c r="E64" i="1"/>
  <c r="G64" i="1" s="1"/>
  <c r="E72" i="1"/>
  <c r="G72" i="1" s="1"/>
  <c r="E52" i="1"/>
  <c r="G52" i="1" s="1"/>
  <c r="E59" i="1"/>
  <c r="G59" i="1" s="1"/>
  <c r="E70" i="1"/>
  <c r="G70" i="1" s="1"/>
  <c r="E71" i="1"/>
  <c r="G71" i="1" s="1"/>
  <c r="E62" i="1"/>
  <c r="G62" i="1" s="1"/>
  <c r="E55" i="1"/>
  <c r="G55" i="1" s="1"/>
  <c r="E58" i="1"/>
  <c r="G58" i="1" s="1"/>
  <c r="E60" i="1"/>
  <c r="G60" i="1" s="1"/>
  <c r="E67" i="1"/>
  <c r="G67" i="1" s="1"/>
  <c r="E51" i="1"/>
  <c r="G51" i="1" s="1"/>
  <c r="E54" i="1"/>
  <c r="G54" i="1" s="1"/>
  <c r="E66" i="1"/>
  <c r="G66" i="1" s="1"/>
  <c r="E48" i="1"/>
  <c r="G48" i="1" s="1"/>
  <c r="E61" i="1"/>
  <c r="G61" i="1" s="1"/>
  <c r="E65" i="1"/>
  <c r="G65" i="1" s="1"/>
  <c r="E50" i="1"/>
  <c r="G50" i="1" s="1"/>
  <c r="E49" i="1"/>
  <c r="G49" i="1" s="1"/>
  <c r="E57" i="1"/>
  <c r="G57" i="1" s="1"/>
  <c r="E69" i="1"/>
  <c r="G69" i="1" s="1"/>
  <c r="I160" i="1" l="1"/>
  <c r="C160" i="1"/>
  <c r="D160" i="1"/>
  <c r="E160" i="1" s="1"/>
  <c r="G160" i="1" s="1"/>
  <c r="J48" i="1"/>
  <c r="K48" i="1" s="1"/>
  <c r="J49" i="1" s="1"/>
  <c r="K49" i="1" s="1"/>
  <c r="J50" i="1" s="1"/>
  <c r="K50" i="1" s="1"/>
  <c r="J51" i="1" s="1"/>
  <c r="K51" i="1" s="1"/>
  <c r="J160" i="1" l="1"/>
  <c r="K160" i="1" s="1"/>
  <c r="A161" i="1" s="1"/>
  <c r="J52" i="1"/>
  <c r="K52" i="1" s="1"/>
  <c r="B161" i="1" l="1"/>
  <c r="I161" i="1" s="1"/>
  <c r="F161" i="1"/>
  <c r="J53" i="1"/>
  <c r="K53" i="1" s="1"/>
  <c r="D161" i="1" l="1"/>
  <c r="E161" i="1" s="1"/>
  <c r="G161" i="1" s="1"/>
  <c r="H161" i="1"/>
  <c r="C161" i="1"/>
  <c r="J54" i="1"/>
  <c r="K54" i="1" s="1"/>
  <c r="J161" i="1" l="1"/>
  <c r="K161" i="1" s="1"/>
  <c r="A162" i="1" s="1"/>
  <c r="J55" i="1"/>
  <c r="K55" i="1" s="1"/>
  <c r="B162" i="1" l="1"/>
  <c r="D162" i="1" s="1"/>
  <c r="F162" i="1"/>
  <c r="J56" i="1"/>
  <c r="K56" i="1" s="1"/>
  <c r="I162" i="1" l="1"/>
  <c r="C162" i="1"/>
  <c r="E162" i="1"/>
  <c r="G162" i="1" s="1"/>
  <c r="H162" i="1"/>
  <c r="J57" i="1"/>
  <c r="K57" i="1" s="1"/>
  <c r="J162" i="1" l="1"/>
  <c r="K162" i="1" s="1"/>
  <c r="A163" i="1" s="1"/>
  <c r="J58" i="1"/>
  <c r="K58" i="1" s="1"/>
  <c r="B163" i="1" l="1"/>
  <c r="C163" i="1" s="1"/>
  <c r="F163" i="1"/>
  <c r="J59" i="1"/>
  <c r="K59" i="1" s="1"/>
  <c r="I163" i="1" l="1"/>
  <c r="D163" i="1"/>
  <c r="E163" i="1" s="1"/>
  <c r="G163" i="1" s="1"/>
  <c r="H163" i="1"/>
  <c r="J60" i="1"/>
  <c r="K60" i="1" s="1"/>
  <c r="J163" i="1" l="1"/>
  <c r="K163" i="1" s="1"/>
  <c r="A164" i="1" s="1"/>
  <c r="B164" i="1" s="1"/>
  <c r="C164" i="1" s="1"/>
  <c r="J61" i="1"/>
  <c r="K61" i="1" s="1"/>
  <c r="F164" i="1" l="1"/>
  <c r="D164" i="1"/>
  <c r="E164" i="1" s="1"/>
  <c r="G164" i="1" s="1"/>
  <c r="I164" i="1"/>
  <c r="H164" i="1"/>
  <c r="J62" i="1"/>
  <c r="K62" i="1" s="1"/>
  <c r="J164" i="1" l="1"/>
  <c r="K164" i="1" s="1"/>
  <c r="A165" i="1" s="1"/>
  <c r="J63" i="1"/>
  <c r="K63" i="1" s="1"/>
  <c r="B165" i="1" l="1"/>
  <c r="D165" i="1" s="1"/>
  <c r="F165" i="1"/>
  <c r="J64" i="1"/>
  <c r="K64" i="1" s="1"/>
  <c r="C165" i="1" l="1"/>
  <c r="E165" i="1"/>
  <c r="G165" i="1" s="1"/>
  <c r="H165" i="1"/>
  <c r="I165" i="1"/>
  <c r="J65" i="1"/>
  <c r="K65" i="1" s="1"/>
  <c r="J165" i="1" l="1"/>
  <c r="K165" i="1" s="1"/>
  <c r="A166" i="1" s="1"/>
  <c r="J66" i="1"/>
  <c r="K66" i="1" s="1"/>
  <c r="B166" i="1" l="1"/>
  <c r="H166" i="1" s="1"/>
  <c r="F166" i="1"/>
  <c r="J67" i="1"/>
  <c r="K67" i="1" s="1"/>
  <c r="I166" i="1" l="1"/>
  <c r="C166" i="1"/>
  <c r="D166" i="1"/>
  <c r="E166" i="1" s="1"/>
  <c r="G166" i="1" s="1"/>
  <c r="J68" i="1"/>
  <c r="K68" i="1" s="1"/>
  <c r="J166" i="1" l="1"/>
  <c r="K166" i="1" s="1"/>
  <c r="A167" i="1" s="1"/>
  <c r="J69" i="1"/>
  <c r="K69" i="1" s="1"/>
  <c r="B167" i="1" l="1"/>
  <c r="C167" i="1" s="1"/>
  <c r="F167" i="1"/>
  <c r="J70" i="1"/>
  <c r="K70" i="1" s="1"/>
  <c r="D167" i="1" l="1"/>
  <c r="E167" i="1" s="1"/>
  <c r="G167" i="1" s="1"/>
  <c r="H167" i="1"/>
  <c r="I167" i="1"/>
  <c r="J71" i="1"/>
  <c r="K71" i="1" s="1"/>
  <c r="J167" i="1" l="1"/>
  <c r="K167" i="1" s="1"/>
  <c r="A168" i="1" s="1"/>
  <c r="J72" i="1"/>
  <c r="K72" i="1" s="1"/>
  <c r="B168" i="1" l="1"/>
  <c r="C168" i="1" s="1"/>
  <c r="F168" i="1"/>
  <c r="J73" i="1"/>
  <c r="K73" i="1" s="1"/>
  <c r="D168" i="1" l="1"/>
  <c r="E168" i="1" s="1"/>
  <c r="G168" i="1" s="1"/>
  <c r="I168" i="1"/>
  <c r="H168" i="1"/>
  <c r="J74" i="1"/>
  <c r="K74" i="1" s="1"/>
  <c r="J168" i="1" l="1"/>
  <c r="K168" i="1" s="1"/>
  <c r="A169" i="1" s="1"/>
  <c r="J75" i="1"/>
  <c r="K75" i="1" s="1"/>
  <c r="B169" i="1" l="1"/>
  <c r="H169" i="1" s="1"/>
  <c r="F169" i="1"/>
  <c r="G169" i="1"/>
  <c r="J76" i="1"/>
  <c r="K76" i="1" s="1"/>
  <c r="E169" i="1" l="1"/>
  <c r="C169" i="1"/>
  <c r="D169" i="1"/>
  <c r="I169" i="1" s="1"/>
  <c r="J77" i="1"/>
  <c r="K77" i="1" s="1"/>
  <c r="J169" i="1" l="1"/>
  <c r="K169" i="1" s="1"/>
  <c r="A170" i="1" s="1"/>
  <c r="J78" i="1"/>
  <c r="K78" i="1" s="1"/>
  <c r="B170" i="1" l="1"/>
  <c r="H170" i="1" s="1"/>
  <c r="F170" i="1"/>
  <c r="G170" i="1"/>
  <c r="J79" i="1"/>
  <c r="K79" i="1" s="1"/>
  <c r="C170" i="1" l="1"/>
  <c r="D170" i="1"/>
  <c r="I170" i="1" s="1"/>
  <c r="E170" i="1"/>
  <c r="J80" i="1"/>
  <c r="K80" i="1" s="1"/>
  <c r="J170" i="1" l="1"/>
  <c r="K170" i="1" s="1"/>
  <c r="A171" i="1" s="1"/>
  <c r="B171" i="1" s="1"/>
  <c r="J81" i="1"/>
  <c r="K81" i="1" s="1"/>
  <c r="G171" i="1" l="1"/>
  <c r="F171" i="1"/>
  <c r="C171" i="1"/>
  <c r="E171" i="1"/>
  <c r="D171" i="1"/>
  <c r="H171" i="1"/>
  <c r="I171" i="1" s="1"/>
  <c r="J82" i="1"/>
  <c r="K82" i="1" s="1"/>
  <c r="J171" i="1" l="1"/>
  <c r="K171" i="1" s="1"/>
  <c r="A172" i="1" s="1"/>
  <c r="J83" i="1"/>
  <c r="K83" i="1" s="1"/>
  <c r="B172" i="1" l="1"/>
  <c r="C172" i="1" s="1"/>
  <c r="F172" i="1"/>
  <c r="G172" i="1"/>
  <c r="J84" i="1"/>
  <c r="K84" i="1" s="1"/>
  <c r="H172" i="1" l="1"/>
  <c r="D172" i="1"/>
  <c r="E172" i="1"/>
  <c r="J85" i="1"/>
  <c r="K85" i="1" s="1"/>
  <c r="I172" i="1" l="1"/>
  <c r="J172" i="1" s="1"/>
  <c r="K172" i="1" s="1"/>
  <c r="A173" i="1" s="1"/>
  <c r="J86" i="1"/>
  <c r="K86" i="1" s="1"/>
  <c r="G173" i="1" l="1"/>
  <c r="F173" i="1"/>
  <c r="B173" i="1"/>
  <c r="C173" i="1" s="1"/>
  <c r="J87" i="1"/>
  <c r="K87" i="1" s="1"/>
  <c r="D173" i="1" l="1"/>
  <c r="E173" i="1"/>
  <c r="H173" i="1"/>
  <c r="J88" i="1"/>
  <c r="K88" i="1" s="1"/>
  <c r="I173" i="1" l="1"/>
  <c r="J173" i="1" s="1"/>
  <c r="K173" i="1" s="1"/>
  <c r="A174" i="1" s="1"/>
  <c r="J89" i="1"/>
  <c r="K89" i="1" s="1"/>
  <c r="B174" i="1" l="1"/>
  <c r="H174" i="1" s="1"/>
  <c r="F174" i="1"/>
  <c r="G174" i="1"/>
  <c r="J90" i="1"/>
  <c r="K90" i="1" s="1"/>
  <c r="E174" i="1" l="1"/>
  <c r="D174" i="1"/>
  <c r="I174" i="1" s="1"/>
  <c r="C174" i="1"/>
  <c r="J91" i="1"/>
  <c r="K91" i="1" s="1"/>
  <c r="J174" i="1" l="1"/>
  <c r="K174" i="1" s="1"/>
  <c r="A175" i="1" s="1"/>
  <c r="G175" i="1" s="1"/>
  <c r="J92" i="1"/>
  <c r="K92" i="1" s="1"/>
  <c r="B175" i="1" l="1"/>
  <c r="D175" i="1" s="1"/>
  <c r="F175" i="1"/>
  <c r="J93" i="1"/>
  <c r="K93" i="1" s="1"/>
  <c r="E175" i="1" l="1"/>
  <c r="H175" i="1"/>
  <c r="I175" i="1" s="1"/>
  <c r="C175" i="1"/>
  <c r="J94" i="1"/>
  <c r="K94" i="1" s="1"/>
  <c r="J175" i="1" l="1"/>
  <c r="K175" i="1" s="1"/>
  <c r="A176" i="1" s="1"/>
  <c r="G176" i="1" s="1"/>
  <c r="J95" i="1"/>
  <c r="K95" i="1" s="1"/>
  <c r="F176" i="1" l="1"/>
  <c r="B176" i="1"/>
  <c r="H176" i="1" s="1"/>
  <c r="J96" i="1"/>
  <c r="K96" i="1" s="1"/>
  <c r="E176" i="1" l="1"/>
  <c r="D176" i="1"/>
  <c r="I176" i="1" s="1"/>
  <c r="C176" i="1"/>
  <c r="J97" i="1"/>
  <c r="K97" i="1" s="1"/>
  <c r="J176" i="1" l="1"/>
  <c r="K176" i="1" s="1"/>
  <c r="A177" i="1" s="1"/>
  <c r="F177" i="1" s="1"/>
  <c r="J98" i="1"/>
  <c r="K98" i="1" s="1"/>
  <c r="B177" i="1" l="1"/>
  <c r="H177" i="1" s="1"/>
  <c r="G177" i="1"/>
  <c r="J99" i="1"/>
  <c r="K99" i="1" s="1"/>
  <c r="D177" i="1" l="1"/>
  <c r="I177" i="1" s="1"/>
  <c r="E177" i="1"/>
  <c r="C177" i="1"/>
  <c r="J100" i="1"/>
  <c r="K100" i="1" s="1"/>
  <c r="J177" i="1" l="1"/>
  <c r="K177" i="1" s="1"/>
  <c r="A178" i="1" s="1"/>
  <c r="F178" i="1" s="1"/>
  <c r="J101" i="1"/>
  <c r="K101" i="1" s="1"/>
  <c r="G178" i="1" l="1"/>
  <c r="B178" i="1"/>
  <c r="E178" i="1" s="1"/>
  <c r="H178" i="1"/>
  <c r="C178" i="1"/>
  <c r="D178" i="1"/>
  <c r="J102" i="1"/>
  <c r="K102" i="1" s="1"/>
  <c r="I178" i="1" l="1"/>
  <c r="J178" i="1" s="1"/>
  <c r="K178" i="1" s="1"/>
  <c r="A179" i="1" s="1"/>
  <c r="J103" i="1"/>
  <c r="K103" i="1" s="1"/>
  <c r="F179" i="1" l="1"/>
  <c r="B179" i="1"/>
  <c r="D179" i="1" s="1"/>
  <c r="G179" i="1"/>
  <c r="J104" i="1"/>
  <c r="K104" i="1" s="1"/>
  <c r="H179" i="1" l="1"/>
  <c r="I179" i="1" s="1"/>
  <c r="C179" i="1"/>
  <c r="E179" i="1"/>
  <c r="J105" i="1"/>
  <c r="K105" i="1" s="1"/>
  <c r="J179" i="1" l="1"/>
  <c r="K179" i="1" s="1"/>
  <c r="A180" i="1" s="1"/>
  <c r="J106" i="1"/>
  <c r="K106" i="1" s="1"/>
  <c r="F180" i="1" l="1"/>
  <c r="B180" i="1"/>
  <c r="C180" i="1" s="1"/>
  <c r="G180" i="1"/>
  <c r="J107" i="1"/>
  <c r="K107" i="1" s="1"/>
  <c r="E180" i="1" l="1"/>
  <c r="D180" i="1"/>
  <c r="H180" i="1"/>
  <c r="J108" i="1"/>
  <c r="K108" i="1" s="1"/>
  <c r="I180" i="1" l="1"/>
  <c r="J180" i="1"/>
  <c r="K180" i="1" s="1"/>
  <c r="A181" i="1" s="1"/>
  <c r="J109" i="1"/>
  <c r="K109" i="1" s="1"/>
  <c r="F181" i="1" l="1"/>
  <c r="B181" i="1"/>
  <c r="G181" i="1"/>
  <c r="E181" i="1"/>
  <c r="J110" i="1"/>
  <c r="K110" i="1" s="1"/>
  <c r="D181" i="1" l="1"/>
  <c r="C181" i="1"/>
  <c r="H181" i="1"/>
  <c r="J111" i="1"/>
  <c r="K111" i="1" s="1"/>
  <c r="I181" i="1" l="1"/>
  <c r="J181" i="1"/>
  <c r="K181" i="1" s="1"/>
  <c r="A182" i="1" s="1"/>
  <c r="J112" i="1"/>
  <c r="K112" i="1" s="1"/>
  <c r="G182" i="1" l="1"/>
  <c r="F182" i="1"/>
  <c r="B182" i="1"/>
  <c r="H182" i="1" s="1"/>
  <c r="J113" i="1"/>
  <c r="K113" i="1" s="1"/>
  <c r="E182" i="1" l="1"/>
  <c r="C182" i="1"/>
  <c r="D182" i="1"/>
  <c r="I182" i="1" s="1"/>
  <c r="J182" i="1" s="1"/>
  <c r="K182" i="1" s="1"/>
  <c r="A183" i="1" s="1"/>
  <c r="G183" i="1" l="1"/>
  <c r="B183" i="1"/>
  <c r="F183" i="1"/>
  <c r="D183" i="1" l="1"/>
  <c r="E183" i="1"/>
  <c r="C183" i="1"/>
  <c r="H183" i="1"/>
  <c r="I183" i="1" l="1"/>
  <c r="J183" i="1" s="1"/>
  <c r="K183" i="1" s="1"/>
  <c r="A184" i="1" s="1"/>
  <c r="G184" i="1" l="1"/>
  <c r="F184" i="1"/>
  <c r="B184" i="1"/>
  <c r="D184" i="1" s="1"/>
  <c r="C184" i="1" l="1"/>
  <c r="H184" i="1"/>
  <c r="I184" i="1" s="1"/>
  <c r="E184" i="1"/>
  <c r="J184" i="1" l="1"/>
  <c r="K184" i="1" s="1"/>
  <c r="A185" i="1" s="1"/>
  <c r="F185" i="1" l="1"/>
  <c r="B185" i="1"/>
  <c r="E185" i="1" s="1"/>
  <c r="G185" i="1"/>
  <c r="C185" i="1" l="1"/>
  <c r="H185" i="1"/>
  <c r="D185" i="1"/>
  <c r="I185" i="1" l="1"/>
  <c r="J185" i="1" s="1"/>
  <c r="K185" i="1" s="1"/>
  <c r="A186" i="1" s="1"/>
  <c r="G186" i="1" s="1"/>
  <c r="F186" i="1" l="1"/>
  <c r="B186" i="1"/>
  <c r="H186" i="1" s="1"/>
  <c r="C186" i="1"/>
  <c r="E186" i="1"/>
  <c r="D186" i="1" l="1"/>
  <c r="I186" i="1" s="1"/>
  <c r="J186" i="1" s="1"/>
  <c r="K186" i="1" s="1"/>
  <c r="A187" i="1" s="1"/>
  <c r="F187" i="1" l="1"/>
  <c r="B187" i="1"/>
  <c r="D187" i="1" s="1"/>
  <c r="G187" i="1"/>
  <c r="E187" i="1" l="1"/>
  <c r="H187" i="1"/>
  <c r="I187" i="1" s="1"/>
  <c r="C187" i="1"/>
  <c r="J187" i="1" l="1"/>
  <c r="K187" i="1" s="1"/>
  <c r="A188" i="1" s="1"/>
  <c r="F188" i="1" l="1"/>
  <c r="B188" i="1"/>
  <c r="E188" i="1" s="1"/>
  <c r="G188" i="1"/>
  <c r="C188" i="1" l="1"/>
  <c r="D188" i="1"/>
  <c r="H188" i="1"/>
  <c r="I188" i="1" s="1"/>
  <c r="J188" i="1" s="1"/>
  <c r="K188" i="1" s="1"/>
  <c r="A189" i="1" s="1"/>
  <c r="G189" i="1" l="1"/>
  <c r="F189" i="1"/>
  <c r="B189" i="1"/>
  <c r="D189" i="1" s="1"/>
  <c r="H189" i="1" l="1"/>
  <c r="I189" i="1" s="1"/>
  <c r="C189" i="1"/>
  <c r="E189" i="1"/>
  <c r="J189" i="1" l="1"/>
  <c r="K189" i="1" s="1"/>
  <c r="A190" i="1" s="1"/>
  <c r="F190" i="1" l="1"/>
  <c r="B190" i="1"/>
  <c r="D190" i="1" s="1"/>
  <c r="G190" i="1"/>
  <c r="C190" i="1" l="1"/>
  <c r="H190" i="1"/>
  <c r="I190" i="1" s="1"/>
  <c r="E190" i="1"/>
  <c r="J190" i="1" l="1"/>
  <c r="K190" i="1" s="1"/>
  <c r="A191" i="1" s="1"/>
  <c r="B191" i="1" l="1"/>
  <c r="E191" i="1" s="1"/>
  <c r="G191" i="1"/>
  <c r="F191" i="1"/>
  <c r="C191" i="1" l="1"/>
  <c r="H191" i="1"/>
  <c r="D191" i="1"/>
  <c r="I191" i="1" l="1"/>
  <c r="J191" i="1"/>
  <c r="K191" i="1" s="1"/>
  <c r="A192" i="1" s="1"/>
  <c r="G192" i="1" l="1"/>
  <c r="F192" i="1"/>
  <c r="B192" i="1"/>
  <c r="C192" i="1" s="1"/>
  <c r="H192" i="1"/>
  <c r="D192" i="1"/>
  <c r="I192" i="1" l="1"/>
  <c r="E192" i="1"/>
  <c r="J192" i="1" l="1"/>
  <c r="K192" i="1" s="1"/>
  <c r="A193" i="1" s="1"/>
  <c r="G193" i="1" l="1"/>
  <c r="F193" i="1"/>
  <c r="B193" i="1"/>
  <c r="E193" i="1" s="1"/>
  <c r="H193" i="1" l="1"/>
  <c r="D193" i="1"/>
  <c r="C193" i="1"/>
  <c r="I193" i="1" l="1"/>
  <c r="J193" i="1" s="1"/>
  <c r="K193" i="1" s="1"/>
  <c r="A194" i="1" s="1"/>
  <c r="C194" i="1" s="1"/>
  <c r="K194" i="1" l="1"/>
  <c r="A195" i="1" s="1"/>
  <c r="F195" i="1" s="1"/>
  <c r="H194" i="1"/>
  <c r="B194" i="1"/>
  <c r="D194" i="1"/>
  <c r="G194" i="1"/>
  <c r="J194" i="1"/>
  <c r="F194" i="1"/>
  <c r="I194" i="1"/>
  <c r="E194" i="1"/>
  <c r="I195" i="1" l="1"/>
  <c r="G195" i="1"/>
  <c r="H195" i="1"/>
  <c r="C195" i="1"/>
  <c r="J195" i="1"/>
  <c r="E195" i="1"/>
  <c r="K195" i="1"/>
  <c r="A196" i="1" s="1"/>
  <c r="E196" i="1" s="1"/>
  <c r="D195" i="1"/>
  <c r="B195" i="1"/>
  <c r="I196" i="1" l="1"/>
  <c r="K196" i="1"/>
  <c r="A197" i="1" s="1"/>
  <c r="F197" i="1" s="1"/>
  <c r="G196" i="1"/>
  <c r="J196" i="1"/>
  <c r="F196" i="1"/>
  <c r="H196" i="1"/>
  <c r="C196" i="1"/>
  <c r="B196" i="1"/>
  <c r="D196" i="1"/>
  <c r="I197" i="1" l="1"/>
  <c r="C197" i="1"/>
  <c r="H197" i="1"/>
  <c r="K197" i="1"/>
  <c r="A198" i="1" s="1"/>
  <c r="J198" i="1" s="1"/>
  <c r="B197" i="1"/>
  <c r="D197" i="1"/>
  <c r="E197" i="1"/>
  <c r="G197" i="1"/>
  <c r="J197" i="1"/>
  <c r="I198" i="1" l="1"/>
  <c r="B198" i="1"/>
  <c r="H198" i="1"/>
  <c r="E198" i="1"/>
  <c r="C198" i="1"/>
  <c r="D198" i="1"/>
  <c r="G198" i="1"/>
  <c r="K198" i="1"/>
  <c r="A199" i="1" s="1"/>
  <c r="F199" i="1" s="1"/>
  <c r="F198" i="1"/>
  <c r="E199" i="1" l="1"/>
  <c r="D199" i="1"/>
  <c r="C199" i="1"/>
  <c r="H199" i="1"/>
  <c r="J199" i="1"/>
  <c r="K199" i="1"/>
  <c r="A200" i="1" s="1"/>
  <c r="B200" i="1" s="1"/>
  <c r="B199" i="1"/>
  <c r="I199" i="1"/>
  <c r="G199" i="1"/>
  <c r="E200" i="1" l="1"/>
  <c r="J200" i="1"/>
  <c r="D200" i="1"/>
  <c r="H200" i="1"/>
  <c r="F200" i="1"/>
  <c r="G200" i="1"/>
  <c r="C200" i="1"/>
  <c r="I200" i="1"/>
  <c r="K200" i="1"/>
  <c r="A201" i="1" s="1"/>
  <c r="J201" i="1" s="1"/>
  <c r="G201" i="1" l="1"/>
  <c r="B201" i="1"/>
  <c r="E201" i="1"/>
  <c r="I201" i="1"/>
  <c r="C201" i="1"/>
  <c r="H201" i="1"/>
  <c r="D201" i="1"/>
  <c r="F201" i="1"/>
  <c r="K201" i="1"/>
  <c r="A202" i="1" s="1"/>
  <c r="I202" i="1" s="1"/>
  <c r="E202" i="1" l="1"/>
  <c r="H202" i="1"/>
  <c r="C202" i="1"/>
  <c r="B202" i="1"/>
  <c r="K202" i="1"/>
  <c r="A203" i="1" s="1"/>
  <c r="D203" i="1" s="1"/>
  <c r="J202" i="1"/>
  <c r="D202" i="1"/>
  <c r="F202" i="1"/>
  <c r="G202" i="1"/>
  <c r="G203" i="1" l="1"/>
  <c r="K203" i="1"/>
  <c r="I203" i="1"/>
  <c r="H203" i="1"/>
  <c r="C203" i="1"/>
  <c r="F203" i="1"/>
  <c r="E203" i="1"/>
  <c r="B203" i="1"/>
  <c r="J2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Jon</author>
  </authors>
  <commentList>
    <comment ref="J8" authorId="0" shapeId="0" xr:uid="{00000000-0006-0000-0000-000001000000}">
      <text>
        <r>
          <rPr>
            <b/>
            <sz val="9"/>
            <color indexed="81"/>
            <rFont val="Tahoma"/>
            <family val="2"/>
          </rPr>
          <t>Present Value of Lifestyle (Salary) at Retirement:</t>
        </r>
        <r>
          <rPr>
            <sz val="9"/>
            <color indexed="81"/>
            <rFont val="Tahoma"/>
            <family val="2"/>
          </rPr>
          <t xml:space="preserve">
This is where you estimate the lifestyle you want at retirement by specifying the salary that you think you could live on. Estimate how much you will want to live on at retirement based on today's value of money.</t>
        </r>
      </text>
    </comment>
    <comment ref="D9" authorId="1" shapeId="0" xr:uid="{BA88BCFA-E0F2-49D0-81F1-232819AB71D7}">
      <text>
        <r>
          <rPr>
            <b/>
            <sz val="9"/>
            <color indexed="81"/>
            <rFont val="Tahoma"/>
            <family val="2"/>
          </rPr>
          <t>Age at Retirement:</t>
        </r>
        <r>
          <rPr>
            <sz val="9"/>
            <color indexed="81"/>
            <rFont val="Tahoma"/>
            <family val="2"/>
          </rPr>
          <t xml:space="preserve">
This value must be greater than or equal to the Current Age.</t>
        </r>
      </text>
    </comment>
    <comment ref="D10" authorId="0" shapeId="0" xr:uid="{00000000-0006-0000-0000-000002000000}">
      <text>
        <r>
          <rPr>
            <b/>
            <sz val="9"/>
            <color indexed="81"/>
            <rFont val="Tahoma"/>
            <family val="2"/>
          </rPr>
          <t>Years to Pay Out (After Retirement):</t>
        </r>
        <r>
          <rPr>
            <sz val="9"/>
            <color indexed="81"/>
            <rFont val="Tahoma"/>
            <family val="2"/>
          </rPr>
          <t xml:space="preserve">
Enter the number of years that you want your retirement nest egg to last.</t>
        </r>
      </text>
    </comment>
    <comment ref="J10" authorId="0" shapeId="0" xr:uid="{00000000-0006-0000-0000-000003000000}">
      <text>
        <r>
          <rPr>
            <b/>
            <sz val="9"/>
            <color indexed="81"/>
            <rFont val="Tahoma"/>
            <family val="2"/>
          </rPr>
          <t>Total Needed at Retirement:</t>
        </r>
        <r>
          <rPr>
            <sz val="9"/>
            <color indexed="81"/>
            <rFont val="Tahoma"/>
            <family val="2"/>
          </rPr>
          <t xml:space="preserve">
This is an annuity calculation that estimates the total nest egg that you need at retirement to last through the years of retirement based on the chosen lifestyle. Your current savings, future retirement income, and other assets are subtracted from this value to determine the additional savings needed.</t>
        </r>
      </text>
    </comment>
    <comment ref="D11" authorId="0" shapeId="0" xr:uid="{00000000-0006-0000-0000-000004000000}">
      <text>
        <r>
          <rPr>
            <b/>
            <sz val="9"/>
            <color indexed="81"/>
            <rFont val="Tahoma"/>
            <family val="2"/>
          </rPr>
          <t>Years to Invest (Before Retirement):</t>
        </r>
        <r>
          <rPr>
            <sz val="9"/>
            <color indexed="81"/>
            <rFont val="Tahoma"/>
            <family val="2"/>
          </rPr>
          <t xml:space="preserve">
This calculator assumes that you will be contributing the same percentage of your salary each year until retirement. However, you can override this formula to enter a specific number of years to invest.</t>
        </r>
      </text>
    </comment>
    <comment ref="J13" authorId="0" shapeId="0" xr:uid="{00000000-0006-0000-0000-000005000000}">
      <text>
        <r>
          <rPr>
            <b/>
            <sz val="9"/>
            <color indexed="81"/>
            <rFont val="Tahoma"/>
            <family val="2"/>
          </rPr>
          <t>Current Retirement Savings:</t>
        </r>
        <r>
          <rPr>
            <sz val="9"/>
            <color indexed="81"/>
            <rFont val="Tahoma"/>
            <family val="2"/>
          </rPr>
          <t xml:space="preserve">
Enter the total amount currently in your retirement savings. This will affect how much more you will need to save to reach your goal.</t>
        </r>
      </text>
    </comment>
    <comment ref="D14" authorId="0" shapeId="0" xr:uid="{00000000-0006-0000-0000-000006000000}">
      <text>
        <r>
          <rPr>
            <b/>
            <sz val="9"/>
            <color indexed="81"/>
            <rFont val="Tahoma"/>
            <family val="2"/>
          </rPr>
          <t>Return Before Retirement:</t>
        </r>
        <r>
          <rPr>
            <sz val="9"/>
            <color indexed="81"/>
            <rFont val="Tahoma"/>
            <family val="2"/>
          </rPr>
          <t xml:space="preserve">
This calculator lets you specify a different rate of return on your investments before and after retirement. Rates are impossible to predict, but usually your retirement nest egg is made up of lower risk investments as you approach retirement and during retirement. So, choosing a higher rate for the accumulation period and a lower rate after retirement provides a more realistic estimate than if you expected to get a high rate of return even during retirement.</t>
        </r>
      </text>
    </comment>
    <comment ref="J14" authorId="0" shapeId="0" xr:uid="{00000000-0006-0000-0000-000007000000}">
      <text>
        <r>
          <rPr>
            <b/>
            <sz val="9"/>
            <color indexed="81"/>
            <rFont val="Tahoma"/>
            <family val="2"/>
          </rPr>
          <t>Value of Current Savings at Retirement:</t>
        </r>
        <r>
          <rPr>
            <sz val="9"/>
            <color indexed="81"/>
            <rFont val="Tahoma"/>
            <family val="2"/>
          </rPr>
          <t xml:space="preserve">
This takes into account your Current Retirement Balance growing until retirement (based on the Return During Accumulation rate).</t>
        </r>
      </text>
    </comment>
    <comment ref="D16" authorId="0" shapeId="0" xr:uid="{00000000-0006-0000-0000-000008000000}">
      <text>
        <r>
          <rPr>
            <b/>
            <sz val="9"/>
            <color indexed="81"/>
            <rFont val="Tahoma"/>
            <family val="2"/>
          </rPr>
          <t>Annual Rate of Inflation:</t>
        </r>
        <r>
          <rPr>
            <sz val="9"/>
            <color indexed="81"/>
            <rFont val="Tahoma"/>
            <family val="2"/>
          </rPr>
          <t xml:space="preserve">
This is another number that is impossible to predict accurately, but do your best to enter a reasonable rate. If you enter a rate that is too low, you will underestimate how much you should be saving.</t>
        </r>
      </text>
    </comment>
    <comment ref="J18" authorId="1" shapeId="0" xr:uid="{4260F78E-FFF5-4596-908F-06D2DD9D07A8}">
      <text>
        <r>
          <rPr>
            <b/>
            <sz val="9"/>
            <color indexed="81"/>
            <rFont val="Tahoma"/>
            <family val="2"/>
          </rPr>
          <t>Age When Income Begins:</t>
        </r>
        <r>
          <rPr>
            <sz val="9"/>
            <color indexed="81"/>
            <rFont val="Tahoma"/>
            <family val="2"/>
          </rPr>
          <t xml:space="preserve">
For this calculator, "Age When Income Begins" must be equal to or greater than the "Age at Retirement"</t>
        </r>
      </text>
    </comment>
    <comment ref="J21" authorId="1" shapeId="0" xr:uid="{F38423E1-D893-4AF5-9A42-6226223CC94D}">
      <text>
        <r>
          <rPr>
            <b/>
            <sz val="9"/>
            <color indexed="81"/>
            <rFont val="Tahoma"/>
            <family val="2"/>
          </rPr>
          <t>Years of Retirement Income:</t>
        </r>
        <r>
          <rPr>
            <sz val="9"/>
            <color indexed="81"/>
            <rFont val="Tahoma"/>
            <family val="2"/>
          </rPr>
          <t xml:space="preserve">
The calculator assumes that after retirement income begins, it continues until the final year of payout. If the retirement income payouts should end sooner than that, you can overwrite the formula in this cell.</t>
        </r>
      </text>
    </comment>
    <comment ref="J22" authorId="0" shapeId="0" xr:uid="{00000000-0006-0000-0000-000009000000}">
      <text>
        <r>
          <rPr>
            <b/>
            <sz val="9"/>
            <color indexed="81"/>
            <rFont val="Tahoma"/>
            <family val="2"/>
          </rPr>
          <t>Lump-Sum Value of Future Retirement Income at Retirement:</t>
        </r>
        <r>
          <rPr>
            <sz val="9"/>
            <color indexed="81"/>
            <rFont val="Tahoma"/>
            <family val="2"/>
          </rPr>
          <t xml:space="preserve">
This is a present-value calculation for the future retirement income. It is subtracted from the Total Needed at Retirement to determine the Additional Savings Required.</t>
        </r>
      </text>
    </comment>
    <comment ref="D23" authorId="0" shapeId="0" xr:uid="{00000000-0006-0000-0000-00000A000000}">
      <text>
        <r>
          <rPr>
            <b/>
            <sz val="9"/>
            <color indexed="81"/>
            <rFont val="Tahoma"/>
            <family val="2"/>
          </rPr>
          <t>Percent of Salary to Contribute to Savings:</t>
        </r>
        <r>
          <rPr>
            <sz val="9"/>
            <color indexed="81"/>
            <rFont val="Tahoma"/>
            <family val="2"/>
          </rPr>
          <t xml:space="preserve">
The amount that you will save is based on a percentage of your salary. That way, as your salary increases, the amount that you will save will also increase.
</t>
        </r>
        <r>
          <rPr>
            <b/>
            <sz val="9"/>
            <color indexed="81"/>
            <rFont val="Tahoma"/>
            <family val="2"/>
          </rPr>
          <t xml:space="preserve">Note: </t>
        </r>
        <r>
          <rPr>
            <sz val="9"/>
            <color indexed="81"/>
            <rFont val="Tahoma"/>
            <family val="2"/>
          </rPr>
          <t>Your annual savings contributions in this spreadsheet are not limited to just 401k contributions. However, if you specify an Employer Match, the spreadsheet assumes you are first contributing to a 401k, and then any savings beyond the 401k limits are placed in other accounts.</t>
        </r>
      </text>
    </comment>
    <comment ref="D24" authorId="0" shapeId="0" xr:uid="{00000000-0006-0000-0000-00000B000000}">
      <text>
        <r>
          <rPr>
            <b/>
            <sz val="9"/>
            <color indexed="81"/>
            <rFont val="Tahoma"/>
            <family val="2"/>
          </rPr>
          <t>Employer 401(k) Match:</t>
        </r>
        <r>
          <rPr>
            <sz val="9"/>
            <color indexed="81"/>
            <rFont val="Tahoma"/>
            <family val="2"/>
          </rPr>
          <t xml:space="preserve">
This is the amount your employer contributes, specified as a percentage of your contribution.
For example, if you contributed $1000 and your company matches 50%, then your company would contribute $500.</t>
        </r>
      </text>
    </comment>
    <comment ref="D25" authorId="0" shapeId="0" xr:uid="{00000000-0006-0000-0000-00000C000000}">
      <text>
        <r>
          <rPr>
            <b/>
            <sz val="9"/>
            <color indexed="81"/>
            <rFont val="Tahoma"/>
            <family val="2"/>
          </rPr>
          <t>Maximum Employee % Contribution (for Employer Match)</t>
        </r>
        <r>
          <rPr>
            <sz val="9"/>
            <color indexed="81"/>
            <rFont val="Tahoma"/>
            <family val="2"/>
          </rPr>
          <t xml:space="preserve">
There is usually a limit to how much of your contribution your company will match. The maximum employer contribution is often stated as "50% match up to 6% of your salary." For this spreadsheet, this should be interpreted as "</t>
        </r>
        <r>
          <rPr>
            <b/>
            <sz val="9"/>
            <color indexed="81"/>
            <rFont val="Tahoma"/>
            <family val="2"/>
          </rPr>
          <t>50% match up to an employee contribution of 6%.</t>
        </r>
        <r>
          <rPr>
            <sz val="9"/>
            <color indexed="81"/>
            <rFont val="Tahoma"/>
            <family val="2"/>
          </rPr>
          <t>" This means that the company stops matching the rest of your contribution if you contribute more than 6% of your salary.</t>
        </r>
      </text>
    </comment>
    <comment ref="J25" authorId="0" shapeId="0" xr:uid="{00000000-0006-0000-0000-00000D000000}">
      <text>
        <r>
          <rPr>
            <b/>
            <sz val="9"/>
            <color indexed="81"/>
            <rFont val="Tahoma"/>
            <family val="2"/>
          </rPr>
          <t>Other Assets:</t>
        </r>
        <r>
          <rPr>
            <sz val="9"/>
            <color indexed="81"/>
            <rFont val="Tahoma"/>
            <family val="2"/>
          </rPr>
          <t xml:space="preserve">
You can include the value of other assets such as a lump-sum pension or assets that can be sold to help fund your retirement. The value entered here should be the value at the time of retirement. For the sake of estimation and calculation, this amount is included as an Annual Contribution during the last year before you retire.</t>
        </r>
      </text>
    </comment>
    <comment ref="J27" authorId="1" shapeId="0" xr:uid="{816E0335-40CC-4B47-A426-3A76BA25CBEC}">
      <text>
        <r>
          <rPr>
            <b/>
            <sz val="9"/>
            <color indexed="81"/>
            <rFont val="Tahoma"/>
            <family val="2"/>
          </rPr>
          <t>Shortfall:</t>
        </r>
        <r>
          <rPr>
            <sz val="9"/>
            <color indexed="81"/>
            <rFont val="Tahoma"/>
            <family val="2"/>
          </rPr>
          <t xml:space="preserve">
If the value for the shortfall is a negative number, that means there is actually a surplus instead of a shortfall. Be careful how you interpret the results. Some results might not apply in the case of a negative shortfall.</t>
        </r>
      </text>
    </comment>
    <comment ref="D28" authorId="0" shapeId="0" xr:uid="{00000000-0006-0000-0000-00000E000000}">
      <text>
        <r>
          <rPr>
            <b/>
            <sz val="9"/>
            <color indexed="81"/>
            <rFont val="Tahoma"/>
            <family val="2"/>
          </rPr>
          <t>Current Annual Contributions:</t>
        </r>
        <r>
          <rPr>
            <sz val="9"/>
            <color indexed="81"/>
            <rFont val="Tahoma"/>
            <family val="2"/>
          </rPr>
          <t xml:space="preserve">
This amount includes both the % of your salary that you are saving as well as the employer match. This amount grows with your increase in salary. That is taken into account in the calculation of the Value of Current Contributions at Retirement.</t>
        </r>
      </text>
    </comment>
    <comment ref="J29" authorId="2" shapeId="0" xr:uid="{00000000-0006-0000-0000-00000F000000}">
      <text>
        <r>
          <rPr>
            <b/>
            <sz val="9"/>
            <color indexed="81"/>
            <rFont val="Tahoma"/>
            <family val="2"/>
          </rPr>
          <t>Additional Annual Contribution:</t>
        </r>
        <r>
          <rPr>
            <sz val="9"/>
            <color indexed="81"/>
            <rFont val="Tahoma"/>
            <family val="2"/>
          </rPr>
          <t xml:space="preserve">
This is the amount that needs to be added to the "Current Annual Contributions" to meet the retirement goal. It is calculated based on the amount you will need to have saved, the rate or return during the accumulation period, the number of years you will be accumulating, and the percentage increase in your salary.
</t>
        </r>
        <r>
          <rPr>
            <b/>
            <sz val="9"/>
            <color indexed="81"/>
            <rFont val="Tahoma"/>
            <family val="2"/>
          </rPr>
          <t>Note:</t>
        </r>
        <r>
          <rPr>
            <sz val="9"/>
            <color indexed="81"/>
            <rFont val="Tahoma"/>
            <family val="2"/>
          </rPr>
          <t xml:space="preserve"> If this value is (negative) it would mean less needs to be saved, but be careful how you interpret the results.</t>
        </r>
      </text>
    </comment>
    <comment ref="J30" authorId="2" shapeId="0" xr:uid="{00000000-0006-0000-0000-000010000000}">
      <text>
        <r>
          <rPr>
            <b/>
            <sz val="9"/>
            <color indexed="81"/>
            <rFont val="Tahoma"/>
            <family val="2"/>
          </rPr>
          <t>% of Salary to Contribute:</t>
        </r>
        <r>
          <rPr>
            <sz val="9"/>
            <color indexed="81"/>
            <rFont val="Tahoma"/>
            <family val="2"/>
          </rPr>
          <t xml:space="preserve">
Taking into account your employer match, this is the percentage of your salary that you would need to contribute to savings to reach the retirement goal.</t>
        </r>
      </text>
    </comment>
    <comment ref="D42" authorId="2" shapeId="0" xr:uid="{00000000-0006-0000-0000-000011000000}">
      <text>
        <r>
          <rPr>
            <b/>
            <sz val="8"/>
            <color indexed="81"/>
            <rFont val="Tahoma"/>
            <family val="2"/>
          </rPr>
          <t>Payments Per Year:</t>
        </r>
        <r>
          <rPr>
            <sz val="8"/>
            <color indexed="81"/>
            <rFont val="Tahoma"/>
            <family val="2"/>
          </rPr>
          <t xml:space="preserve">
The number of contributions per year. This would normally be based on how often you receive your paycheck.
12 = Monthly
24 = Semi-Monthly (twice per month)
26 = Bi-Weekly (once every two weeks)
52 = Weekly
13 = Every 4 weeks
4 = Quarterly (four times per year)
2 = Semi-annually
1 = Annually</t>
        </r>
      </text>
    </comment>
    <comment ref="D43" authorId="2" shapeId="0" xr:uid="{00000000-0006-0000-0000-000012000000}">
      <text>
        <r>
          <rPr>
            <b/>
            <sz val="8"/>
            <color indexed="81"/>
            <rFont val="Tahoma"/>
            <family val="2"/>
          </rPr>
          <t>Withdrawal Payment Type:</t>
        </r>
        <r>
          <rPr>
            <sz val="8"/>
            <color indexed="81"/>
            <rFont val="Tahoma"/>
            <family val="2"/>
          </rPr>
          <t xml:space="preserve">
0 : End of Period
1 : Beginning of Period</t>
        </r>
      </text>
    </comment>
    <comment ref="C46" authorId="2" shapeId="0" xr:uid="{00000000-0006-0000-0000-000013000000}">
      <text>
        <r>
          <rPr>
            <b/>
            <sz val="9"/>
            <color indexed="81"/>
            <rFont val="Tahoma"/>
            <family val="2"/>
          </rPr>
          <t>Expected Annual Return:</t>
        </r>
        <r>
          <rPr>
            <sz val="9"/>
            <color indexed="81"/>
            <rFont val="Tahoma"/>
            <family val="2"/>
          </rPr>
          <t xml:space="preserve">
To vary the rate over time, delete the formulas in this column and either add your own formulas or enter the rates manually.
</t>
        </r>
        <r>
          <rPr>
            <b/>
            <sz val="9"/>
            <color indexed="81"/>
            <rFont val="Tahoma"/>
            <family val="2"/>
          </rPr>
          <t>Random Rate Formula:</t>
        </r>
        <r>
          <rPr>
            <sz val="9"/>
            <color indexed="81"/>
            <rFont val="Tahoma"/>
            <family val="2"/>
          </rPr>
          <t xml:space="preserve">
Random rate between -2% and 10%
  =min+RAND()*(max-min)
  where min=-0.02 and max=0.10
</t>
        </r>
      </text>
    </comment>
    <comment ref="D46" authorId="2" shapeId="0" xr:uid="{00000000-0006-0000-0000-000014000000}">
      <text>
        <r>
          <rPr>
            <b/>
            <sz val="9"/>
            <color indexed="81"/>
            <rFont val="Tahoma"/>
            <family val="2"/>
          </rPr>
          <t>Salary Basis:</t>
        </r>
        <r>
          <rPr>
            <sz val="9"/>
            <color indexed="81"/>
            <rFont val="Tahoma"/>
            <family val="2"/>
          </rPr>
          <t xml:space="preserve">
The contributions for each year are based on the salary in this column. This also represents what you want to live on during retirement. The increase in Salary basis after retirement is based on inflation.</t>
        </r>
      </text>
    </comment>
    <comment ref="E46" authorId="2" shapeId="0" xr:uid="{00000000-0006-0000-0000-000015000000}">
      <text>
        <r>
          <rPr>
            <b/>
            <sz val="9"/>
            <color indexed="81"/>
            <rFont val="Tahoma"/>
            <family val="2"/>
          </rPr>
          <t>Your Annual Contribution:</t>
        </r>
        <r>
          <rPr>
            <sz val="9"/>
            <color indexed="81"/>
            <rFont val="Tahoma"/>
            <family val="2"/>
          </rPr>
          <t xml:space="preserve">
This calculator does not take into account whether your contributions are pre-tax or after tax (i.e. a Roth 401k). At retirement, the amount you've entered for "Value of Other Assets at Retirement" is included in the column.</t>
        </r>
      </text>
    </comment>
    <comment ref="G46" authorId="2" shapeId="0" xr:uid="{00000000-0006-0000-0000-000016000000}">
      <text>
        <r>
          <rPr>
            <b/>
            <sz val="9"/>
            <color indexed="81"/>
            <rFont val="Tahoma"/>
            <family val="2"/>
          </rPr>
          <t>Annual Employer Match</t>
        </r>
        <r>
          <rPr>
            <sz val="9"/>
            <color indexed="81"/>
            <rFont val="Tahoma"/>
            <family val="2"/>
          </rPr>
          <t xml:space="preserve">
The amount your employer matches during the year.</t>
        </r>
      </text>
    </comment>
    <comment ref="H46" authorId="2" shapeId="0" xr:uid="{00000000-0006-0000-0000-000017000000}">
      <text>
        <r>
          <rPr>
            <b/>
            <sz val="9"/>
            <color indexed="81"/>
            <rFont val="Tahoma"/>
            <family val="2"/>
          </rPr>
          <t>Retirement Income:</t>
        </r>
        <r>
          <rPr>
            <sz val="9"/>
            <color indexed="81"/>
            <rFont val="Tahoma"/>
            <family val="2"/>
          </rPr>
          <t xml:space="preserve">
This column, if it is not zero, reduces the amount of the payout. In this calculator, retirement income is NOT added to the Balance and Interest is NOT earned on retirement income.</t>
        </r>
      </text>
    </comment>
    <comment ref="I46" authorId="2" shapeId="0" xr:uid="{00000000-0006-0000-0000-000018000000}">
      <text>
        <r>
          <rPr>
            <b/>
            <sz val="9"/>
            <color indexed="81"/>
            <rFont val="Tahoma"/>
            <family val="2"/>
          </rPr>
          <t>Payout (Withdrawal):</t>
        </r>
        <r>
          <rPr>
            <sz val="9"/>
            <color indexed="81"/>
            <rFont val="Tahoma"/>
            <family val="2"/>
          </rPr>
          <t xml:space="preserve">
This is the amount paid or withdrawn at the end of the specified period. If you have entered an Annual Inflation Rate, you will notice that the Payout increases each period.</t>
        </r>
      </text>
    </comment>
    <comment ref="J46" authorId="2" shapeId="0" xr:uid="{00000000-0006-0000-0000-000019000000}">
      <text>
        <r>
          <rPr>
            <b/>
            <i/>
            <sz val="9"/>
            <color indexed="81"/>
            <rFont val="Tahoma"/>
            <family val="2"/>
          </rPr>
          <t>Estimated</t>
        </r>
        <r>
          <rPr>
            <b/>
            <sz val="9"/>
            <color indexed="81"/>
            <rFont val="Tahoma"/>
            <family val="2"/>
          </rPr>
          <t xml:space="preserve"> Annual Investment Return:</t>
        </r>
        <r>
          <rPr>
            <sz val="9"/>
            <color indexed="81"/>
            <rFont val="Tahoma"/>
            <family val="2"/>
          </rPr>
          <t xml:space="preserve">
This is an </t>
        </r>
        <r>
          <rPr>
            <i/>
            <sz val="9"/>
            <color indexed="81"/>
            <rFont val="Tahoma"/>
            <family val="2"/>
          </rPr>
          <t>estimate</t>
        </r>
        <r>
          <rPr>
            <sz val="9"/>
            <color indexed="81"/>
            <rFont val="Tahoma"/>
            <family val="2"/>
          </rPr>
          <t xml:space="preserve"> of the increase in your retirement account based on the rates of return you have assumed before and after retirement. Actual returns are impossible to predict accurately.
This is calculated using the FV formula to account for the fact that the contributions are made in equal payments each time you receive your paycheck (the effect of compounding is fairly minimal compared to fluctuations in actual rates of return).</t>
        </r>
      </text>
    </comment>
    <comment ref="K46" authorId="2" shapeId="0" xr:uid="{00000000-0006-0000-0000-00001A000000}">
      <text>
        <r>
          <rPr>
            <sz val="8"/>
            <color indexed="81"/>
            <rFont val="Tahoma"/>
            <family val="2"/>
          </rPr>
          <t xml:space="preserve">Balance at the </t>
        </r>
        <r>
          <rPr>
            <b/>
            <sz val="8"/>
            <color indexed="81"/>
            <rFont val="Tahoma"/>
            <family val="2"/>
          </rPr>
          <t>end of the year</t>
        </r>
        <r>
          <rPr>
            <sz val="8"/>
            <color indexed="81"/>
            <rFont val="Tahoma"/>
            <family val="2"/>
          </rPr>
          <t>.</t>
        </r>
      </text>
    </comment>
  </commentList>
</comments>
</file>

<file path=xl/sharedStrings.xml><?xml version="1.0" encoding="utf-8"?>
<sst xmlns="http://schemas.openxmlformats.org/spreadsheetml/2006/main" count="119" uniqueCount="102">
  <si>
    <t>Balance</t>
  </si>
  <si>
    <t>Current Age</t>
  </si>
  <si>
    <t>Age at Retirement</t>
  </si>
  <si>
    <t>Year</t>
  </si>
  <si>
    <t>Age</t>
  </si>
  <si>
    <t>Annual Increase in Salary</t>
  </si>
  <si>
    <r>
      <t xml:space="preserve">Annual </t>
    </r>
    <r>
      <rPr>
        <sz val="10"/>
        <rFont val="Tahoma"/>
        <family val="2"/>
      </rPr>
      <t>Contribution</t>
    </r>
  </si>
  <si>
    <t>Payments Per Year</t>
  </si>
  <si>
    <t>Return</t>
  </si>
  <si>
    <t>Current Annual Salary</t>
  </si>
  <si>
    <t>HELP</t>
  </si>
  <si>
    <t>Additional Help</t>
  </si>
  <si>
    <t>The link at the top of this worksheet will take you to the web page on vertex42.com that talks about this template.</t>
  </si>
  <si>
    <t>By Vertex42.com</t>
  </si>
  <si>
    <t>Do not submit copies or modifications of this template to any website or online template gallery.</t>
  </si>
  <si>
    <t>Please review the following license agreement to learn how you may or may not use this template. Thank you.</t>
  </si>
  <si>
    <t>This spreadsheet, including all worksheets and associated content is a copyrighted work under the United States and other copyright laws.</t>
  </si>
  <si>
    <t>Retirement Calculator</t>
  </si>
  <si>
    <r>
      <t xml:space="preserve">Payout
</t>
    </r>
    <r>
      <rPr>
        <sz val="10"/>
        <rFont val="Arial"/>
        <family val="2"/>
      </rPr>
      <t>(Withdrawal)</t>
    </r>
  </si>
  <si>
    <t>Annual Inflation</t>
  </si>
  <si>
    <r>
      <t xml:space="preserve">Salary </t>
    </r>
    <r>
      <rPr>
        <sz val="10"/>
        <rFont val="Tahoma"/>
        <family val="2"/>
      </rPr>
      <t>Basis</t>
    </r>
  </si>
  <si>
    <t>Withdrawal Payment Type</t>
  </si>
  <si>
    <r>
      <t xml:space="preserve">Interest
</t>
    </r>
    <r>
      <rPr>
        <sz val="10"/>
        <rFont val="Tahoma"/>
        <family val="2"/>
      </rPr>
      <t>Earned</t>
    </r>
  </si>
  <si>
    <t>Current Retirement Savings</t>
  </si>
  <si>
    <t>• Taxes and IRS Contribution Limits are NOT</t>
  </si>
  <si>
    <t>Notes</t>
  </si>
  <si>
    <r>
      <t xml:space="preserve">Employer </t>
    </r>
    <r>
      <rPr>
        <sz val="10"/>
        <rFont val="Tahoma"/>
        <family val="2"/>
      </rPr>
      <t>Match</t>
    </r>
  </si>
  <si>
    <t>factored into any of these calculations. For example,</t>
  </si>
  <si>
    <t>• Mandatory disbursements and other regulations</t>
  </si>
  <si>
    <r>
      <rPr>
        <b/>
        <sz val="10"/>
        <rFont val="Tahoma"/>
        <family val="2"/>
      </rPr>
      <t>Note:</t>
    </r>
    <r>
      <rPr>
        <sz val="10"/>
        <rFont val="Tahoma"/>
        <family val="2"/>
      </rPr>
      <t xml:space="preserve"> Results are only estimates!</t>
    </r>
  </si>
  <si>
    <t>• Results are only rough estimates, largely because</t>
  </si>
  <si>
    <t>of uncertainty in the rates of return, inflation, future</t>
  </si>
  <si>
    <t>Inflation-Adjusted Salary at Retirement</t>
  </si>
  <si>
    <t>Age When Income Begins</t>
  </si>
  <si>
    <t>Initial Annual Amount</t>
  </si>
  <si>
    <t>Retirement Income</t>
  </si>
  <si>
    <t>Annual Increase</t>
  </si>
  <si>
    <t>Other Retirement Income</t>
  </si>
  <si>
    <t>Retirement Needs</t>
  </si>
  <si>
    <t>are not accounted for.</t>
  </si>
  <si>
    <t>Only edit the cells with the light gray border.</t>
  </si>
  <si>
    <t>Instructions</t>
  </si>
  <si>
    <t>Value of Current Savings at Retirement</t>
  </si>
  <si>
    <t>Return After Retirement</t>
  </si>
  <si>
    <t>Value of Other Income at Retirement</t>
  </si>
  <si>
    <t>Rates and Inflation</t>
  </si>
  <si>
    <t>Current Retirement Savings Balance</t>
  </si>
  <si>
    <t>Shortfall at Retirement</t>
  </si>
  <si>
    <t>Plan Information</t>
  </si>
  <si>
    <t>Total % of Salary to Save to Reach Goal</t>
  </si>
  <si>
    <t>Total Needed to Fund 100% of Retirement</t>
  </si>
  <si>
    <t>Value of Other Assets at Retirement</t>
  </si>
  <si>
    <t>Salary</t>
  </si>
  <si>
    <t>Salary During Retirement (in today's dollars)</t>
  </si>
  <si>
    <t>Additional Annual Savings Needed</t>
  </si>
  <si>
    <t>Value of Current Contributions at Retirement</t>
  </si>
  <si>
    <t>Current Savings Contributions</t>
  </si>
  <si>
    <t>Series 1</t>
  </si>
  <si>
    <t>Series 2</t>
  </si>
  <si>
    <t>[Address, City, ST ZIP]</t>
  </si>
  <si>
    <t>Prepared By:</t>
  </si>
  <si>
    <t>Phone: [Phone]</t>
  </si>
  <si>
    <t>For:</t>
  </si>
  <si>
    <t>Email: [Email]</t>
  </si>
  <si>
    <t>Years Payout Will Last Without Additional Savings</t>
  </si>
  <si>
    <t>• This spreadsheet and its contents should not be</t>
  </si>
  <si>
    <t>construed as professional financial advice. It may not</t>
  </si>
  <si>
    <t>be suitable for your specific situation.</t>
  </si>
  <si>
    <r>
      <rPr>
        <b/>
        <sz val="11"/>
        <color rgb="FF000000"/>
        <rFont val="Arial"/>
        <family val="2"/>
      </rPr>
      <t>Caution:</t>
    </r>
    <r>
      <rPr>
        <sz val="11"/>
        <color rgb="FF000000"/>
        <rFont val="Arial"/>
        <family val="2"/>
      </rPr>
      <t xml:space="preserve"> There are a large number of assumptions and estimations made by this calculator, so be careful how you use and interpret the results. For example, it does not take into account current debt, taxes, large future expenses or disasters, etc.</t>
    </r>
  </si>
  <si>
    <t>This calculator is designed to estimate how much of your salary you may need to contribute towards savings to meet your retirement goal. It was designed based on combining a 401(k) savings calculator with a retirement withdrawal calculator.</t>
  </si>
  <si>
    <t>Read the cell comments to learn more about some of the inputs and outputs.</t>
  </si>
  <si>
    <t>Due to the complexity of retirement planning, you may need to seek help from a certified professional to understand how a calculator like this works and its limitations.</t>
  </si>
  <si>
    <t>this calculator does not take into account whether</t>
  </si>
  <si>
    <t>contributions are pre-tax as in a traditional IRA or</t>
  </si>
  <si>
    <t>post-tax as in a ROTH IRA.</t>
  </si>
  <si>
    <t>salary, willpower to continue saving, unexpected life</t>
  </si>
  <si>
    <t>events, and other assumptions.</t>
  </si>
  <si>
    <t>LOGO</t>
  </si>
  <si>
    <t>Est. Inv. Return</t>
  </si>
  <si>
    <t>◄ Unhide rows 3-6 for a "Prepared By" header</t>
  </si>
  <si>
    <t>https://www.vertex42.com/Calculators/retirement-calculator.html</t>
  </si>
  <si>
    <t>https://www.vertex42.com/licensing/EULA_personaluse.html</t>
  </si>
  <si>
    <t>Do not delete this worksheet</t>
  </si>
  <si>
    <t>License Agreement</t>
  </si>
  <si>
    <t>More Financial Calculators</t>
  </si>
  <si>
    <t>% of Salary Saved</t>
  </si>
  <si>
    <t>Max Employee % Contribution</t>
  </si>
  <si>
    <t>My Annual Contribution</t>
  </si>
  <si>
    <t>Employer's Annual Contribution</t>
  </si>
  <si>
    <t>Total Annual Contribution</t>
  </si>
  <si>
    <t>© 2015-2020 Vertex42 LLC</t>
  </si>
  <si>
    <t>Like this? Revisit the page and use a social share button.</t>
  </si>
  <si>
    <t>About this Template</t>
  </si>
  <si>
    <t>Related Templates and Resources</t>
  </si>
  <si>
    <t>Years to Pay Out After Retire.</t>
  </si>
  <si>
    <t>Years to Invest Before Retire.</t>
  </si>
  <si>
    <t>Return Before Retirement</t>
  </si>
  <si>
    <t>Employer 401(k) Match</t>
  </si>
  <si>
    <t>Years of Retirement Income</t>
  </si>
  <si>
    <t>Other Assets (Lump-sum Pension, Sellable Real Estate)</t>
  </si>
  <si>
    <t>• By default, interest is compounded annually and the</t>
  </si>
  <si>
    <t>payout is withdrawn at the beginning of the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</si>
</sst>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quot;$&quot;* #,##0.00;&quot;$&quot;* \-#,##0.00;&quot;$&quot;* &quot;-&quot;??;@"/>
    <numFmt numFmtId="165" formatCode="0.00000"/>
    <numFmt numFmtId="166" formatCode="#,##0.0_);\(#,##0.0\)"/>
    <numFmt numFmtId="167" formatCode="#,##0_);[Color10]\(#,##0\)"/>
  </numFmts>
  <fonts count="48" x14ac:knownFonts="1">
    <font>
      <sz val="10"/>
      <name val="Tahoma"/>
      <family val="2"/>
    </font>
    <font>
      <sz val="10"/>
      <name val="Arial"/>
      <family val="2"/>
    </font>
    <font>
      <sz val="8"/>
      <name val="Arial"/>
      <family val="2"/>
    </font>
    <font>
      <b/>
      <sz val="10"/>
      <name val="Tahoma"/>
      <family val="2"/>
    </font>
    <font>
      <sz val="10"/>
      <name val="Tahoma"/>
      <family val="2"/>
    </font>
    <font>
      <sz val="8"/>
      <name val="Tahoma"/>
      <family val="2"/>
    </font>
    <font>
      <sz val="8"/>
      <color indexed="81"/>
      <name val="Tahoma"/>
      <family val="2"/>
    </font>
    <font>
      <b/>
      <sz val="8"/>
      <color indexed="81"/>
      <name val="Tahoma"/>
      <family val="2"/>
    </font>
    <font>
      <sz val="11"/>
      <name val="Tahoma"/>
      <family val="2"/>
    </font>
    <font>
      <b/>
      <sz val="12"/>
      <color indexed="9"/>
      <name val="Tahoma"/>
      <family val="2"/>
    </font>
    <font>
      <i/>
      <sz val="8"/>
      <name val="Tahoma"/>
      <family val="2"/>
    </font>
    <font>
      <b/>
      <i/>
      <sz val="10"/>
      <color indexed="23"/>
      <name val="Tahoma"/>
      <family val="2"/>
    </font>
    <font>
      <b/>
      <sz val="18"/>
      <color theme="0"/>
      <name val="Arial"/>
      <family val="2"/>
    </font>
    <font>
      <b/>
      <sz val="10"/>
      <color theme="4" tint="-0.249977111117893"/>
      <name val="Tahoma"/>
      <family val="2"/>
    </font>
    <font>
      <sz val="8"/>
      <color theme="0" tint="-0.499984740745262"/>
      <name val="Arial"/>
      <family val="2"/>
    </font>
    <font>
      <sz val="11"/>
      <name val="Arial"/>
      <family val="2"/>
    </font>
    <font>
      <sz val="11"/>
      <color rgb="FF000000"/>
      <name val="Arial"/>
      <family val="2"/>
    </font>
    <font>
      <sz val="10"/>
      <color indexed="12"/>
      <name val="Arial"/>
      <family val="2"/>
    </font>
    <font>
      <b/>
      <sz val="12"/>
      <name val="Arial"/>
      <family val="2"/>
    </font>
    <font>
      <sz val="10"/>
      <name val="Calibri"/>
      <family val="2"/>
      <scheme val="minor"/>
    </font>
    <font>
      <b/>
      <sz val="10"/>
      <name val="Arial"/>
      <family val="2"/>
    </font>
    <font>
      <u/>
      <sz val="11"/>
      <color indexed="12"/>
      <name val="Arial"/>
      <family val="2"/>
    </font>
    <font>
      <sz val="12"/>
      <name val="Arial"/>
      <family val="2"/>
    </font>
    <font>
      <sz val="11"/>
      <color rgb="FF000000"/>
      <name val="Tahoma"/>
      <family val="2"/>
    </font>
    <font>
      <b/>
      <sz val="11"/>
      <color rgb="FF000000"/>
      <name val="Arial"/>
      <family val="2"/>
    </font>
    <font>
      <b/>
      <sz val="12"/>
      <name val="Tahoma"/>
      <family val="2"/>
    </font>
    <font>
      <b/>
      <i/>
      <sz val="10"/>
      <name val="Tahoma"/>
      <family val="2"/>
    </font>
    <font>
      <b/>
      <sz val="11"/>
      <name val="Tahoma"/>
      <family val="2"/>
    </font>
    <font>
      <b/>
      <i/>
      <sz val="10"/>
      <color theme="5"/>
      <name val="Tahoma"/>
      <family val="2"/>
    </font>
    <font>
      <i/>
      <sz val="10"/>
      <color theme="4" tint="-0.499984740745262"/>
      <name val="Tahoma"/>
      <family val="2"/>
    </font>
    <font>
      <i/>
      <sz val="10"/>
      <color theme="5" tint="-0.499984740745262"/>
      <name val="Tahoma"/>
      <family val="2"/>
    </font>
    <font>
      <sz val="10"/>
      <color theme="1" tint="0.499984740745262"/>
      <name val="Tahoma"/>
      <family val="2"/>
    </font>
    <font>
      <sz val="11"/>
      <color theme="1" tint="0.499984740745262"/>
      <name val="Tahoma"/>
      <family val="2"/>
    </font>
    <font>
      <i/>
      <sz val="10"/>
      <color rgb="FFFF0000"/>
      <name val="Tahoma"/>
      <family val="2"/>
    </font>
    <font>
      <sz val="10"/>
      <color theme="4" tint="-0.249977111117893"/>
      <name val="Tahoma"/>
      <family val="2"/>
    </font>
    <font>
      <u/>
      <sz val="12"/>
      <color indexed="12"/>
      <name val="Arial"/>
      <family val="2"/>
    </font>
    <font>
      <u/>
      <sz val="10"/>
      <color indexed="12"/>
      <name val="Arial"/>
      <family val="2"/>
    </font>
    <font>
      <sz val="12"/>
      <color theme="1"/>
      <name val="Arial"/>
      <family val="2"/>
    </font>
    <font>
      <b/>
      <sz val="9"/>
      <color indexed="81"/>
      <name val="Tahoma"/>
      <family val="2"/>
    </font>
    <font>
      <sz val="9"/>
      <color indexed="81"/>
      <name val="Tahoma"/>
      <family val="2"/>
    </font>
    <font>
      <sz val="10"/>
      <color theme="4" tint="-0.499984740745262"/>
      <name val="Tahoma"/>
      <family val="2"/>
    </font>
    <font>
      <b/>
      <sz val="10"/>
      <color theme="6" tint="-0.249977111117893"/>
      <name val="Tahoma"/>
      <family val="2"/>
    </font>
    <font>
      <sz val="18"/>
      <color theme="0"/>
      <name val="Arial"/>
      <family val="2"/>
    </font>
    <font>
      <b/>
      <sz val="12"/>
      <color rgb="FF234372"/>
      <name val="Arial"/>
      <family val="2"/>
    </font>
    <font>
      <sz val="12"/>
      <color rgb="FF234372"/>
      <name val="Arial"/>
      <family val="2"/>
    </font>
    <font>
      <sz val="14"/>
      <color rgb="FF234372"/>
      <name val="Arial"/>
      <family val="2"/>
    </font>
    <font>
      <b/>
      <i/>
      <sz val="9"/>
      <color indexed="81"/>
      <name val="Tahoma"/>
      <family val="2"/>
    </font>
    <font>
      <i/>
      <sz val="9"/>
      <color indexed="81"/>
      <name val="Tahoma"/>
      <family val="2"/>
    </font>
  </fonts>
  <fills count="1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3464AB"/>
        <bgColor indexed="64"/>
      </patternFill>
    </fill>
    <fill>
      <patternFill patternType="solid">
        <fgColor rgb="FFDEE8F5"/>
        <bgColor indexed="64"/>
      </patternFill>
    </fill>
  </fills>
  <borders count="9">
    <border>
      <left/>
      <right/>
      <top/>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right/>
      <top/>
      <bottom style="medium">
        <color theme="4" tint="0.39994506668294322"/>
      </bottom>
      <diagonal/>
    </border>
    <border>
      <left/>
      <right/>
      <top/>
      <bottom style="medium">
        <color theme="4"/>
      </bottom>
      <diagonal/>
    </border>
    <border>
      <left/>
      <right/>
      <top/>
      <bottom style="thin">
        <color theme="4"/>
      </bottom>
      <diagonal/>
    </border>
    <border>
      <left/>
      <right/>
      <top/>
      <bottom style="medium">
        <color theme="5" tint="0.39994506668294322"/>
      </bottom>
      <diagonal/>
    </border>
    <border>
      <left/>
      <right/>
      <top/>
      <bottom style="thin">
        <color indexed="55"/>
      </bottom>
      <diagonal/>
    </border>
    <border>
      <left/>
      <right/>
      <top/>
      <bottom style="thin">
        <color rgb="FF3464AB"/>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36" fillId="0" borderId="0" applyNumberFormat="0" applyFill="0" applyBorder="0" applyAlignment="0" applyProtection="0">
      <alignment vertical="top"/>
      <protection locked="0"/>
    </xf>
    <xf numFmtId="9" fontId="1" fillId="0" borderId="0" applyFont="0" applyFill="0" applyBorder="0" applyAlignment="0" applyProtection="0"/>
  </cellStyleXfs>
  <cellXfs count="105">
    <xf numFmtId="0" fontId="0" fillId="0" borderId="0" xfId="0"/>
    <xf numFmtId="8" fontId="0" fillId="0" borderId="0" xfId="0" applyNumberFormat="1" applyAlignment="1">
      <alignment horizontal="center"/>
    </xf>
    <xf numFmtId="0" fontId="36" fillId="0" borderId="0" xfId="3" applyAlignment="1" applyProtection="1">
      <alignment horizontal="left"/>
    </xf>
    <xf numFmtId="0" fontId="3" fillId="0" borderId="0" xfId="0" applyFont="1"/>
    <xf numFmtId="0" fontId="5" fillId="0" borderId="0" xfId="0" applyFont="1" applyAlignment="1">
      <alignment horizontal="center"/>
    </xf>
    <xf numFmtId="10" fontId="5" fillId="0" borderId="0" xfId="4" applyNumberFormat="1" applyFont="1" applyAlignment="1">
      <alignment horizontal="center"/>
    </xf>
    <xf numFmtId="3" fontId="10" fillId="0" borderId="0" xfId="1" applyNumberFormat="1" applyFont="1" applyAlignment="1">
      <alignment horizontal="right"/>
    </xf>
    <xf numFmtId="3" fontId="5" fillId="0" borderId="0" xfId="1" applyNumberFormat="1" applyFont="1" applyAlignment="1">
      <alignment horizontal="right"/>
    </xf>
    <xf numFmtId="4" fontId="5" fillId="0" borderId="0" xfId="1" applyNumberFormat="1" applyFont="1" applyAlignment="1">
      <alignment horizontal="right"/>
    </xf>
    <xf numFmtId="0" fontId="12" fillId="4" borderId="0" xfId="0" applyFont="1" applyFill="1" applyAlignment="1">
      <alignment vertical="center"/>
    </xf>
    <xf numFmtId="0" fontId="0" fillId="2" borderId="0" xfId="0" applyFill="1"/>
    <xf numFmtId="0" fontId="4" fillId="2" borderId="0" xfId="0" applyFont="1" applyFill="1" applyAlignment="1">
      <alignment horizontal="right" vertical="center" indent="1"/>
    </xf>
    <xf numFmtId="0" fontId="5" fillId="2" borderId="0" xfId="0" applyFont="1" applyFill="1" applyAlignment="1">
      <alignment horizontal="center"/>
    </xf>
    <xf numFmtId="44" fontId="5" fillId="2" borderId="0" xfId="2" applyFont="1" applyFill="1" applyAlignment="1">
      <alignment horizontal="center"/>
    </xf>
    <xf numFmtId="164" fontId="5" fillId="2" borderId="0" xfId="2" applyNumberFormat="1" applyFont="1" applyFill="1" applyAlignment="1">
      <alignment horizontal="center"/>
    </xf>
    <xf numFmtId="0" fontId="3" fillId="3" borderId="4" xfId="0" applyFont="1" applyFill="1" applyBorder="1" applyAlignment="1">
      <alignment horizontal="center" wrapText="1"/>
    </xf>
    <xf numFmtId="0" fontId="3" fillId="3" borderId="4" xfId="0" applyFont="1" applyFill="1" applyBorder="1" applyAlignment="1">
      <alignment horizontal="right" wrapText="1"/>
    </xf>
    <xf numFmtId="10" fontId="8" fillId="0" borderId="2" xfId="4" applyNumberFormat="1" applyFont="1" applyBorder="1" applyAlignment="1" applyProtection="1">
      <alignment horizontal="right"/>
      <protection locked="0"/>
    </xf>
    <xf numFmtId="0" fontId="13" fillId="0" borderId="5" xfId="0" applyFont="1" applyBorder="1"/>
    <xf numFmtId="0" fontId="14" fillId="0" borderId="0" xfId="0" applyFont="1" applyAlignment="1">
      <alignment horizontal="right"/>
    </xf>
    <xf numFmtId="0" fontId="16" fillId="0" borderId="0" xfId="0" applyFont="1" applyAlignment="1">
      <alignment horizontal="left" vertical="top" wrapText="1" readingOrder="1"/>
    </xf>
    <xf numFmtId="0" fontId="17" fillId="0" borderId="0" xfId="0" applyFont="1"/>
    <xf numFmtId="0" fontId="15" fillId="0" borderId="0" xfId="0" applyFont="1" applyAlignment="1">
      <alignment horizontal="right" vertical="top"/>
    </xf>
    <xf numFmtId="0" fontId="15" fillId="0" borderId="0" xfId="0" applyFont="1" applyAlignment="1">
      <alignment vertical="top" wrapText="1"/>
    </xf>
    <xf numFmtId="0" fontId="19" fillId="0" borderId="0" xfId="0" applyFont="1"/>
    <xf numFmtId="0" fontId="20" fillId="0" borderId="0" xfId="0" applyFont="1"/>
    <xf numFmtId="0" fontId="15" fillId="0" borderId="0" xfId="0" applyFont="1"/>
    <xf numFmtId="0" fontId="23" fillId="0" borderId="0" xfId="0" applyFont="1" applyAlignment="1">
      <alignment horizontal="left" vertical="center" wrapText="1" readingOrder="1"/>
    </xf>
    <xf numFmtId="0" fontId="24" fillId="0" borderId="0" xfId="0" applyFont="1" applyAlignment="1">
      <alignment horizontal="left" vertical="top" wrapText="1" readingOrder="1"/>
    </xf>
    <xf numFmtId="0" fontId="1" fillId="0" borderId="0" xfId="0" applyFont="1"/>
    <xf numFmtId="0" fontId="1" fillId="0" borderId="0" xfId="0" applyFont="1" applyAlignment="1">
      <alignment vertical="top"/>
    </xf>
    <xf numFmtId="43" fontId="1" fillId="0" borderId="0" xfId="0" applyNumberFormat="1" applyFont="1"/>
    <xf numFmtId="0" fontId="0" fillId="2" borderId="0" xfId="0" applyFill="1" applyAlignment="1">
      <alignment horizontal="right" vertical="center" indent="1"/>
    </xf>
    <xf numFmtId="0" fontId="20" fillId="3" borderId="4" xfId="0" applyFont="1" applyFill="1" applyBorder="1" applyAlignment="1">
      <alignment horizontal="center" wrapText="1"/>
    </xf>
    <xf numFmtId="0" fontId="0" fillId="7" borderId="0" xfId="0" applyFill="1"/>
    <xf numFmtId="8" fontId="0" fillId="0" borderId="0" xfId="0" applyNumberFormat="1" applyAlignment="1">
      <alignment horizontal="left"/>
    </xf>
    <xf numFmtId="10" fontId="0" fillId="0" borderId="0" xfId="4" applyNumberFormat="1" applyFont="1"/>
    <xf numFmtId="0" fontId="9" fillId="4" borderId="3" xfId="0" applyFont="1" applyFill="1" applyBorder="1" applyAlignment="1">
      <alignment vertical="center"/>
    </xf>
    <xf numFmtId="0" fontId="25" fillId="0" borderId="0" xfId="0" applyFont="1" applyAlignment="1">
      <alignment vertical="center"/>
    </xf>
    <xf numFmtId="37" fontId="8" fillId="0" borderId="1" xfId="2" applyNumberFormat="1" applyFont="1" applyBorder="1" applyAlignment="1" applyProtection="1">
      <alignment horizontal="right" vertical="center"/>
      <protection locked="0"/>
    </xf>
    <xf numFmtId="37" fontId="8" fillId="5" borderId="0" xfId="2" applyNumberFormat="1" applyFont="1" applyFill="1" applyAlignment="1">
      <alignment horizontal="right" vertical="center"/>
    </xf>
    <xf numFmtId="165" fontId="0" fillId="0" borderId="0" xfId="0" applyNumberFormat="1" applyAlignment="1">
      <alignment horizontal="right"/>
    </xf>
    <xf numFmtId="0" fontId="8" fillId="0" borderId="1" xfId="0" applyFont="1" applyBorder="1" applyAlignment="1" applyProtection="1">
      <alignment horizontal="right" indent="1"/>
      <protection locked="0"/>
    </xf>
    <xf numFmtId="0" fontId="0" fillId="3" borderId="4" xfId="0" applyFill="1" applyBorder="1" applyAlignment="1">
      <alignment horizontal="center" wrapText="1"/>
    </xf>
    <xf numFmtId="44" fontId="0" fillId="0" borderId="0" xfId="0" applyNumberFormat="1"/>
    <xf numFmtId="10" fontId="8" fillId="0" borderId="1" xfId="4" applyNumberFormat="1" applyFont="1" applyBorder="1" applyAlignment="1" applyProtection="1">
      <alignment horizontal="right"/>
      <protection locked="0"/>
    </xf>
    <xf numFmtId="0" fontId="8" fillId="0" borderId="2" xfId="0" applyFont="1" applyBorder="1" applyAlignment="1" applyProtection="1">
      <alignment horizontal="right" indent="1"/>
      <protection locked="0"/>
    </xf>
    <xf numFmtId="0" fontId="0" fillId="5" borderId="0" xfId="0" applyFill="1"/>
    <xf numFmtId="0" fontId="26" fillId="5" borderId="0" xfId="0" applyFont="1" applyFill="1" applyAlignment="1">
      <alignment horizontal="right" vertical="center" indent="1"/>
    </xf>
    <xf numFmtId="0" fontId="0" fillId="5" borderId="0" xfId="0" applyFill="1" applyAlignment="1">
      <alignment horizontal="right" indent="1"/>
    </xf>
    <xf numFmtId="8" fontId="0" fillId="5" borderId="0" xfId="0" applyNumberFormat="1" applyFill="1" applyAlignment="1">
      <alignment horizontal="left"/>
    </xf>
    <xf numFmtId="0" fontId="0" fillId="5" borderId="0" xfId="0" applyFill="1" applyAlignment="1">
      <alignment horizontal="right" vertical="center" indent="1"/>
    </xf>
    <xf numFmtId="37" fontId="8" fillId="2" borderId="0" xfId="2" applyNumberFormat="1" applyFont="1" applyFill="1" applyAlignment="1">
      <alignment horizontal="right" vertical="center"/>
    </xf>
    <xf numFmtId="0" fontId="4" fillId="3" borderId="0" xfId="0" applyFont="1" applyFill="1" applyAlignment="1">
      <alignment horizontal="right" vertical="center" indent="1"/>
    </xf>
    <xf numFmtId="0" fontId="9" fillId="8" borderId="6" xfId="0" applyFont="1" applyFill="1" applyBorder="1" applyAlignment="1">
      <alignment vertical="center"/>
    </xf>
    <xf numFmtId="0" fontId="29" fillId="3" borderId="0" xfId="0" applyFont="1" applyFill="1"/>
    <xf numFmtId="0" fontId="30" fillId="9" borderId="0" xfId="0" applyFont="1" applyFill="1"/>
    <xf numFmtId="0" fontId="11" fillId="9" borderId="0" xfId="0" applyFont="1" applyFill="1" applyAlignment="1">
      <alignment horizontal="right" vertical="center" indent="1"/>
    </xf>
    <xf numFmtId="0" fontId="28" fillId="9" borderId="0" xfId="0" applyFont="1" applyFill="1" applyAlignment="1">
      <alignment horizontal="right" vertical="center" indent="1"/>
    </xf>
    <xf numFmtId="37" fontId="8" fillId="6" borderId="1" xfId="2" applyNumberFormat="1" applyFont="1" applyFill="1" applyBorder="1" applyAlignment="1" applyProtection="1">
      <alignment horizontal="right" vertical="center"/>
      <protection locked="0"/>
    </xf>
    <xf numFmtId="0" fontId="31" fillId="0" borderId="0" xfId="0" applyFont="1"/>
    <xf numFmtId="0" fontId="31" fillId="0" borderId="0" xfId="0" applyFont="1" applyAlignment="1">
      <alignment horizontal="right" vertical="center" indent="1"/>
    </xf>
    <xf numFmtId="0" fontId="32" fillId="0" borderId="0" xfId="0" applyFont="1" applyAlignment="1" applyProtection="1">
      <alignment horizontal="center"/>
      <protection locked="0"/>
    </xf>
    <xf numFmtId="0" fontId="0" fillId="10" borderId="0" xfId="0" applyFill="1"/>
    <xf numFmtId="0" fontId="3" fillId="10" borderId="0" xfId="0" applyFont="1" applyFill="1" applyAlignment="1">
      <alignment horizontal="right" indent="1"/>
    </xf>
    <xf numFmtId="0" fontId="0" fillId="12" borderId="0" xfId="0" applyFill="1"/>
    <xf numFmtId="0" fontId="0" fillId="12" borderId="0" xfId="0" applyFill="1" applyAlignment="1">
      <alignment horizontal="right" indent="1"/>
    </xf>
    <xf numFmtId="10" fontId="0" fillId="12" borderId="0" xfId="4" applyNumberFormat="1" applyFont="1" applyFill="1"/>
    <xf numFmtId="10" fontId="8" fillId="10" borderId="0" xfId="4" applyNumberFormat="1" applyFont="1" applyFill="1" applyAlignment="1">
      <alignment horizontal="right" vertical="center"/>
    </xf>
    <xf numFmtId="0" fontId="0" fillId="0" borderId="0" xfId="0" applyAlignment="1">
      <alignment horizontal="right"/>
    </xf>
    <xf numFmtId="37" fontId="33" fillId="2" borderId="0" xfId="2" applyNumberFormat="1" applyFont="1" applyFill="1" applyAlignment="1">
      <alignment horizontal="right" vertical="center"/>
    </xf>
    <xf numFmtId="166" fontId="8" fillId="10" borderId="0" xfId="2" applyNumberFormat="1" applyFont="1" applyFill="1" applyAlignment="1">
      <alignment horizontal="right" vertical="center"/>
    </xf>
    <xf numFmtId="0" fontId="22" fillId="0" borderId="0" xfId="0" applyFont="1" applyAlignment="1">
      <alignment horizontal="right"/>
    </xf>
    <xf numFmtId="37" fontId="0" fillId="5" borderId="0" xfId="0" applyNumberFormat="1" applyFill="1"/>
    <xf numFmtId="0" fontId="8" fillId="2" borderId="0" xfId="0" applyFont="1" applyFill="1" applyAlignment="1">
      <alignment horizontal="right" indent="1"/>
    </xf>
    <xf numFmtId="0" fontId="4" fillId="0" borderId="0" xfId="0" applyFont="1" applyAlignment="1">
      <alignment horizontal="right" vertical="center" indent="1"/>
    </xf>
    <xf numFmtId="0" fontId="0" fillId="0" borderId="0" xfId="0" applyAlignment="1">
      <alignment horizontal="right" vertical="center" indent="1"/>
    </xf>
    <xf numFmtId="166" fontId="8" fillId="0" borderId="0" xfId="2" applyNumberFormat="1" applyFont="1" applyAlignment="1">
      <alignment horizontal="right" vertical="center"/>
    </xf>
    <xf numFmtId="0" fontId="34" fillId="0" borderId="0" xfId="0" applyFont="1"/>
    <xf numFmtId="0" fontId="40" fillId="2" borderId="0" xfId="0" applyFont="1" applyFill="1" applyAlignment="1">
      <alignment horizontal="right" vertical="center" indent="1"/>
    </xf>
    <xf numFmtId="0" fontId="41" fillId="0" borderId="0" xfId="0" applyFont="1" applyAlignment="1">
      <alignment horizontal="right"/>
    </xf>
    <xf numFmtId="167" fontId="27" fillId="11" borderId="0" xfId="2" applyNumberFormat="1" applyFont="1" applyFill="1" applyAlignment="1">
      <alignment horizontal="right" vertical="center"/>
    </xf>
    <xf numFmtId="167" fontId="8" fillId="10" borderId="0" xfId="2" applyNumberFormat="1" applyFont="1" applyFill="1" applyAlignment="1">
      <alignment horizontal="right" vertical="center"/>
    </xf>
    <xf numFmtId="0" fontId="13" fillId="0" borderId="0" xfId="0" applyFont="1"/>
    <xf numFmtId="0" fontId="12" fillId="13" borderId="8" xfId="0" applyFont="1" applyFill="1" applyBorder="1" applyAlignment="1">
      <alignment horizontal="left" vertical="center" indent="1"/>
    </xf>
    <xf numFmtId="0" fontId="12" fillId="13" borderId="8" xfId="0" applyFont="1" applyFill="1" applyBorder="1" applyAlignment="1">
      <alignment horizontal="left" vertical="center"/>
    </xf>
    <xf numFmtId="0" fontId="42" fillId="13" borderId="8" xfId="0" applyFont="1" applyFill="1" applyBorder="1" applyAlignment="1">
      <alignment vertical="center"/>
    </xf>
    <xf numFmtId="0" fontId="0" fillId="0" borderId="0" xfId="0"/>
    <xf numFmtId="0" fontId="1" fillId="6" borderId="0" xfId="0" applyFont="1" applyFill="1"/>
    <xf numFmtId="0" fontId="22" fillId="6" borderId="0" xfId="0" applyFont="1" applyFill="1" applyAlignment="1">
      <alignment horizontal="left" wrapText="1" indent="1"/>
    </xf>
    <xf numFmtId="0" fontId="15" fillId="6" borderId="0" xfId="0" applyFont="1" applyFill="1"/>
    <xf numFmtId="0" fontId="22" fillId="6" borderId="0" xfId="0" applyFont="1" applyFill="1"/>
    <xf numFmtId="0" fontId="36" fillId="6" borderId="0" xfId="3" applyFill="1" applyAlignment="1" applyProtection="1">
      <alignment horizontal="left" wrapText="1"/>
    </xf>
    <xf numFmtId="0" fontId="22" fillId="6" borderId="0" xfId="0" applyFont="1" applyFill="1" applyAlignment="1">
      <alignment horizontal="left" wrapText="1"/>
    </xf>
    <xf numFmtId="0" fontId="18" fillId="6" borderId="0" xfId="0" applyFont="1" applyFill="1" applyAlignment="1">
      <alignment horizontal="left" wrapText="1"/>
    </xf>
    <xf numFmtId="0" fontId="22" fillId="6" borderId="0" xfId="0" applyFont="1" applyFill="1" applyAlignment="1">
      <alignment horizontal="left"/>
    </xf>
    <xf numFmtId="0" fontId="37" fillId="6" borderId="0" xfId="0" applyFont="1" applyFill="1" applyAlignment="1">
      <alignment horizontal="left" wrapText="1"/>
    </xf>
    <xf numFmtId="0" fontId="1" fillId="0" borderId="0" xfId="0" applyFont="1"/>
    <xf numFmtId="0" fontId="35" fillId="6" borderId="0" xfId="3" applyFont="1" applyFill="1" applyAlignment="1" applyProtection="1">
      <alignment horizontal="left" wrapText="1"/>
    </xf>
    <xf numFmtId="0" fontId="12" fillId="13" borderId="8" xfId="0" applyFont="1" applyFill="1" applyBorder="1" applyAlignment="1">
      <alignment horizontal="left" vertical="center"/>
    </xf>
    <xf numFmtId="0" fontId="43" fillId="14" borderId="0" xfId="0" applyFont="1" applyFill="1" applyAlignment="1">
      <alignment vertical="center"/>
    </xf>
    <xf numFmtId="0" fontId="44" fillId="14" borderId="0" xfId="0" applyFont="1" applyFill="1" applyAlignment="1">
      <alignment vertical="center"/>
    </xf>
    <xf numFmtId="0" fontId="45" fillId="14" borderId="0" xfId="0" applyFont="1" applyFill="1" applyAlignment="1">
      <alignment vertical="center"/>
    </xf>
    <xf numFmtId="0" fontId="21" fillId="0" borderId="0" xfId="3" applyFont="1" applyFill="1" applyAlignment="1" applyProtection="1"/>
    <xf numFmtId="0" fontId="1" fillId="0" borderId="7" xfId="0" applyFont="1" applyBorder="1" applyAlignment="1">
      <alignment horizontal="left"/>
    </xf>
  </cellXfs>
  <cellStyles count="5">
    <cellStyle name="Comma" xfId="1" builtinId="3"/>
    <cellStyle name="Currency" xfId="2" builtinId="4"/>
    <cellStyle name="Hyperlink" xfId="3" builtinId="8" customBuiltin="1"/>
    <cellStyle name="Normal" xfId="0" builtinId="0"/>
    <cellStyle name="Percent" xfId="4" builtinId="5"/>
  </cellStyles>
  <dxfs count="6">
    <dxf>
      <font>
        <b/>
        <i val="0"/>
        <color theme="0"/>
      </font>
      <fill>
        <patternFill>
          <bgColor rgb="FFFF5050"/>
        </patternFill>
      </fill>
    </dxf>
    <dxf>
      <font>
        <color theme="0"/>
      </font>
      <fill>
        <patternFill>
          <bgColor rgb="FFFF5050"/>
        </patternFill>
      </fill>
    </dxf>
    <dxf>
      <font>
        <condense val="0"/>
        <extend val="0"/>
        <color indexed="55"/>
      </font>
      <fill>
        <patternFill>
          <bgColor indexed="22"/>
        </patternFill>
      </fill>
    </dxf>
    <dxf>
      <fill>
        <patternFill>
          <bgColor indexed="22"/>
        </patternFill>
      </fill>
    </dxf>
    <dxf>
      <font>
        <condense val="0"/>
        <extend val="0"/>
        <color indexed="22"/>
      </font>
    </dxf>
    <dxf>
      <font>
        <condense val="0"/>
        <extend val="0"/>
        <color indexed="55"/>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Retirement Savings Balance</a:t>
            </a:r>
          </a:p>
        </c:rich>
      </c:tx>
      <c:layout>
        <c:manualLayout>
          <c:xMode val="edge"/>
          <c:yMode val="edge"/>
          <c:x val="0.16970482090473984"/>
          <c:y val="3.4364261168384883E-2"/>
        </c:manualLayout>
      </c:layout>
      <c:overlay val="0"/>
    </c:title>
    <c:autoTitleDeleted val="0"/>
    <c:plotArea>
      <c:layout>
        <c:manualLayout>
          <c:layoutTarget val="inner"/>
          <c:xMode val="edge"/>
          <c:yMode val="edge"/>
          <c:x val="0.13525358962482634"/>
          <c:y val="5.9373055172227185E-2"/>
          <c:w val="0.82115980906798414"/>
          <c:h val="0.79250931262458169"/>
        </c:manualLayout>
      </c:layout>
      <c:scatterChart>
        <c:scatterStyle val="lineMarker"/>
        <c:varyColors val="0"/>
        <c:ser>
          <c:idx val="0"/>
          <c:order val="0"/>
          <c:tx>
            <c:strRef>
              <c:f>Retirement!$E$40</c:f>
              <c:strCache>
                <c:ptCount val="1"/>
                <c:pt idx="0">
                  <c:v>Goal: Saving 35.35% of Salary</c:v>
                </c:pt>
              </c:strCache>
            </c:strRef>
          </c:tx>
          <c:spPr>
            <a:ln w="25400">
              <a:solidFill>
                <a:srgbClr val="000080"/>
              </a:solidFill>
              <a:prstDash val="solid"/>
            </a:ln>
          </c:spPr>
          <c:marker>
            <c:symbol val="none"/>
          </c:marker>
          <c:errBars>
            <c:errDir val="y"/>
            <c:errBarType val="minus"/>
            <c:errValType val="percentage"/>
            <c:noEndCap val="1"/>
            <c:val val="100"/>
            <c:spPr>
              <a:ln w="38100" cmpd="sng">
                <a:solidFill>
                  <a:schemeClr val="accent1">
                    <a:lumMod val="40000"/>
                    <a:lumOff val="60000"/>
                  </a:schemeClr>
                </a:solidFill>
              </a:ln>
            </c:spPr>
          </c:errBars>
          <c:xVal>
            <c:numRef>
              <c:f>Retirement!$B$48:$B$122</c:f>
              <c:numCache>
                <c:formatCode>General</c:formatCode>
                <c:ptCount val="7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pt idx="56">
                  <c:v>81</c:v>
                </c:pt>
                <c:pt idx="57">
                  <c:v>82</c:v>
                </c:pt>
                <c:pt idx="58">
                  <c:v>83</c:v>
                </c:pt>
                <c:pt idx="59">
                  <c:v>84</c:v>
                </c:pt>
                <c:pt idx="60">
                  <c:v>85</c:v>
                </c:pt>
                <c:pt idx="61">
                  <c:v>86</c:v>
                </c:pt>
                <c:pt idx="62">
                  <c:v>87</c:v>
                </c:pt>
                <c:pt idx="63">
                  <c:v>88</c:v>
                </c:pt>
                <c:pt idx="64">
                  <c:v>89</c:v>
                </c:pt>
                <c:pt idx="65">
                  <c:v>#N/A</c:v>
                </c:pt>
                <c:pt idx="66">
                  <c:v>#N/A</c:v>
                </c:pt>
                <c:pt idx="67">
                  <c:v>#N/A</c:v>
                </c:pt>
                <c:pt idx="68">
                  <c:v>#N/A</c:v>
                </c:pt>
                <c:pt idx="69">
                  <c:v>#N/A</c:v>
                </c:pt>
                <c:pt idx="70">
                  <c:v>#N/A</c:v>
                </c:pt>
                <c:pt idx="71">
                  <c:v>#N/A</c:v>
                </c:pt>
                <c:pt idx="72">
                  <c:v>#N/A</c:v>
                </c:pt>
                <c:pt idx="73">
                  <c:v>#N/A</c:v>
                </c:pt>
                <c:pt idx="74">
                  <c:v>#N/A</c:v>
                </c:pt>
              </c:numCache>
            </c:numRef>
          </c:xVal>
          <c:yVal>
            <c:numRef>
              <c:f>Retirement!$K$48:$K$122</c:f>
              <c:numCache>
                <c:formatCode>#,##0.00</c:formatCode>
                <c:ptCount val="75"/>
                <c:pt idx="0">
                  <c:v>40372.998726394566</c:v>
                </c:pt>
                <c:pt idx="1">
                  <c:v>62351.837350900707</c:v>
                </c:pt>
                <c:pt idx="2">
                  <c:v>86040.535466895657</c:v>
                </c:pt>
                <c:pt idx="3">
                  <c:v>111549.50722734912</c:v>
                </c:pt>
                <c:pt idx="4">
                  <c:v>138995.9480860786</c:v>
                </c:pt>
                <c:pt idx="5">
                  <c:v>168504.24480483364</c:v>
                </c:pt>
                <c:pt idx="6">
                  <c:v>200206.41012338578</c:v>
                </c:pt>
                <c:pt idx="7">
                  <c:v>234242.54357365629</c:v>
                </c:pt>
                <c:pt idx="8">
                  <c:v>270761.32000780036</c:v>
                </c:pt>
                <c:pt idx="9">
                  <c:v>309920.50750438758</c:v>
                </c:pt>
                <c:pt idx="10">
                  <c:v>351887.51641669241</c:v>
                </c:pt>
                <c:pt idx="11">
                  <c:v>396839.98143297638</c:v>
                </c:pt>
                <c:pt idx="12">
                  <c:v>444966.37863086304</c:v>
                </c:pt>
                <c:pt idx="13">
                  <c:v>496466.67962686106</c:v>
                </c:pt>
                <c:pt idx="14">
                  <c:v>551553.0450481819</c:v>
                </c:pt>
                <c:pt idx="15">
                  <c:v>610450.55968765612</c:v>
                </c:pt>
                <c:pt idx="16">
                  <c:v>673398.01184423058</c:v>
                </c:pt>
                <c:pt idx="17">
                  <c:v>740648.71950170572</c:v>
                </c:pt>
                <c:pt idx="18">
                  <c:v>812471.40615756589</c:v>
                </c:pt>
                <c:pt idx="19">
                  <c:v>889151.1292824928</c:v>
                </c:pt>
                <c:pt idx="20">
                  <c:v>970990.26457002468</c:v>
                </c:pt>
                <c:pt idx="21">
                  <c:v>1058309.5493254203</c:v>
                </c:pt>
                <c:pt idx="22">
                  <c:v>1151449.1885437635</c:v>
                </c:pt>
                <c:pt idx="23">
                  <c:v>1250770.0274403836</c:v>
                </c:pt>
                <c:pt idx="24">
                  <c:v>1356654.7944224805</c:v>
                </c:pt>
                <c:pt idx="25">
                  <c:v>1469509.418730217</c:v>
                </c:pt>
                <c:pt idx="26">
                  <c:v>1589764.4272292654</c:v>
                </c:pt>
                <c:pt idx="27">
                  <c:v>1717876.4251057615</c:v>
                </c:pt>
                <c:pt idx="28">
                  <c:v>1854329.6654997021</c:v>
                </c:pt>
                <c:pt idx="29">
                  <c:v>1999637.7134150311</c:v>
                </c:pt>
                <c:pt idx="30">
                  <c:v>2154345.2095649866</c:v>
                </c:pt>
                <c:pt idx="31">
                  <c:v>2319029.740150841</c:v>
                </c:pt>
                <c:pt idx="32">
                  <c:v>2494303.8189320853</c:v>
                </c:pt>
                <c:pt idx="33">
                  <c:v>2680816.9883276485</c:v>
                </c:pt>
                <c:pt idx="34">
                  <c:v>2879258.0466921381</c:v>
                </c:pt>
                <c:pt idx="35">
                  <c:v>3090357.409339794</c:v>
                </c:pt>
                <c:pt idx="36">
                  <c:v>3314889.6113432311</c:v>
                </c:pt>
                <c:pt idx="37">
                  <c:v>3553675.9606157355</c:v>
                </c:pt>
                <c:pt idx="38">
                  <c:v>3807587.3502964284</c:v>
                </c:pt>
                <c:pt idx="39">
                  <c:v>4077547.2399988379</c:v>
                </c:pt>
                <c:pt idx="40">
                  <c:v>4031878.7109108502</c:v>
                </c:pt>
                <c:pt idx="41">
                  <c:v>3979800.277561585</c:v>
                </c:pt>
                <c:pt idx="42">
                  <c:v>3920968.4473715443</c:v>
                </c:pt>
                <c:pt idx="43">
                  <c:v>3855024.8871202953</c:v>
                </c:pt>
                <c:pt idx="44">
                  <c:v>3781595.8416513372</c:v>
                </c:pt>
                <c:pt idx="45">
                  <c:v>3700291.5310558337</c:v>
                </c:pt>
                <c:pt idx="46">
                  <c:v>3610705.5255671134</c:v>
                </c:pt>
                <c:pt idx="47">
                  <c:v>3512414.0973711195</c:v>
                </c:pt>
                <c:pt idx="48">
                  <c:v>3404975.5485103559</c:v>
                </c:pt>
                <c:pt idx="49">
                  <c:v>3287929.5140303122</c:v>
                </c:pt>
                <c:pt idx="50">
                  <c:v>3160796.2394878063</c:v>
                </c:pt>
                <c:pt idx="51">
                  <c:v>3023075.8319101231</c:v>
                </c:pt>
                <c:pt idx="52">
                  <c:v>2874247.48326224</c:v>
                </c:pt>
                <c:pt idx="53">
                  <c:v>2713768.6654467648</c:v>
                </c:pt>
                <c:pt idx="54">
                  <c:v>2541074.2958274251</c:v>
                </c:pt>
                <c:pt idx="55">
                  <c:v>2355575.8722320227</c:v>
                </c:pt>
                <c:pt idx="56">
                  <c:v>2156660.5763546517</c:v>
                </c:pt>
                <c:pt idx="57">
                  <c:v>1943690.3444396292</c:v>
                </c:pt>
                <c:pt idx="58">
                  <c:v>1716000.9040909866</c:v>
                </c:pt>
                <c:pt idx="59">
                  <c:v>1472900.7760114297</c:v>
                </c:pt>
                <c:pt idx="60">
                  <c:v>1213670.2394334176</c:v>
                </c:pt>
                <c:pt idx="61">
                  <c:v>937560.25996231439</c:v>
                </c:pt>
                <c:pt idx="62">
                  <c:v>643791.37850745488</c:v>
                </c:pt>
                <c:pt idx="63">
                  <c:v>331552.55993133772</c:v>
                </c:pt>
                <c:pt idx="64">
                  <c:v>-3.2014213502407074E-9</c:v>
                </c:pt>
                <c:pt idx="65">
                  <c:v>#N/A</c:v>
                </c:pt>
                <c:pt idx="66">
                  <c:v>#N/A</c:v>
                </c:pt>
                <c:pt idx="67">
                  <c:v>#N/A</c:v>
                </c:pt>
                <c:pt idx="68">
                  <c:v>#N/A</c:v>
                </c:pt>
                <c:pt idx="69">
                  <c:v>#N/A</c:v>
                </c:pt>
                <c:pt idx="70">
                  <c:v>#N/A</c:v>
                </c:pt>
                <c:pt idx="71">
                  <c:v>#N/A</c:v>
                </c:pt>
                <c:pt idx="72">
                  <c:v>#N/A</c:v>
                </c:pt>
                <c:pt idx="73">
                  <c:v>#N/A</c:v>
                </c:pt>
                <c:pt idx="74">
                  <c:v>#N/A</c:v>
                </c:pt>
              </c:numCache>
            </c:numRef>
          </c:yVal>
          <c:smooth val="0"/>
          <c:extLst>
            <c:ext xmlns:c16="http://schemas.microsoft.com/office/drawing/2014/chart" uri="{C3380CC4-5D6E-409C-BE32-E72D297353CC}">
              <c16:uniqueId val="{00000000-E941-48F1-84A9-5EDD578CBE79}"/>
            </c:ext>
          </c:extLst>
        </c:ser>
        <c:ser>
          <c:idx val="1"/>
          <c:order val="1"/>
          <c:tx>
            <c:strRef>
              <c:f>Retirement!$E$41</c:f>
              <c:strCache>
                <c:ptCount val="1"/>
                <c:pt idx="0">
                  <c:v>Current: Saving 10% of Salary</c:v>
                </c:pt>
              </c:strCache>
            </c:strRef>
          </c:tx>
          <c:spPr>
            <a:ln w="25400">
              <a:solidFill>
                <a:srgbClr val="C00000"/>
              </a:solidFill>
            </a:ln>
          </c:spPr>
          <c:marker>
            <c:symbol val="none"/>
          </c:marker>
          <c:xVal>
            <c:numRef>
              <c:f>Retirement!$B$129:$B$203</c:f>
              <c:numCache>
                <c:formatCode>General</c:formatCode>
                <c:ptCount val="7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numCache>
            </c:numRef>
          </c:xVal>
          <c:yVal>
            <c:numRef>
              <c:f>Retirement!$K$129:$K$203</c:f>
              <c:numCache>
                <c:formatCode>#,##0.00</c:formatCode>
                <c:ptCount val="75"/>
                <c:pt idx="0">
                  <c:v>27700.000000000007</c:v>
                </c:pt>
                <c:pt idx="1">
                  <c:v>35992.000000000015</c:v>
                </c:pt>
                <c:pt idx="2">
                  <c:v>44914.120000000024</c:v>
                </c:pt>
                <c:pt idx="3">
                  <c:v>54506.819200000034</c:v>
                </c:pt>
                <c:pt idx="4">
                  <c:v>64813.037392000049</c:v>
                </c:pt>
                <c:pt idx="5">
                  <c:v>75878.344856320051</c:v>
                </c:pt>
                <c:pt idx="6">
                  <c:v>87751.101272915272</c:v>
                </c:pt>
                <c:pt idx="7">
                  <c:v>100482.62418901052</c:v>
                </c:pt>
                <c:pt idx="8">
                  <c:v>114127.36761686589</c:v>
                </c:pt>
                <c:pt idx="9">
                  <c:v>128743.11136992289</c:v>
                </c:pt>
                <c:pt idx="10">
                  <c:v>144391.16178208421</c:v>
                </c:pt>
                <c:pt idx="11">
                  <c:v>161136.56449357452</c:v>
                </c:pt>
                <c:pt idx="12">
                  <c:v>179048.33002784554</c:v>
                </c:pt>
                <c:pt idx="13">
                  <c:v>198199.67292746599</c:v>
                </c:pt>
                <c:pt idx="14">
                  <c:v>218668.26526302265</c:v>
                </c:pt>
                <c:pt idx="15">
                  <c:v>240536.50537791086</c:v>
                </c:pt>
                <c:pt idx="16">
                  <c:v>263891.8027836745</c:v>
                </c:pt>
                <c:pt idx="17">
                  <c:v>288826.88017544581</c:v>
                </c:pt>
                <c:pt idx="18">
                  <c:v>315440.09359521832</c:v>
                </c:pt>
                <c:pt idx="19">
                  <c:v>343835.77183236211</c:v>
                </c:pt>
                <c:pt idx="20">
                  <c:v>374124.57621616311</c:v>
                </c:pt>
                <c:pt idx="21">
                  <c:v>406423.88202446944</c:v>
                </c:pt>
                <c:pt idx="22">
                  <c:v>440858.18280598085</c:v>
                </c:pt>
                <c:pt idx="23">
                  <c:v>477559.51899158384</c:v>
                </c:pt>
                <c:pt idx="24">
                  <c:v>516667.9322526679</c:v>
                </c:pt>
                <c:pt idx="25">
                  <c:v>558331.94715184881</c:v>
                </c:pt>
                <c:pt idx="26">
                  <c:v>602709.08172426093</c:v>
                </c:pt>
                <c:pt idx="27">
                  <c:v>649966.38872588379</c:v>
                </c:pt>
                <c:pt idx="28">
                  <c:v>700281.02938956744</c:v>
                </c:pt>
                <c:pt idx="29">
                  <c:v>753840.88163987466</c:v>
                </c:pt>
                <c:pt idx="30">
                  <c:v>810845.18483493908</c:v>
                </c:pt>
                <c:pt idx="31">
                  <c:v>871505.22322764073</c:v>
                </c:pt>
                <c:pt idx="32">
                  <c:v>936045.05046995659</c:v>
                </c:pt>
                <c:pt idx="33">
                  <c:v>1004702.2576237845</c:v>
                </c:pt>
                <c:pt idx="34">
                  <c:v>1077728.7872893545</c:v>
                </c:pt>
                <c:pt idx="35">
                  <c:v>1155391.7966190218</c:v>
                </c:pt>
                <c:pt idx="36">
                  <c:v>1237974.5721503152</c:v>
                </c:pt>
                <c:pt idx="37">
                  <c:v>1325777.4995681692</c:v>
                </c:pt>
                <c:pt idx="38">
                  <c:v>1419119.0916928714</c:v>
                </c:pt>
                <c:pt idx="39">
                  <c:v>1518337.078188068</c:v>
                </c:pt>
                <c:pt idx="40">
                  <c:v>1395892.2442457578</c:v>
                </c:pt>
                <c:pt idx="41">
                  <c:v>1264734.2168965398</c:v>
                </c:pt>
                <c:pt idx="42">
                  <c:v>1124450.4048865475</c:v>
                </c:pt>
                <c:pt idx="43">
                  <c:v>974611.3033607488</c:v>
                </c:pt>
                <c:pt idx="44">
                  <c:v>814769.85037900426</c:v>
                </c:pt>
                <c:pt idx="45">
                  <c:v>644460.76004533039</c:v>
                </c:pt>
                <c:pt idx="46">
                  <c:v>463199.83142629499</c:v>
                </c:pt>
                <c:pt idx="47">
                  <c:v>270483.23240607663</c:v>
                </c:pt>
                <c:pt idx="48">
                  <c:v>65786.757596361538</c:v>
                </c:pt>
                <c:pt idx="49">
                  <c:v>-151434.94061110192</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numCache>
            </c:numRef>
          </c:yVal>
          <c:smooth val="0"/>
          <c:extLst>
            <c:ext xmlns:c16="http://schemas.microsoft.com/office/drawing/2014/chart" uri="{C3380CC4-5D6E-409C-BE32-E72D297353CC}">
              <c16:uniqueId val="{00000001-E941-48F1-84A9-5EDD578CBE79}"/>
            </c:ext>
          </c:extLst>
        </c:ser>
        <c:dLbls>
          <c:showLegendKey val="0"/>
          <c:showVal val="0"/>
          <c:showCatName val="0"/>
          <c:showSerName val="0"/>
          <c:showPercent val="0"/>
          <c:showBubbleSize val="0"/>
        </c:dLbls>
        <c:axId val="190748928"/>
        <c:axId val="190751104"/>
      </c:scatterChart>
      <c:valAx>
        <c:axId val="190748928"/>
        <c:scaling>
          <c:orientation val="minMax"/>
          <c:min val="20"/>
        </c:scaling>
        <c:delete val="0"/>
        <c:axPos val="b"/>
        <c:title>
          <c:tx>
            <c:rich>
              <a:bodyPr/>
              <a:lstStyle/>
              <a:p>
                <a:pPr>
                  <a:defRPr sz="1000" b="1" i="0" u="none" strike="noStrike" baseline="0">
                    <a:solidFill>
                      <a:srgbClr val="000000"/>
                    </a:solidFill>
                    <a:latin typeface="Arial"/>
                    <a:ea typeface="Arial"/>
                    <a:cs typeface="Arial"/>
                  </a:defRPr>
                </a:pPr>
                <a:r>
                  <a:rPr lang="en-US"/>
                  <a:t>Age</a:t>
                </a:r>
              </a:p>
            </c:rich>
          </c:tx>
          <c:layout>
            <c:manualLayout>
              <c:xMode val="edge"/>
              <c:yMode val="edge"/>
              <c:x val="0.56923633626679015"/>
              <c:y val="0.905177638877614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751104"/>
        <c:crosses val="autoZero"/>
        <c:crossBetween val="midCat"/>
      </c:valAx>
      <c:valAx>
        <c:axId val="190751104"/>
        <c:scaling>
          <c:orientation val="minMax"/>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748928"/>
        <c:crosses val="autoZero"/>
        <c:crossBetween val="midCat"/>
      </c:valAx>
      <c:spPr>
        <a:noFill/>
        <a:ln w="25400">
          <a:noFill/>
        </a:ln>
      </c:spPr>
    </c:plotArea>
    <c:legend>
      <c:legendPos val="t"/>
      <c:layout>
        <c:manualLayout>
          <c:xMode val="edge"/>
          <c:yMode val="edge"/>
          <c:x val="0.15752856260614481"/>
          <c:y val="0.13547754897804587"/>
          <c:w val="0.30095578585765015"/>
          <c:h val="0.33038619510601774"/>
        </c:manualLayout>
      </c:layout>
      <c:overlay val="0"/>
      <c:txPr>
        <a:bodyPr/>
        <a:lstStyle/>
        <a:p>
          <a:pPr>
            <a:defRPr sz="1000"/>
          </a:pPr>
          <a:endParaRPr lang="en-US"/>
        </a:p>
      </c:txPr>
    </c:legend>
    <c:plotVisOnly val="1"/>
    <c:dispBlanksAs val="gap"/>
    <c:showDLblsOverMax val="0"/>
  </c:chart>
  <c:spPr>
    <a:solidFill>
      <a:srgbClr val="FFFFFF"/>
    </a:solidFill>
    <a:ln w="6350">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70485</xdr:colOff>
      <xdr:row>30</xdr:row>
      <xdr:rowOff>106680</xdr:rowOff>
    </xdr:from>
    <xdr:to>
      <xdr:col>10</xdr:col>
      <xdr:colOff>748665</xdr:colOff>
      <xdr:row>43</xdr:row>
      <xdr:rowOff>121920</xdr:rowOff>
    </xdr:to>
    <xdr:graphicFrame macro="">
      <xdr:nvGraphicFramePr>
        <xdr:cNvPr id="1028" name="Chart 4">
          <a:extLst>
            <a:ext uri="{FF2B5EF4-FFF2-40B4-BE49-F238E27FC236}">
              <a16:creationId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9</xdr:col>
      <xdr:colOff>373380</xdr:colOff>
      <xdr:row>0</xdr:row>
      <xdr:rowOff>30481</xdr:rowOff>
    </xdr:from>
    <xdr:to>
      <xdr:col>10</xdr:col>
      <xdr:colOff>975360</xdr:colOff>
      <xdr:row>0</xdr:row>
      <xdr:rowOff>358141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81700" y="30481"/>
          <a:ext cx="1310640" cy="3276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B5F7D147-9FC6-410F-940D-D449953E88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A2E10E8C-13CF-4D06-863C-2BB75DFACB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Calculators/financial-calculators.html" TargetMode="External"/><Relationship Id="rId1" Type="http://schemas.openxmlformats.org/officeDocument/2006/relationships/hyperlink" Target="https://www.vertex42.com/Calculators/retirement-calculator.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Calculators/retirement-calculator.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Calculators/retirement-calculator.html" TargetMode="External"/><Relationship Id="rId1" Type="http://schemas.openxmlformats.org/officeDocument/2006/relationships/hyperlink" Target="https://www.vertex42.com/licensing/EULA_personaluse.html" TargetMode="External"/><Relationship Id="rId5" Type="http://schemas.openxmlformats.org/officeDocument/2006/relationships/image" Target="../media/image2.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M204"/>
  <sheetViews>
    <sheetView showGridLines="0" tabSelected="1" workbookViewId="0">
      <selection activeCell="E8" sqref="E8"/>
    </sheetView>
  </sheetViews>
  <sheetFormatPr defaultColWidth="9.140625" defaultRowHeight="12.75" x14ac:dyDescent="0.2"/>
  <cols>
    <col min="1" max="1" width="6.42578125" customWidth="1"/>
    <col min="2" max="2" width="6.7109375" customWidth="1"/>
    <col min="3" max="3" width="7.5703125" customWidth="1"/>
    <col min="4" max="4" width="8.85546875" customWidth="1"/>
    <col min="5" max="5" width="13" customWidth="1"/>
    <col min="6" max="6" width="4.7109375" customWidth="1"/>
    <col min="7" max="7" width="11.5703125" customWidth="1"/>
    <col min="8" max="8" width="10.85546875" customWidth="1"/>
    <col min="9" max="9" width="12.140625" customWidth="1"/>
    <col min="10" max="10" width="10.28515625" customWidth="1"/>
    <col min="11" max="11" width="15" customWidth="1"/>
    <col min="12" max="12" width="4.140625" customWidth="1"/>
    <col min="13" max="13" width="37.85546875" customWidth="1"/>
    <col min="16" max="16" width="17.7109375" customWidth="1"/>
    <col min="17" max="17" width="11.28515625" bestFit="1" customWidth="1"/>
  </cols>
  <sheetData>
    <row r="1" spans="1:13" ht="30" customHeight="1" x14ac:dyDescent="0.2">
      <c r="A1" s="9" t="s">
        <v>17</v>
      </c>
      <c r="B1" s="9"/>
      <c r="C1" s="9"/>
      <c r="D1" s="9"/>
      <c r="E1" s="9"/>
      <c r="F1" s="9"/>
      <c r="G1" s="9"/>
      <c r="H1" s="9"/>
      <c r="I1" s="9"/>
      <c r="J1" s="9"/>
      <c r="K1" s="9"/>
    </row>
    <row r="2" spans="1:13" x14ac:dyDescent="0.2">
      <c r="M2" s="78" t="s">
        <v>79</v>
      </c>
    </row>
    <row r="3" spans="1:13" ht="15" hidden="1" x14ac:dyDescent="0.2">
      <c r="A3" s="72" t="s">
        <v>62</v>
      </c>
      <c r="B3" s="104"/>
      <c r="C3" s="104"/>
      <c r="D3" s="104"/>
      <c r="E3" s="104"/>
      <c r="G3" s="72" t="s">
        <v>60</v>
      </c>
      <c r="H3" s="104"/>
      <c r="I3" s="104"/>
      <c r="K3" t="s">
        <v>77</v>
      </c>
    </row>
    <row r="4" spans="1:13" hidden="1" x14ac:dyDescent="0.2">
      <c r="A4" s="2"/>
      <c r="B4" t="s">
        <v>59</v>
      </c>
      <c r="H4" t="s">
        <v>59</v>
      </c>
    </row>
    <row r="5" spans="1:13" hidden="1" x14ac:dyDescent="0.2">
      <c r="A5" s="2"/>
      <c r="H5" t="s">
        <v>61</v>
      </c>
    </row>
    <row r="6" spans="1:13" hidden="1" x14ac:dyDescent="0.2">
      <c r="A6" s="2"/>
      <c r="H6" t="s">
        <v>63</v>
      </c>
    </row>
    <row r="7" spans="1:13" ht="15.75" thickBot="1" x14ac:dyDescent="0.25">
      <c r="A7" s="37" t="s">
        <v>48</v>
      </c>
      <c r="B7" s="37"/>
      <c r="C7" s="37"/>
      <c r="D7" s="37"/>
      <c r="E7" s="37"/>
      <c r="F7" s="38"/>
      <c r="G7" s="54" t="s">
        <v>38</v>
      </c>
      <c r="H7" s="54"/>
      <c r="I7" s="54"/>
      <c r="J7" s="54"/>
      <c r="K7" s="54"/>
      <c r="M7" s="2" t="s">
        <v>17</v>
      </c>
    </row>
    <row r="8" spans="1:13" ht="15" customHeight="1" x14ac:dyDescent="0.2">
      <c r="A8" s="10"/>
      <c r="B8" s="11"/>
      <c r="C8" s="11"/>
      <c r="D8" s="11" t="s">
        <v>1</v>
      </c>
      <c r="E8" s="46">
        <v>25</v>
      </c>
      <c r="G8" s="47"/>
      <c r="H8" s="47"/>
      <c r="I8" s="47"/>
      <c r="J8" s="51" t="s">
        <v>53</v>
      </c>
      <c r="K8" s="59">
        <v>50000</v>
      </c>
      <c r="M8" s="83" t="s">
        <v>13</v>
      </c>
    </row>
    <row r="9" spans="1:13" ht="15" customHeight="1" x14ac:dyDescent="0.2">
      <c r="A9" s="10"/>
      <c r="B9" s="11"/>
      <c r="C9" s="11"/>
      <c r="D9" s="11" t="s">
        <v>2</v>
      </c>
      <c r="E9" s="42">
        <v>65</v>
      </c>
      <c r="G9" s="47"/>
      <c r="H9" s="47"/>
      <c r="I9" s="48"/>
      <c r="J9" s="49" t="s">
        <v>32</v>
      </c>
      <c r="K9" s="40">
        <f>FV(E16,(E9-E8),,-K8)</f>
        <v>163101.8895999536</v>
      </c>
      <c r="M9" s="78" t="s">
        <v>90</v>
      </c>
    </row>
    <row r="10" spans="1:13" ht="15" customHeight="1" x14ac:dyDescent="0.2">
      <c r="A10" s="10"/>
      <c r="B10" s="11"/>
      <c r="C10" s="11"/>
      <c r="D10" s="32" t="s">
        <v>94</v>
      </c>
      <c r="E10" s="42">
        <v>25</v>
      </c>
      <c r="G10" s="47"/>
      <c r="H10" s="47"/>
      <c r="I10" s="47"/>
      <c r="J10" s="49" t="s">
        <v>50</v>
      </c>
      <c r="K10" s="40">
        <f>PV(((1+E15)/(1+E16)-1)/E42,E10*E42,-IF(E43=1,K9/E42,K9/(1+E16)/E42),,1)</f>
        <v>4077547.2399988403</v>
      </c>
      <c r="M10" s="78" t="s">
        <v>91</v>
      </c>
    </row>
    <row r="11" spans="1:13" ht="15" customHeight="1" x14ac:dyDescent="0.2">
      <c r="A11" s="10"/>
      <c r="B11" s="11"/>
      <c r="C11" s="11"/>
      <c r="D11" s="32" t="s">
        <v>95</v>
      </c>
      <c r="E11" s="74">
        <f>E9-E8</f>
        <v>40</v>
      </c>
      <c r="G11" s="47"/>
      <c r="H11" s="47"/>
      <c r="I11" s="47"/>
      <c r="J11" s="47"/>
      <c r="K11" s="47"/>
    </row>
    <row r="12" spans="1:13" ht="15" customHeight="1" x14ac:dyDescent="0.2">
      <c r="A12" s="10"/>
      <c r="B12" s="11"/>
      <c r="C12" s="11"/>
      <c r="D12" s="11"/>
      <c r="E12" s="11"/>
      <c r="G12" s="56" t="s">
        <v>23</v>
      </c>
      <c r="H12" s="57"/>
      <c r="I12" s="57"/>
      <c r="J12" s="57"/>
      <c r="K12" s="58"/>
      <c r="M12" s="2" t="s">
        <v>84</v>
      </c>
    </row>
    <row r="13" spans="1:13" ht="15" customHeight="1" x14ac:dyDescent="0.2">
      <c r="A13" s="55" t="s">
        <v>45</v>
      </c>
      <c r="B13" s="53"/>
      <c r="C13" s="53"/>
      <c r="D13" s="53"/>
      <c r="E13" s="53"/>
      <c r="G13" s="47"/>
      <c r="H13" s="47"/>
      <c r="I13" s="47"/>
      <c r="J13" s="51" t="s">
        <v>46</v>
      </c>
      <c r="K13" s="39">
        <v>20000</v>
      </c>
    </row>
    <row r="14" spans="1:13" ht="15" customHeight="1" x14ac:dyDescent="0.2">
      <c r="A14" s="10"/>
      <c r="B14" s="11"/>
      <c r="C14" s="11"/>
      <c r="D14" s="32" t="s">
        <v>96</v>
      </c>
      <c r="E14" s="45">
        <v>0.06</v>
      </c>
      <c r="G14" s="47"/>
      <c r="H14" s="47"/>
      <c r="I14" s="47"/>
      <c r="J14" s="49" t="s">
        <v>42</v>
      </c>
      <c r="K14" s="40">
        <f>-FV(E14/E42,(E9-E8)*E42,0,K13,0)</f>
        <v>205714.35874251858</v>
      </c>
      <c r="M14" s="18" t="s">
        <v>25</v>
      </c>
    </row>
    <row r="15" spans="1:13" ht="15" customHeight="1" x14ac:dyDescent="0.2">
      <c r="A15" s="10"/>
      <c r="B15" s="11"/>
      <c r="C15" s="11"/>
      <c r="D15" s="32" t="s">
        <v>43</v>
      </c>
      <c r="E15" s="17">
        <v>0.03</v>
      </c>
      <c r="G15" s="47"/>
      <c r="H15" s="47"/>
      <c r="I15" s="47"/>
      <c r="J15" s="49" t="s">
        <v>55</v>
      </c>
      <c r="K15" s="40">
        <f>IF(E20=E14,(E28/E42)*((E11*E42)*(1+E14/E42)^(E11*E42))/(1+E20/E42),(E28/E42)*((1+E20/E42)^(E11*E42)-(1+E14/E42)^(E11*E42))/(E20/E42-E14/E42))</f>
        <v>1312622.7194455503</v>
      </c>
      <c r="M15" s="78" t="s">
        <v>24</v>
      </c>
    </row>
    <row r="16" spans="1:13" ht="15" customHeight="1" x14ac:dyDescent="0.2">
      <c r="A16" s="10"/>
      <c r="B16" s="11"/>
      <c r="C16" s="11"/>
      <c r="D16" s="32" t="s">
        <v>19</v>
      </c>
      <c r="E16" s="17">
        <v>0.03</v>
      </c>
      <c r="G16" s="47"/>
      <c r="H16" s="47"/>
      <c r="I16" s="47"/>
      <c r="J16" s="47"/>
      <c r="K16" s="73"/>
      <c r="M16" s="78" t="s">
        <v>27</v>
      </c>
    </row>
    <row r="17" spans="1:13" ht="15" customHeight="1" x14ac:dyDescent="0.2">
      <c r="A17" s="10"/>
      <c r="B17" s="11"/>
      <c r="C17" s="11"/>
      <c r="D17" s="11"/>
      <c r="E17" s="11"/>
      <c r="F17" s="36"/>
      <c r="G17" s="56" t="s">
        <v>37</v>
      </c>
      <c r="H17" s="57"/>
      <c r="I17" s="57"/>
      <c r="J17" s="57"/>
      <c r="K17" s="58"/>
      <c r="M17" s="78" t="s">
        <v>72</v>
      </c>
    </row>
    <row r="18" spans="1:13" ht="15" customHeight="1" x14ac:dyDescent="0.2">
      <c r="A18" s="55" t="s">
        <v>52</v>
      </c>
      <c r="B18" s="53"/>
      <c r="C18" s="53"/>
      <c r="D18" s="53"/>
      <c r="E18" s="53"/>
      <c r="G18" s="47"/>
      <c r="H18" s="50"/>
      <c r="I18" s="47"/>
      <c r="J18" s="49" t="s">
        <v>33</v>
      </c>
      <c r="K18" s="42">
        <v>65</v>
      </c>
      <c r="M18" s="78" t="s">
        <v>73</v>
      </c>
    </row>
    <row r="19" spans="1:13" ht="15" customHeight="1" x14ac:dyDescent="0.2">
      <c r="A19" s="10"/>
      <c r="B19" s="11"/>
      <c r="C19" s="11"/>
      <c r="D19" s="32" t="s">
        <v>9</v>
      </c>
      <c r="E19" s="39">
        <v>50000</v>
      </c>
      <c r="G19" s="47"/>
      <c r="H19" s="47"/>
      <c r="I19" s="47"/>
      <c r="J19" s="49" t="s">
        <v>34</v>
      </c>
      <c r="K19" s="39">
        <v>0</v>
      </c>
      <c r="M19" s="78" t="s">
        <v>74</v>
      </c>
    </row>
    <row r="20" spans="1:13" ht="15" customHeight="1" x14ac:dyDescent="0.2">
      <c r="A20" s="10"/>
      <c r="B20" s="11"/>
      <c r="C20" s="11"/>
      <c r="D20" s="11" t="s">
        <v>5</v>
      </c>
      <c r="E20" s="45">
        <v>0.02</v>
      </c>
      <c r="F20" s="36"/>
      <c r="G20" s="47"/>
      <c r="H20" s="47"/>
      <c r="I20" s="47"/>
      <c r="J20" s="49" t="s">
        <v>36</v>
      </c>
      <c r="K20" s="17">
        <v>2.8000000000000001E-2</v>
      </c>
      <c r="M20" s="78"/>
    </row>
    <row r="21" spans="1:13" ht="15" customHeight="1" x14ac:dyDescent="0.2">
      <c r="A21" s="10"/>
      <c r="B21" s="11"/>
      <c r="C21" s="11"/>
      <c r="D21" s="11"/>
      <c r="E21" s="11"/>
      <c r="G21" s="47"/>
      <c r="H21" s="47"/>
      <c r="I21" s="47"/>
      <c r="J21" s="49" t="s">
        <v>98</v>
      </c>
      <c r="K21" s="40">
        <f>E10-(K18-E9)</f>
        <v>25</v>
      </c>
      <c r="M21" s="78" t="s">
        <v>28</v>
      </c>
    </row>
    <row r="22" spans="1:13" ht="15" customHeight="1" x14ac:dyDescent="0.2">
      <c r="A22" s="55" t="s">
        <v>56</v>
      </c>
      <c r="B22" s="53"/>
      <c r="C22" s="53"/>
      <c r="D22" s="53"/>
      <c r="E22" s="53"/>
      <c r="F22" s="35"/>
      <c r="G22" s="47"/>
      <c r="H22" s="47"/>
      <c r="I22" s="47"/>
      <c r="J22" s="49" t="s">
        <v>44</v>
      </c>
      <c r="K22" s="40">
        <f>PV(E15,K18-E9-1,,-IF(K20=E15,K19*K21/(1+K20),K19*(((1+K20)/(1+E15))^K21-1)/(K20-E15)),1)</f>
        <v>0</v>
      </c>
      <c r="M22" s="78" t="s">
        <v>39</v>
      </c>
    </row>
    <row r="23" spans="1:13" ht="15" customHeight="1" x14ac:dyDescent="0.2">
      <c r="A23" s="10"/>
      <c r="B23" s="11"/>
      <c r="C23" s="11"/>
      <c r="D23" s="32" t="s">
        <v>85</v>
      </c>
      <c r="E23" s="45">
        <v>0.1</v>
      </c>
      <c r="G23" s="47"/>
      <c r="H23" s="47"/>
      <c r="I23" s="47"/>
      <c r="J23" s="47"/>
      <c r="K23" s="47"/>
      <c r="M23" s="78"/>
    </row>
    <row r="24" spans="1:13" ht="15" customHeight="1" x14ac:dyDescent="0.2">
      <c r="A24" s="10"/>
      <c r="B24" s="11"/>
      <c r="C24" s="11"/>
      <c r="D24" s="79" t="s">
        <v>97</v>
      </c>
      <c r="E24" s="45">
        <v>1</v>
      </c>
      <c r="G24" s="56" t="s">
        <v>99</v>
      </c>
      <c r="H24" s="57"/>
      <c r="I24" s="57"/>
      <c r="J24" s="57"/>
      <c r="K24" s="58"/>
      <c r="M24" s="78" t="s">
        <v>30</v>
      </c>
    </row>
    <row r="25" spans="1:13" ht="15" customHeight="1" x14ac:dyDescent="0.2">
      <c r="A25" s="10"/>
      <c r="B25" s="11"/>
      <c r="C25" s="11"/>
      <c r="D25" s="79" t="s">
        <v>86</v>
      </c>
      <c r="E25" s="45">
        <v>0.03</v>
      </c>
      <c r="G25" s="47"/>
      <c r="H25" s="47"/>
      <c r="I25" s="47"/>
      <c r="J25" s="49" t="s">
        <v>51</v>
      </c>
      <c r="K25" s="39">
        <v>0</v>
      </c>
      <c r="M25" s="78" t="s">
        <v>31</v>
      </c>
    </row>
    <row r="26" spans="1:13" ht="15" customHeight="1" x14ac:dyDescent="0.2">
      <c r="A26" s="10"/>
      <c r="B26" s="11"/>
      <c r="C26" s="11"/>
      <c r="D26" s="32" t="s">
        <v>87</v>
      </c>
      <c r="E26" s="52">
        <f>E19*E23</f>
        <v>5000</v>
      </c>
      <c r="K26" s="80" t="str">
        <f>IF(K27&lt;0,"Note: There is a surplus. Some results might not apply.",".")</f>
        <v>.</v>
      </c>
      <c r="M26" s="78" t="s">
        <v>75</v>
      </c>
    </row>
    <row r="27" spans="1:13" ht="15" customHeight="1" x14ac:dyDescent="0.2">
      <c r="A27" s="10"/>
      <c r="B27" s="11"/>
      <c r="C27" s="11"/>
      <c r="D27" s="32" t="s">
        <v>88</v>
      </c>
      <c r="E27" s="52">
        <f>E19*MIN(E23,E25)*E24</f>
        <v>1500</v>
      </c>
      <c r="G27" s="63"/>
      <c r="H27" s="63"/>
      <c r="I27" s="63"/>
      <c r="J27" s="64" t="s">
        <v>47</v>
      </c>
      <c r="K27" s="81">
        <f>K10-K14-K15-K22-K25</f>
        <v>2559210.1618107711</v>
      </c>
      <c r="M27" s="78" t="s">
        <v>76</v>
      </c>
    </row>
    <row r="28" spans="1:13" ht="15" customHeight="1" x14ac:dyDescent="0.2">
      <c r="A28" s="10"/>
      <c r="B28" s="11"/>
      <c r="C28" s="11"/>
      <c r="D28" s="32" t="s">
        <v>89</v>
      </c>
      <c r="E28" s="52">
        <f>E26+E27</f>
        <v>6500</v>
      </c>
      <c r="G28" s="65"/>
      <c r="H28" s="65"/>
      <c r="I28" s="65"/>
      <c r="J28" s="66" t="s">
        <v>64</v>
      </c>
      <c r="K28" s="71">
        <f>IF(K9=0," - ",NPER((1+E15)/(1+E16)-1,-IF(E43=1,K9,K9/(1+E16)),K10-K27,,E43))</f>
        <v>9.3091323583813406</v>
      </c>
      <c r="M28" s="78"/>
    </row>
    <row r="29" spans="1:13" ht="14.25" x14ac:dyDescent="0.2">
      <c r="A29" s="10"/>
      <c r="B29" s="11"/>
      <c r="C29" s="11"/>
      <c r="D29" s="32"/>
      <c r="E29" s="70" t="str">
        <f>IF(E23&lt;E25,"Employer Match is NOT Maximized",".")</f>
        <v>.</v>
      </c>
      <c r="G29" s="67"/>
      <c r="H29" s="65"/>
      <c r="I29" s="65"/>
      <c r="J29" s="66" t="s">
        <v>54</v>
      </c>
      <c r="K29" s="82">
        <f>K27/IF(E20=E14,(E11*E42)*(1+E14/E42)^(E11*E42)/(1+E20/E42),(((1+E20/E42)^(E11*E42)-(1+E14/E42)^(E11*E42))/(E20/E42-E14/E42)))*E42</f>
        <v>12672.998726394553</v>
      </c>
      <c r="M29" s="78" t="s">
        <v>100</v>
      </c>
    </row>
    <row r="30" spans="1:13" ht="14.25" x14ac:dyDescent="0.2">
      <c r="B30" s="75"/>
      <c r="C30" s="75"/>
      <c r="D30" s="76"/>
      <c r="E30" s="77"/>
      <c r="G30" s="65"/>
      <c r="H30" s="65"/>
      <c r="I30" s="65"/>
      <c r="J30" s="66" t="s">
        <v>49</v>
      </c>
      <c r="K30" s="68">
        <f>IF(((K29+E28)/E19/(1+E24))&gt;E25,(K29+E28)/E19-E25*E24,((K29+E28)/E19/(1+E24)))</f>
        <v>0.35345997452789102</v>
      </c>
      <c r="M30" s="78" t="s">
        <v>101</v>
      </c>
    </row>
    <row r="31" spans="1:13" x14ac:dyDescent="0.2">
      <c r="J31" s="69"/>
    </row>
    <row r="32" spans="1:13" x14ac:dyDescent="0.2">
      <c r="J32" s="69"/>
      <c r="M32" s="78" t="s">
        <v>65</v>
      </c>
    </row>
    <row r="33" spans="1:13" x14ac:dyDescent="0.2">
      <c r="J33" s="69"/>
      <c r="M33" s="78" t="s">
        <v>66</v>
      </c>
    </row>
    <row r="34" spans="1:13" x14ac:dyDescent="0.2">
      <c r="M34" s="78" t="s">
        <v>67</v>
      </c>
    </row>
    <row r="36" spans="1:13" x14ac:dyDescent="0.2">
      <c r="J36" s="1"/>
    </row>
    <row r="37" spans="1:13" x14ac:dyDescent="0.2">
      <c r="J37" s="1"/>
    </row>
    <row r="38" spans="1:13" x14ac:dyDescent="0.2">
      <c r="J38" s="1"/>
    </row>
    <row r="39" spans="1:13" x14ac:dyDescent="0.2">
      <c r="J39" s="1"/>
    </row>
    <row r="40" spans="1:13" x14ac:dyDescent="0.2">
      <c r="D40" s="60" t="s">
        <v>57</v>
      </c>
      <c r="E40" s="60" t="str">
        <f>IFERROR("Goal: Saving "&amp;ROUND(K30*100,2)&amp;"% of Salary","Table Not Applicable")</f>
        <v>Goal: Saving 35.35% of Salary</v>
      </c>
      <c r="J40" s="1"/>
    </row>
    <row r="41" spans="1:13" x14ac:dyDescent="0.2">
      <c r="D41" s="60" t="s">
        <v>58</v>
      </c>
      <c r="E41" s="60" t="str">
        <f>IF(E8=E9,"No Accumulation Phase","Current: Saving "&amp;ROUND(E23*100,2)&amp;"% of Salary")</f>
        <v>Current: Saving 10% of Salary</v>
      </c>
      <c r="J41" s="1"/>
    </row>
    <row r="42" spans="1:13" ht="14.25" x14ac:dyDescent="0.2">
      <c r="A42" s="60"/>
      <c r="B42" s="60"/>
      <c r="C42" s="60"/>
      <c r="D42" s="61" t="s">
        <v>7</v>
      </c>
      <c r="E42" s="62">
        <v>1</v>
      </c>
      <c r="J42" s="1"/>
    </row>
    <row r="43" spans="1:13" ht="14.25" x14ac:dyDescent="0.2">
      <c r="A43" s="60"/>
      <c r="B43" s="60"/>
      <c r="C43" s="60"/>
      <c r="D43" s="61" t="s">
        <v>21</v>
      </c>
      <c r="E43" s="62">
        <v>1</v>
      </c>
      <c r="J43" s="1"/>
    </row>
    <row r="44" spans="1:13" x14ac:dyDescent="0.2">
      <c r="J44" s="1"/>
    </row>
    <row r="45" spans="1:13" x14ac:dyDescent="0.2">
      <c r="A45" s="3" t="str">
        <f>IFERROR("Table Based on "&amp;TEXT(K30,"0.00%")&amp;" Salary Contribution Scenario","Table Not Applicable")</f>
        <v>Table Based on 35.35% Salary Contribution Scenario</v>
      </c>
      <c r="J45" s="1"/>
      <c r="K45" s="41" t="s">
        <v>29</v>
      </c>
    </row>
    <row r="46" spans="1:13" ht="26.25" thickBot="1" x14ac:dyDescent="0.25">
      <c r="A46" s="15" t="s">
        <v>3</v>
      </c>
      <c r="B46" s="15" t="s">
        <v>4</v>
      </c>
      <c r="C46" s="15" t="s">
        <v>8</v>
      </c>
      <c r="D46" s="15" t="s">
        <v>20</v>
      </c>
      <c r="E46" s="15" t="s">
        <v>6</v>
      </c>
      <c r="F46" s="15"/>
      <c r="G46" s="15" t="s">
        <v>26</v>
      </c>
      <c r="H46" s="43" t="s">
        <v>35</v>
      </c>
      <c r="I46" s="33" t="s">
        <v>18</v>
      </c>
      <c r="J46" s="43" t="s">
        <v>78</v>
      </c>
      <c r="K46" s="16" t="s">
        <v>0</v>
      </c>
    </row>
    <row r="47" spans="1:13" ht="15" customHeight="1" x14ac:dyDescent="0.2">
      <c r="A47" s="12"/>
      <c r="B47" s="12"/>
      <c r="C47" s="12"/>
      <c r="D47" s="13"/>
      <c r="E47" s="13"/>
      <c r="F47" s="13"/>
      <c r="G47" s="13"/>
      <c r="H47" s="13"/>
      <c r="I47" s="12"/>
      <c r="J47" s="12"/>
      <c r="K47" s="14">
        <f>$K$13</f>
        <v>20000</v>
      </c>
    </row>
    <row r="48" spans="1:13" x14ac:dyDescent="0.2">
      <c r="A48" s="4">
        <f>IF($E$8&gt;=$E$9,NA(),IF(A47&lt;($E$9-$E$8)+$E$10,A47+1,NA()))</f>
        <v>1</v>
      </c>
      <c r="B48" s="4">
        <f t="shared" ref="B48:B101" si="0">IF(ISERROR(A48),NA(),$E$8+A48-1)</f>
        <v>25</v>
      </c>
      <c r="C48" s="5">
        <f t="shared" ref="C48:C79" si="1">IF(ISERROR(A48),NA(),IF(B48&lt;$E$9,$E$14,$E$15))</f>
        <v>0.06</v>
      </c>
      <c r="D48" s="6">
        <f>IF(E8&gt;=E9,K8,E19)</f>
        <v>50000</v>
      </c>
      <c r="E48" s="7">
        <f t="shared" ref="E48:E79" si="2">IF(ISERROR(A48),NA(),IF(B48=$E$9-1,$K$25,0)+IF(A48&lt;=$E$11,$K$30*D48,0))</f>
        <v>17672.998726394551</v>
      </c>
      <c r="F48" s="7" t="str">
        <f>IF(ISERROR(A48),NA(),"")</f>
        <v/>
      </c>
      <c r="G48" s="7">
        <f t="shared" ref="G48:G79" si="3">IF(ISERROR(A48),NA(),IF(A48&lt;=$E$11,MIN($E$24*E48,$E$25*$E$24*D48),0))</f>
        <v>1500</v>
      </c>
      <c r="H48" s="7">
        <f>IF(ISERROR(A48),NA(),IF(ISERROR(B48),0,IF(AND(B48&gt;=$K$18,B48&lt;($K$18+$K$21)),$K$19*(1+$K$20)^(B48-$K$18),0)))</f>
        <v>0</v>
      </c>
      <c r="I48" s="7">
        <f t="shared" ref="I48:I79" si="4">IF(ISERROR(A48),NA(),IF(B48&gt;=$E$9,D48-H48,0))</f>
        <v>0</v>
      </c>
      <c r="J48" s="8">
        <f t="shared" ref="J48:J79" si="5">IF(ISERROR(A48),NA(),FV(C48/$E$42,$E$42,-(E48+G48)/$E$42,-(K47-I48*$E$43),0)-(K47+E48+G48-I48*$E$43))</f>
        <v>1200.0000000000146</v>
      </c>
      <c r="K48" s="8">
        <f t="shared" ref="K48:K79" si="6">IF(ISERROR(A48),NA(),K47+E48+G48+J48-I48)</f>
        <v>40372.998726394566</v>
      </c>
      <c r="M48" s="44"/>
    </row>
    <row r="49" spans="1:13" x14ac:dyDescent="0.2">
      <c r="A49" s="4">
        <f t="shared" ref="A49:A112" si="7">IF($E$8&gt;=$E$9,NA(),IF(A48&lt;($E$9-$E$8)+$E$10,A48+1,NA()))</f>
        <v>2</v>
      </c>
      <c r="B49" s="4">
        <f t="shared" si="0"/>
        <v>26</v>
      </c>
      <c r="C49" s="5">
        <f t="shared" si="1"/>
        <v>0.06</v>
      </c>
      <c r="D49" s="7">
        <f t="shared" ref="D49:D80" si="8">IF(ISERROR(A49),NA(),IF(B49&gt;=$E$9,$K$9*(1+$E$16)^(B49-$E$9),(1+$E$20)*D48))</f>
        <v>51000</v>
      </c>
      <c r="E49" s="7">
        <f t="shared" si="2"/>
        <v>18026.458700922441</v>
      </c>
      <c r="F49" s="7" t="str">
        <f t="shared" ref="F49:F112" si="9">IF(ISERROR(A49),NA(),"")</f>
        <v/>
      </c>
      <c r="G49" s="7">
        <f t="shared" si="3"/>
        <v>1530</v>
      </c>
      <c r="H49" s="7">
        <f t="shared" ref="H49:H112" si="10">IF(ISERROR(A49),NA(),IF(ISERROR(B49),0,IF(AND(B49&gt;=$K$18,B49&lt;($K$18+$K$21)),$K$19*(1+$K$20)^(B49-$K$18),0)))</f>
        <v>0</v>
      </c>
      <c r="I49" s="7">
        <f t="shared" si="4"/>
        <v>0</v>
      </c>
      <c r="J49" s="8">
        <f t="shared" si="5"/>
        <v>2422.3799235836996</v>
      </c>
      <c r="K49" s="8">
        <f t="shared" si="6"/>
        <v>62351.837350900707</v>
      </c>
      <c r="M49" s="44"/>
    </row>
    <row r="50" spans="1:13" x14ac:dyDescent="0.2">
      <c r="A50" s="4">
        <f t="shared" si="7"/>
        <v>3</v>
      </c>
      <c r="B50" s="4">
        <f t="shared" si="0"/>
        <v>27</v>
      </c>
      <c r="C50" s="5">
        <f t="shared" si="1"/>
        <v>0.06</v>
      </c>
      <c r="D50" s="7">
        <f t="shared" si="8"/>
        <v>52020</v>
      </c>
      <c r="E50" s="7">
        <f t="shared" si="2"/>
        <v>18386.987874940889</v>
      </c>
      <c r="F50" s="7" t="str">
        <f t="shared" si="9"/>
        <v/>
      </c>
      <c r="G50" s="7">
        <f t="shared" si="3"/>
        <v>1560.6</v>
      </c>
      <c r="H50" s="7">
        <f t="shared" si="10"/>
        <v>0</v>
      </c>
      <c r="I50" s="7">
        <f t="shared" si="4"/>
        <v>0</v>
      </c>
      <c r="J50" s="8">
        <f t="shared" si="5"/>
        <v>3741.1102410540479</v>
      </c>
      <c r="K50" s="8">
        <f t="shared" si="6"/>
        <v>86040.535466895657</v>
      </c>
      <c r="M50" s="44"/>
    </row>
    <row r="51" spans="1:13" x14ac:dyDescent="0.2">
      <c r="A51" s="4">
        <f t="shared" si="7"/>
        <v>4</v>
      </c>
      <c r="B51" s="4">
        <f t="shared" si="0"/>
        <v>28</v>
      </c>
      <c r="C51" s="5">
        <f t="shared" si="1"/>
        <v>0.06</v>
      </c>
      <c r="D51" s="7">
        <f t="shared" si="8"/>
        <v>53060.4</v>
      </c>
      <c r="E51" s="7">
        <f t="shared" si="2"/>
        <v>18754.72763243971</v>
      </c>
      <c r="F51" s="7" t="str">
        <f t="shared" si="9"/>
        <v/>
      </c>
      <c r="G51" s="7">
        <f t="shared" si="3"/>
        <v>1591.8119999999999</v>
      </c>
      <c r="H51" s="7">
        <f t="shared" si="10"/>
        <v>0</v>
      </c>
      <c r="I51" s="7">
        <f t="shared" si="4"/>
        <v>0</v>
      </c>
      <c r="J51" s="8">
        <f t="shared" si="5"/>
        <v>5162.4321280137519</v>
      </c>
      <c r="K51" s="8">
        <f t="shared" si="6"/>
        <v>111549.50722734912</v>
      </c>
      <c r="M51" s="44"/>
    </row>
    <row r="52" spans="1:13" x14ac:dyDescent="0.2">
      <c r="A52" s="4">
        <f t="shared" si="7"/>
        <v>5</v>
      </c>
      <c r="B52" s="4">
        <f t="shared" si="0"/>
        <v>29</v>
      </c>
      <c r="C52" s="5">
        <f t="shared" si="1"/>
        <v>0.06</v>
      </c>
      <c r="D52" s="7">
        <f t="shared" si="8"/>
        <v>54121.608</v>
      </c>
      <c r="E52" s="7">
        <f t="shared" si="2"/>
        <v>19129.822185088502</v>
      </c>
      <c r="F52" s="7" t="str">
        <f t="shared" si="9"/>
        <v/>
      </c>
      <c r="G52" s="7">
        <f t="shared" si="3"/>
        <v>1623.64824</v>
      </c>
      <c r="H52" s="7">
        <f t="shared" si="10"/>
        <v>0</v>
      </c>
      <c r="I52" s="7">
        <f t="shared" si="4"/>
        <v>0</v>
      </c>
      <c r="J52" s="8">
        <f t="shared" si="5"/>
        <v>6692.9704336409632</v>
      </c>
      <c r="K52" s="8">
        <f t="shared" si="6"/>
        <v>138995.9480860786</v>
      </c>
      <c r="M52" s="44"/>
    </row>
    <row r="53" spans="1:13" x14ac:dyDescent="0.2">
      <c r="A53" s="4">
        <f t="shared" si="7"/>
        <v>6</v>
      </c>
      <c r="B53" s="4">
        <f t="shared" si="0"/>
        <v>30</v>
      </c>
      <c r="C53" s="5">
        <f t="shared" si="1"/>
        <v>0.06</v>
      </c>
      <c r="D53" s="7">
        <f t="shared" si="8"/>
        <v>55204.040160000004</v>
      </c>
      <c r="E53" s="7">
        <f t="shared" si="2"/>
        <v>19512.418628790274</v>
      </c>
      <c r="F53" s="7" t="str">
        <f t="shared" si="9"/>
        <v/>
      </c>
      <c r="G53" s="7">
        <f t="shared" si="3"/>
        <v>1656.1212048</v>
      </c>
      <c r="H53" s="7">
        <f t="shared" si="10"/>
        <v>0</v>
      </c>
      <c r="I53" s="7">
        <f t="shared" si="4"/>
        <v>0</v>
      </c>
      <c r="J53" s="8">
        <f t="shared" si="5"/>
        <v>8339.7568851647666</v>
      </c>
      <c r="K53" s="8">
        <f t="shared" si="6"/>
        <v>168504.24480483364</v>
      </c>
      <c r="M53" s="44"/>
    </row>
    <row r="54" spans="1:13" x14ac:dyDescent="0.2">
      <c r="A54" s="4">
        <f t="shared" si="7"/>
        <v>7</v>
      </c>
      <c r="B54" s="4">
        <f t="shared" si="0"/>
        <v>31</v>
      </c>
      <c r="C54" s="5">
        <f t="shared" si="1"/>
        <v>0.06</v>
      </c>
      <c r="D54" s="7">
        <f t="shared" si="8"/>
        <v>56308.120963200003</v>
      </c>
      <c r="E54" s="7">
        <f t="shared" si="2"/>
        <v>19902.667001366081</v>
      </c>
      <c r="F54" s="7" t="str">
        <f t="shared" si="9"/>
        <v/>
      </c>
      <c r="G54" s="7">
        <f t="shared" si="3"/>
        <v>1689.243628896</v>
      </c>
      <c r="H54" s="7">
        <f t="shared" si="10"/>
        <v>0</v>
      </c>
      <c r="I54" s="7">
        <f t="shared" si="4"/>
        <v>0</v>
      </c>
      <c r="J54" s="8">
        <f t="shared" si="5"/>
        <v>10110.254688290064</v>
      </c>
      <c r="K54" s="8">
        <f t="shared" si="6"/>
        <v>200206.41012338578</v>
      </c>
      <c r="M54" s="44"/>
    </row>
    <row r="55" spans="1:13" x14ac:dyDescent="0.2">
      <c r="A55" s="4">
        <f t="shared" si="7"/>
        <v>8</v>
      </c>
      <c r="B55" s="4">
        <f t="shared" si="0"/>
        <v>32</v>
      </c>
      <c r="C55" s="5">
        <f t="shared" si="1"/>
        <v>0.06</v>
      </c>
      <c r="D55" s="7">
        <f t="shared" si="8"/>
        <v>57434.283382464004</v>
      </c>
      <c r="E55" s="7">
        <f t="shared" si="2"/>
        <v>20300.7203413934</v>
      </c>
      <c r="F55" s="7" t="str">
        <f t="shared" si="9"/>
        <v/>
      </c>
      <c r="G55" s="7">
        <f t="shared" si="3"/>
        <v>1723.02850147392</v>
      </c>
      <c r="H55" s="7">
        <f t="shared" si="10"/>
        <v>0</v>
      </c>
      <c r="I55" s="7">
        <f t="shared" si="4"/>
        <v>0</v>
      </c>
      <c r="J55" s="8">
        <f t="shared" si="5"/>
        <v>12012.38460740319</v>
      </c>
      <c r="K55" s="8">
        <f t="shared" si="6"/>
        <v>234242.54357365629</v>
      </c>
      <c r="M55" s="44"/>
    </row>
    <row r="56" spans="1:13" x14ac:dyDescent="0.2">
      <c r="A56" s="4">
        <f t="shared" si="7"/>
        <v>9</v>
      </c>
      <c r="B56" s="4">
        <f t="shared" si="0"/>
        <v>33</v>
      </c>
      <c r="C56" s="5">
        <f t="shared" si="1"/>
        <v>0.06</v>
      </c>
      <c r="D56" s="7">
        <f t="shared" si="8"/>
        <v>58582.969050113286</v>
      </c>
      <c r="E56" s="7">
        <f t="shared" si="2"/>
        <v>20706.734748221272</v>
      </c>
      <c r="F56" s="7" t="str">
        <f t="shared" si="9"/>
        <v/>
      </c>
      <c r="G56" s="7">
        <f t="shared" si="3"/>
        <v>1757.4890715033985</v>
      </c>
      <c r="H56" s="7">
        <f t="shared" si="10"/>
        <v>0</v>
      </c>
      <c r="I56" s="7">
        <f t="shared" si="4"/>
        <v>0</v>
      </c>
      <c r="J56" s="8">
        <f t="shared" si="5"/>
        <v>14054.552614419401</v>
      </c>
      <c r="K56" s="8">
        <f t="shared" si="6"/>
        <v>270761.32000780036</v>
      </c>
      <c r="M56" s="44"/>
    </row>
    <row r="57" spans="1:13" x14ac:dyDescent="0.2">
      <c r="A57" s="4">
        <f t="shared" si="7"/>
        <v>10</v>
      </c>
      <c r="B57" s="4">
        <f t="shared" si="0"/>
        <v>34</v>
      </c>
      <c r="C57" s="5">
        <f t="shared" si="1"/>
        <v>0.06</v>
      </c>
      <c r="D57" s="7">
        <f t="shared" si="8"/>
        <v>59754.628431115554</v>
      </c>
      <c r="E57" s="7">
        <f t="shared" si="2"/>
        <v>21120.869443185697</v>
      </c>
      <c r="F57" s="7" t="str">
        <f t="shared" si="9"/>
        <v/>
      </c>
      <c r="G57" s="7">
        <f t="shared" si="3"/>
        <v>1792.6388529334665</v>
      </c>
      <c r="H57" s="7">
        <f t="shared" si="10"/>
        <v>0</v>
      </c>
      <c r="I57" s="7">
        <f t="shared" si="4"/>
        <v>0</v>
      </c>
      <c r="J57" s="8">
        <f t="shared" si="5"/>
        <v>16245.679200468061</v>
      </c>
      <c r="K57" s="8">
        <f t="shared" si="6"/>
        <v>309920.50750438758</v>
      </c>
      <c r="M57" s="44"/>
    </row>
    <row r="58" spans="1:13" x14ac:dyDescent="0.2">
      <c r="A58" s="4">
        <f t="shared" si="7"/>
        <v>11</v>
      </c>
      <c r="B58" s="4">
        <f t="shared" si="0"/>
        <v>35</v>
      </c>
      <c r="C58" s="5">
        <f t="shared" si="1"/>
        <v>0.06</v>
      </c>
      <c r="D58" s="7">
        <f t="shared" si="8"/>
        <v>60949.720999737867</v>
      </c>
      <c r="E58" s="7">
        <f t="shared" si="2"/>
        <v>21543.286832049409</v>
      </c>
      <c r="F58" s="7" t="str">
        <f t="shared" si="9"/>
        <v/>
      </c>
      <c r="G58" s="7">
        <f t="shared" si="3"/>
        <v>1828.491629992136</v>
      </c>
      <c r="H58" s="7">
        <f t="shared" si="10"/>
        <v>0</v>
      </c>
      <c r="I58" s="7">
        <f t="shared" si="4"/>
        <v>0</v>
      </c>
      <c r="J58" s="8">
        <f t="shared" si="5"/>
        <v>18595.230450263247</v>
      </c>
      <c r="K58" s="8">
        <f t="shared" si="6"/>
        <v>351887.51641669241</v>
      </c>
      <c r="M58" s="44"/>
    </row>
    <row r="59" spans="1:13" x14ac:dyDescent="0.2">
      <c r="A59" s="4">
        <f t="shared" si="7"/>
        <v>12</v>
      </c>
      <c r="B59" s="4">
        <f t="shared" si="0"/>
        <v>36</v>
      </c>
      <c r="C59" s="5">
        <f t="shared" si="1"/>
        <v>0.06</v>
      </c>
      <c r="D59" s="7">
        <f t="shared" si="8"/>
        <v>62168.715419732624</v>
      </c>
      <c r="E59" s="7">
        <f t="shared" si="2"/>
        <v>21974.152568690399</v>
      </c>
      <c r="F59" s="7" t="str">
        <f t="shared" si="9"/>
        <v/>
      </c>
      <c r="G59" s="7">
        <f t="shared" si="3"/>
        <v>1865.0614625919786</v>
      </c>
      <c r="H59" s="7">
        <f t="shared" si="10"/>
        <v>0</v>
      </c>
      <c r="I59" s="7">
        <f t="shared" si="4"/>
        <v>0</v>
      </c>
      <c r="J59" s="8">
        <f t="shared" si="5"/>
        <v>21113.250985001563</v>
      </c>
      <c r="K59" s="8">
        <f t="shared" si="6"/>
        <v>396839.98143297638</v>
      </c>
      <c r="M59" s="44"/>
    </row>
    <row r="60" spans="1:13" x14ac:dyDescent="0.2">
      <c r="A60" s="4">
        <f t="shared" si="7"/>
        <v>13</v>
      </c>
      <c r="B60" s="4">
        <f t="shared" si="0"/>
        <v>37</v>
      </c>
      <c r="C60" s="5">
        <f t="shared" si="1"/>
        <v>0.06</v>
      </c>
      <c r="D60" s="7">
        <f t="shared" si="8"/>
        <v>63412.089728127277</v>
      </c>
      <c r="E60" s="7">
        <f t="shared" si="2"/>
        <v>22413.635620064208</v>
      </c>
      <c r="F60" s="7" t="str">
        <f t="shared" si="9"/>
        <v/>
      </c>
      <c r="G60" s="7">
        <f t="shared" si="3"/>
        <v>1902.3626918438183</v>
      </c>
      <c r="H60" s="7">
        <f t="shared" si="10"/>
        <v>0</v>
      </c>
      <c r="I60" s="7">
        <f t="shared" si="4"/>
        <v>0</v>
      </c>
      <c r="J60" s="8">
        <f t="shared" si="5"/>
        <v>23810.398885978619</v>
      </c>
      <c r="K60" s="8">
        <f t="shared" si="6"/>
        <v>444966.37863086304</v>
      </c>
      <c r="M60" s="44"/>
    </row>
    <row r="61" spans="1:13" x14ac:dyDescent="0.2">
      <c r="A61" s="4">
        <f t="shared" si="7"/>
        <v>14</v>
      </c>
      <c r="B61" s="4">
        <f t="shared" si="0"/>
        <v>38</v>
      </c>
      <c r="C61" s="5">
        <f t="shared" si="1"/>
        <v>0.06</v>
      </c>
      <c r="D61" s="7">
        <f t="shared" si="8"/>
        <v>64680.331522689827</v>
      </c>
      <c r="E61" s="7">
        <f t="shared" si="2"/>
        <v>22861.908332465493</v>
      </c>
      <c r="F61" s="7" t="str">
        <f t="shared" si="9"/>
        <v/>
      </c>
      <c r="G61" s="7">
        <f t="shared" si="3"/>
        <v>1940.4099456806948</v>
      </c>
      <c r="H61" s="7">
        <f t="shared" si="10"/>
        <v>0</v>
      </c>
      <c r="I61" s="7">
        <f t="shared" si="4"/>
        <v>0</v>
      </c>
      <c r="J61" s="8">
        <f t="shared" si="5"/>
        <v>26697.982717851817</v>
      </c>
      <c r="K61" s="8">
        <f t="shared" si="6"/>
        <v>496466.67962686106</v>
      </c>
      <c r="M61" s="44"/>
    </row>
    <row r="62" spans="1:13" x14ac:dyDescent="0.2">
      <c r="A62" s="4">
        <f t="shared" si="7"/>
        <v>15</v>
      </c>
      <c r="B62" s="4">
        <f t="shared" si="0"/>
        <v>39</v>
      </c>
      <c r="C62" s="5">
        <f t="shared" si="1"/>
        <v>0.06</v>
      </c>
      <c r="D62" s="7">
        <f t="shared" si="8"/>
        <v>65973.938153143623</v>
      </c>
      <c r="E62" s="7">
        <f t="shared" si="2"/>
        <v>23319.146499114802</v>
      </c>
      <c r="F62" s="7" t="str">
        <f t="shared" si="9"/>
        <v/>
      </c>
      <c r="G62" s="7">
        <f t="shared" si="3"/>
        <v>1979.2181445943086</v>
      </c>
      <c r="H62" s="7">
        <f t="shared" si="10"/>
        <v>0</v>
      </c>
      <c r="I62" s="7">
        <f t="shared" si="4"/>
        <v>0</v>
      </c>
      <c r="J62" s="8">
        <f t="shared" si="5"/>
        <v>29788.000777611742</v>
      </c>
      <c r="K62" s="8">
        <f t="shared" si="6"/>
        <v>551553.0450481819</v>
      </c>
      <c r="M62" s="44"/>
    </row>
    <row r="63" spans="1:13" x14ac:dyDescent="0.2">
      <c r="A63" s="4">
        <f t="shared" si="7"/>
        <v>16</v>
      </c>
      <c r="B63" s="4">
        <f t="shared" si="0"/>
        <v>40</v>
      </c>
      <c r="C63" s="5">
        <f t="shared" si="1"/>
        <v>0.06</v>
      </c>
      <c r="D63" s="7">
        <f t="shared" si="8"/>
        <v>67293.416916206494</v>
      </c>
      <c r="E63" s="7">
        <f t="shared" si="2"/>
        <v>23785.5294290971</v>
      </c>
      <c r="F63" s="7" t="str">
        <f t="shared" si="9"/>
        <v/>
      </c>
      <c r="G63" s="7">
        <f t="shared" si="3"/>
        <v>2018.8025074861948</v>
      </c>
      <c r="H63" s="7">
        <f t="shared" si="10"/>
        <v>0</v>
      </c>
      <c r="I63" s="7">
        <f t="shared" si="4"/>
        <v>0</v>
      </c>
      <c r="J63" s="8">
        <f t="shared" si="5"/>
        <v>33093.182702890947</v>
      </c>
      <c r="K63" s="8">
        <f t="shared" si="6"/>
        <v>610450.55968765612</v>
      </c>
      <c r="M63" s="44"/>
    </row>
    <row r="64" spans="1:13" x14ac:dyDescent="0.2">
      <c r="A64" s="4">
        <f t="shared" si="7"/>
        <v>17</v>
      </c>
      <c r="B64" s="4">
        <f t="shared" si="0"/>
        <v>41</v>
      </c>
      <c r="C64" s="5">
        <f t="shared" si="1"/>
        <v>0.06</v>
      </c>
      <c r="D64" s="7">
        <f t="shared" si="8"/>
        <v>68639.285254530623</v>
      </c>
      <c r="E64" s="7">
        <f t="shared" si="2"/>
        <v>24261.24001767904</v>
      </c>
      <c r="F64" s="7" t="str">
        <f t="shared" si="9"/>
        <v/>
      </c>
      <c r="G64" s="7">
        <f t="shared" si="3"/>
        <v>2059.1785576359184</v>
      </c>
      <c r="H64" s="7">
        <f t="shared" si="10"/>
        <v>0</v>
      </c>
      <c r="I64" s="7">
        <f t="shared" si="4"/>
        <v>0</v>
      </c>
      <c r="J64" s="8">
        <f t="shared" si="5"/>
        <v>36627.033581259544</v>
      </c>
      <c r="K64" s="8">
        <f t="shared" si="6"/>
        <v>673398.01184423058</v>
      </c>
      <c r="M64" s="44"/>
    </row>
    <row r="65" spans="1:13" x14ac:dyDescent="0.2">
      <c r="A65" s="4">
        <f t="shared" si="7"/>
        <v>18</v>
      </c>
      <c r="B65" s="4">
        <f t="shared" si="0"/>
        <v>42</v>
      </c>
      <c r="C65" s="5">
        <f t="shared" si="1"/>
        <v>0.06</v>
      </c>
      <c r="D65" s="7">
        <f t="shared" si="8"/>
        <v>70012.07095962124</v>
      </c>
      <c r="E65" s="7">
        <f t="shared" si="2"/>
        <v>24746.464818032622</v>
      </c>
      <c r="F65" s="7" t="str">
        <f t="shared" si="9"/>
        <v/>
      </c>
      <c r="G65" s="7">
        <f t="shared" si="3"/>
        <v>2100.3621287886372</v>
      </c>
      <c r="H65" s="7">
        <f t="shared" si="10"/>
        <v>0</v>
      </c>
      <c r="I65" s="7">
        <f t="shared" si="4"/>
        <v>0</v>
      </c>
      <c r="J65" s="8">
        <f t="shared" si="5"/>
        <v>40403.880710653961</v>
      </c>
      <c r="K65" s="8">
        <f t="shared" si="6"/>
        <v>740648.71950170572</v>
      </c>
      <c r="M65" s="44"/>
    </row>
    <row r="66" spans="1:13" x14ac:dyDescent="0.2">
      <c r="A66" s="4">
        <f t="shared" si="7"/>
        <v>19</v>
      </c>
      <c r="B66" s="4">
        <f t="shared" si="0"/>
        <v>43</v>
      </c>
      <c r="C66" s="5">
        <f t="shared" si="1"/>
        <v>0.06</v>
      </c>
      <c r="D66" s="7">
        <f t="shared" si="8"/>
        <v>71412.312378813673</v>
      </c>
      <c r="E66" s="7">
        <f t="shared" si="2"/>
        <v>25241.394114393279</v>
      </c>
      <c r="F66" s="7" t="str">
        <f t="shared" si="9"/>
        <v/>
      </c>
      <c r="G66" s="7">
        <f t="shared" si="3"/>
        <v>2142.3693713644102</v>
      </c>
      <c r="H66" s="7">
        <f t="shared" si="10"/>
        <v>0</v>
      </c>
      <c r="I66" s="7">
        <f t="shared" si="4"/>
        <v>0</v>
      </c>
      <c r="J66" s="8">
        <f t="shared" si="5"/>
        <v>44438.923170102527</v>
      </c>
      <c r="K66" s="8">
        <f t="shared" si="6"/>
        <v>812471.40615756589</v>
      </c>
      <c r="M66" s="44"/>
    </row>
    <row r="67" spans="1:13" x14ac:dyDescent="0.2">
      <c r="A67" s="4">
        <f t="shared" si="7"/>
        <v>20</v>
      </c>
      <c r="B67" s="4">
        <f t="shared" si="0"/>
        <v>44</v>
      </c>
      <c r="C67" s="5">
        <f t="shared" si="1"/>
        <v>0.06</v>
      </c>
      <c r="D67" s="7">
        <f t="shared" si="8"/>
        <v>72840.558626389946</v>
      </c>
      <c r="E67" s="7">
        <f t="shared" si="2"/>
        <v>25746.221996681143</v>
      </c>
      <c r="F67" s="7" t="str">
        <f t="shared" si="9"/>
        <v/>
      </c>
      <c r="G67" s="7">
        <f t="shared" si="3"/>
        <v>2185.2167587916983</v>
      </c>
      <c r="H67" s="7">
        <f t="shared" si="10"/>
        <v>0</v>
      </c>
      <c r="I67" s="7">
        <f t="shared" si="4"/>
        <v>0</v>
      </c>
      <c r="J67" s="8">
        <f t="shared" si="5"/>
        <v>48748.284369454021</v>
      </c>
      <c r="K67" s="8">
        <f t="shared" si="6"/>
        <v>889151.1292824928</v>
      </c>
      <c r="M67" s="44"/>
    </row>
    <row r="68" spans="1:13" x14ac:dyDescent="0.2">
      <c r="A68" s="4">
        <f t="shared" si="7"/>
        <v>21</v>
      </c>
      <c r="B68" s="4">
        <f t="shared" si="0"/>
        <v>45</v>
      </c>
      <c r="C68" s="5">
        <f t="shared" si="1"/>
        <v>0.06</v>
      </c>
      <c r="D68" s="7">
        <f t="shared" si="8"/>
        <v>74297.369798917745</v>
      </c>
      <c r="E68" s="7">
        <f t="shared" si="2"/>
        <v>26261.146436614767</v>
      </c>
      <c r="F68" s="7" t="str">
        <f t="shared" si="9"/>
        <v/>
      </c>
      <c r="G68" s="7">
        <f t="shared" si="3"/>
        <v>2228.9210939675322</v>
      </c>
      <c r="H68" s="7">
        <f t="shared" si="10"/>
        <v>0</v>
      </c>
      <c r="I68" s="7">
        <f t="shared" si="4"/>
        <v>0</v>
      </c>
      <c r="J68" s="8">
        <f t="shared" si="5"/>
        <v>53349.067756949575</v>
      </c>
      <c r="K68" s="8">
        <f t="shared" si="6"/>
        <v>970990.26457002468</v>
      </c>
      <c r="M68" s="44"/>
    </row>
    <row r="69" spans="1:13" x14ac:dyDescent="0.2">
      <c r="A69" s="4">
        <f t="shared" si="7"/>
        <v>22</v>
      </c>
      <c r="B69" s="4">
        <f t="shared" si="0"/>
        <v>46</v>
      </c>
      <c r="C69" s="5">
        <f t="shared" si="1"/>
        <v>0.06</v>
      </c>
      <c r="D69" s="7">
        <f t="shared" si="8"/>
        <v>75783.317194896095</v>
      </c>
      <c r="E69" s="7">
        <f t="shared" si="2"/>
        <v>26786.369365347058</v>
      </c>
      <c r="F69" s="7" t="str">
        <f t="shared" si="9"/>
        <v/>
      </c>
      <c r="G69" s="7">
        <f t="shared" si="3"/>
        <v>2273.4995158468828</v>
      </c>
      <c r="H69" s="7">
        <f t="shared" si="10"/>
        <v>0</v>
      </c>
      <c r="I69" s="7">
        <f t="shared" si="4"/>
        <v>0</v>
      </c>
      <c r="J69" s="8">
        <f t="shared" si="5"/>
        <v>58259.415874201688</v>
      </c>
      <c r="K69" s="8">
        <f t="shared" si="6"/>
        <v>1058309.5493254203</v>
      </c>
      <c r="M69" s="44"/>
    </row>
    <row r="70" spans="1:13" x14ac:dyDescent="0.2">
      <c r="A70" s="4">
        <f t="shared" si="7"/>
        <v>23</v>
      </c>
      <c r="B70" s="4">
        <f t="shared" si="0"/>
        <v>47</v>
      </c>
      <c r="C70" s="5">
        <f t="shared" si="1"/>
        <v>0.06</v>
      </c>
      <c r="D70" s="7">
        <f t="shared" si="8"/>
        <v>77298.983538794026</v>
      </c>
      <c r="E70" s="7">
        <f t="shared" si="2"/>
        <v>27322.096752654004</v>
      </c>
      <c r="F70" s="7" t="str">
        <f t="shared" si="9"/>
        <v/>
      </c>
      <c r="G70" s="7">
        <f t="shared" si="3"/>
        <v>2318.9695061638208</v>
      </c>
      <c r="H70" s="7">
        <f t="shared" si="10"/>
        <v>0</v>
      </c>
      <c r="I70" s="7">
        <f t="shared" si="4"/>
        <v>0</v>
      </c>
      <c r="J70" s="8">
        <f t="shared" si="5"/>
        <v>63498.572959525278</v>
      </c>
      <c r="K70" s="8">
        <f t="shared" si="6"/>
        <v>1151449.1885437635</v>
      </c>
      <c r="M70" s="44"/>
    </row>
    <row r="71" spans="1:13" x14ac:dyDescent="0.2">
      <c r="A71" s="4">
        <f t="shared" si="7"/>
        <v>24</v>
      </c>
      <c r="B71" s="4">
        <f t="shared" si="0"/>
        <v>48</v>
      </c>
      <c r="C71" s="5">
        <f t="shared" si="1"/>
        <v>0.06</v>
      </c>
      <c r="D71" s="7">
        <f t="shared" si="8"/>
        <v>78844.963209569905</v>
      </c>
      <c r="E71" s="7">
        <f t="shared" si="2"/>
        <v>27868.538687707085</v>
      </c>
      <c r="F71" s="7" t="str">
        <f t="shared" si="9"/>
        <v/>
      </c>
      <c r="G71" s="7">
        <f t="shared" si="3"/>
        <v>2365.348896287097</v>
      </c>
      <c r="H71" s="7">
        <f t="shared" si="10"/>
        <v>0</v>
      </c>
      <c r="I71" s="7">
        <f t="shared" si="4"/>
        <v>0</v>
      </c>
      <c r="J71" s="8">
        <f t="shared" si="5"/>
        <v>69086.951312625781</v>
      </c>
      <c r="K71" s="8">
        <f t="shared" si="6"/>
        <v>1250770.0274403836</v>
      </c>
      <c r="M71" s="44"/>
    </row>
    <row r="72" spans="1:13" x14ac:dyDescent="0.2">
      <c r="A72" s="4">
        <f t="shared" si="7"/>
        <v>25</v>
      </c>
      <c r="B72" s="4">
        <f t="shared" si="0"/>
        <v>49</v>
      </c>
      <c r="C72" s="5">
        <f t="shared" si="1"/>
        <v>0.06</v>
      </c>
      <c r="D72" s="7">
        <f t="shared" si="8"/>
        <v>80421.862473761299</v>
      </c>
      <c r="E72" s="7">
        <f t="shared" si="2"/>
        <v>28425.909461461222</v>
      </c>
      <c r="F72" s="7" t="str">
        <f t="shared" si="9"/>
        <v/>
      </c>
      <c r="G72" s="7">
        <f t="shared" si="3"/>
        <v>2412.6558742128391</v>
      </c>
      <c r="H72" s="7">
        <f t="shared" si="10"/>
        <v>0</v>
      </c>
      <c r="I72" s="7">
        <f t="shared" si="4"/>
        <v>0</v>
      </c>
      <c r="J72" s="8">
        <f t="shared" si="5"/>
        <v>75046.201646422967</v>
      </c>
      <c r="K72" s="8">
        <f t="shared" si="6"/>
        <v>1356654.7944224805</v>
      </c>
      <c r="M72" s="44"/>
    </row>
    <row r="73" spans="1:13" x14ac:dyDescent="0.2">
      <c r="A73" s="4">
        <f t="shared" si="7"/>
        <v>26</v>
      </c>
      <c r="B73" s="4">
        <f t="shared" si="0"/>
        <v>50</v>
      </c>
      <c r="C73" s="5">
        <f t="shared" si="1"/>
        <v>0.06</v>
      </c>
      <c r="D73" s="7">
        <f t="shared" si="8"/>
        <v>82030.299723236531</v>
      </c>
      <c r="E73" s="7">
        <f t="shared" si="2"/>
        <v>28994.42765069045</v>
      </c>
      <c r="F73" s="7" t="str">
        <f t="shared" si="9"/>
        <v/>
      </c>
      <c r="G73" s="7">
        <f t="shared" si="3"/>
        <v>2460.9089916970956</v>
      </c>
      <c r="H73" s="7">
        <f t="shared" si="10"/>
        <v>0</v>
      </c>
      <c r="I73" s="7">
        <f t="shared" si="4"/>
        <v>0</v>
      </c>
      <c r="J73" s="8">
        <f t="shared" si="5"/>
        <v>81399.287665348966</v>
      </c>
      <c r="K73" s="8">
        <f t="shared" si="6"/>
        <v>1469509.418730217</v>
      </c>
      <c r="M73" s="44"/>
    </row>
    <row r="74" spans="1:13" x14ac:dyDescent="0.2">
      <c r="A74" s="4">
        <f t="shared" si="7"/>
        <v>27</v>
      </c>
      <c r="B74" s="4">
        <f t="shared" si="0"/>
        <v>51</v>
      </c>
      <c r="C74" s="5">
        <f t="shared" si="1"/>
        <v>0.06</v>
      </c>
      <c r="D74" s="7">
        <f t="shared" si="8"/>
        <v>83670.905717701258</v>
      </c>
      <c r="E74" s="7">
        <f t="shared" si="2"/>
        <v>29574.316203704257</v>
      </c>
      <c r="F74" s="7" t="str">
        <f t="shared" si="9"/>
        <v/>
      </c>
      <c r="G74" s="7">
        <f t="shared" si="3"/>
        <v>2510.1271715310377</v>
      </c>
      <c r="H74" s="7">
        <f t="shared" si="10"/>
        <v>0</v>
      </c>
      <c r="I74" s="7">
        <f t="shared" si="4"/>
        <v>0</v>
      </c>
      <c r="J74" s="8">
        <f t="shared" si="5"/>
        <v>88170.565123812994</v>
      </c>
      <c r="K74" s="8">
        <f t="shared" si="6"/>
        <v>1589764.4272292654</v>
      </c>
      <c r="M74" s="44"/>
    </row>
    <row r="75" spans="1:13" x14ac:dyDescent="0.2">
      <c r="A75" s="4">
        <f t="shared" si="7"/>
        <v>28</v>
      </c>
      <c r="B75" s="4">
        <f t="shared" si="0"/>
        <v>52</v>
      </c>
      <c r="C75" s="5">
        <f t="shared" si="1"/>
        <v>0.06</v>
      </c>
      <c r="D75" s="7">
        <f t="shared" si="8"/>
        <v>85344.323832055292</v>
      </c>
      <c r="E75" s="7">
        <f t="shared" si="2"/>
        <v>30165.802527778345</v>
      </c>
      <c r="F75" s="7" t="str">
        <f t="shared" si="9"/>
        <v/>
      </c>
      <c r="G75" s="7">
        <f t="shared" si="3"/>
        <v>2560.3297149616587</v>
      </c>
      <c r="H75" s="7">
        <f t="shared" si="10"/>
        <v>0</v>
      </c>
      <c r="I75" s="7">
        <f t="shared" si="4"/>
        <v>0</v>
      </c>
      <c r="J75" s="8">
        <f t="shared" si="5"/>
        <v>95385.865633756155</v>
      </c>
      <c r="K75" s="8">
        <f t="shared" si="6"/>
        <v>1717876.4251057615</v>
      </c>
      <c r="M75" s="44"/>
    </row>
    <row r="76" spans="1:13" x14ac:dyDescent="0.2">
      <c r="A76" s="4">
        <f t="shared" si="7"/>
        <v>29</v>
      </c>
      <c r="B76" s="4">
        <f t="shared" si="0"/>
        <v>53</v>
      </c>
      <c r="C76" s="5">
        <f t="shared" si="1"/>
        <v>0.06</v>
      </c>
      <c r="D76" s="7">
        <f t="shared" si="8"/>
        <v>87051.210308696405</v>
      </c>
      <c r="E76" s="7">
        <f t="shared" si="2"/>
        <v>30769.118578333917</v>
      </c>
      <c r="F76" s="7" t="str">
        <f t="shared" si="9"/>
        <v/>
      </c>
      <c r="G76" s="7">
        <f t="shared" si="3"/>
        <v>2611.5363092608923</v>
      </c>
      <c r="H76" s="7">
        <f t="shared" si="10"/>
        <v>0</v>
      </c>
      <c r="I76" s="7">
        <f t="shared" si="4"/>
        <v>0</v>
      </c>
      <c r="J76" s="8">
        <f t="shared" si="5"/>
        <v>103072.58550634584</v>
      </c>
      <c r="K76" s="8">
        <f t="shared" si="6"/>
        <v>1854329.6654997021</v>
      </c>
      <c r="M76" s="44"/>
    </row>
    <row r="77" spans="1:13" x14ac:dyDescent="0.2">
      <c r="A77" s="4">
        <f t="shared" si="7"/>
        <v>30</v>
      </c>
      <c r="B77" s="4">
        <f t="shared" si="0"/>
        <v>54</v>
      </c>
      <c r="C77" s="5">
        <f t="shared" si="1"/>
        <v>0.06</v>
      </c>
      <c r="D77" s="7">
        <f t="shared" si="8"/>
        <v>88792.234514870332</v>
      </c>
      <c r="E77" s="7">
        <f t="shared" si="2"/>
        <v>31384.500949900594</v>
      </c>
      <c r="F77" s="7" t="str">
        <f t="shared" si="9"/>
        <v/>
      </c>
      <c r="G77" s="7">
        <f t="shared" si="3"/>
        <v>2663.7670354461097</v>
      </c>
      <c r="H77" s="7">
        <f t="shared" si="10"/>
        <v>0</v>
      </c>
      <c r="I77" s="7">
        <f t="shared" si="4"/>
        <v>0</v>
      </c>
      <c r="J77" s="8">
        <f t="shared" si="5"/>
        <v>111259.77992998227</v>
      </c>
      <c r="K77" s="8">
        <f t="shared" si="6"/>
        <v>1999637.7134150311</v>
      </c>
      <c r="M77" s="44"/>
    </row>
    <row r="78" spans="1:13" x14ac:dyDescent="0.2">
      <c r="A78" s="4">
        <f t="shared" si="7"/>
        <v>31</v>
      </c>
      <c r="B78" s="4">
        <f t="shared" si="0"/>
        <v>55</v>
      </c>
      <c r="C78" s="5">
        <f t="shared" si="1"/>
        <v>0.06</v>
      </c>
      <c r="D78" s="7">
        <f t="shared" si="8"/>
        <v>90568.079205167742</v>
      </c>
      <c r="E78" s="7">
        <f t="shared" si="2"/>
        <v>32012.190968898605</v>
      </c>
      <c r="F78" s="7" t="str">
        <f t="shared" si="9"/>
        <v/>
      </c>
      <c r="G78" s="7">
        <f t="shared" si="3"/>
        <v>2717.0423761550323</v>
      </c>
      <c r="H78" s="7">
        <f t="shared" si="10"/>
        <v>0</v>
      </c>
      <c r="I78" s="7">
        <f t="shared" si="4"/>
        <v>0</v>
      </c>
      <c r="J78" s="8">
        <f t="shared" si="5"/>
        <v>119978.26280490193</v>
      </c>
      <c r="K78" s="8">
        <f t="shared" si="6"/>
        <v>2154345.2095649866</v>
      </c>
      <c r="M78" s="44"/>
    </row>
    <row r="79" spans="1:13" x14ac:dyDescent="0.2">
      <c r="A79" s="4">
        <f t="shared" si="7"/>
        <v>32</v>
      </c>
      <c r="B79" s="4">
        <f t="shared" si="0"/>
        <v>56</v>
      </c>
      <c r="C79" s="5">
        <f t="shared" si="1"/>
        <v>0.06</v>
      </c>
      <c r="D79" s="7">
        <f t="shared" si="8"/>
        <v>92379.440789271102</v>
      </c>
      <c r="E79" s="7">
        <f t="shared" si="2"/>
        <v>32652.43478827658</v>
      </c>
      <c r="F79" s="7" t="str">
        <f t="shared" si="9"/>
        <v/>
      </c>
      <c r="G79" s="7">
        <f t="shared" si="3"/>
        <v>2771.3832236781332</v>
      </c>
      <c r="H79" s="7">
        <f t="shared" si="10"/>
        <v>0</v>
      </c>
      <c r="I79" s="7">
        <f t="shared" si="4"/>
        <v>0</v>
      </c>
      <c r="J79" s="8">
        <f t="shared" si="5"/>
        <v>129260.71257389989</v>
      </c>
      <c r="K79" s="8">
        <f t="shared" si="6"/>
        <v>2319029.740150841</v>
      </c>
      <c r="M79" s="44"/>
    </row>
    <row r="80" spans="1:13" x14ac:dyDescent="0.2">
      <c r="A80" s="4">
        <f t="shared" si="7"/>
        <v>33</v>
      </c>
      <c r="B80" s="4">
        <f t="shared" si="0"/>
        <v>57</v>
      </c>
      <c r="C80" s="5">
        <f t="shared" ref="C80:C111" si="11">IF(ISERROR(A80),NA(),IF(B80&lt;$E$9,$E$14,$E$15))</f>
        <v>0.06</v>
      </c>
      <c r="D80" s="7">
        <f t="shared" si="8"/>
        <v>94227.029605056523</v>
      </c>
      <c r="E80" s="7">
        <f t="shared" ref="E80:E111" si="12">IF(ISERROR(A80),NA(),IF(B80=$E$9-1,$K$25,0)+IF(A80&lt;=$E$11,$K$30*D80,0))</f>
        <v>33305.48348404211</v>
      </c>
      <c r="F80" s="7" t="str">
        <f t="shared" si="9"/>
        <v/>
      </c>
      <c r="G80" s="7">
        <f t="shared" ref="G80:G111" si="13">IF(ISERROR(A80),NA(),IF(A80&lt;=$E$11,MIN($E$24*E80,$E$25*$E$24*D80),0))</f>
        <v>2826.8108881516955</v>
      </c>
      <c r="H80" s="7">
        <f t="shared" si="10"/>
        <v>0</v>
      </c>
      <c r="I80" s="7">
        <f t="shared" ref="I80:I111" si="14">IF(ISERROR(A80),NA(),IF(B80&gt;=$E$9,D80-H80,0))</f>
        <v>0</v>
      </c>
      <c r="J80" s="8">
        <f t="shared" ref="J80:J111" si="15">IF(ISERROR(A80),NA(),FV(C80/$E$42,$E$42,-(E80+G80)/$E$42,-(K79-I80*$E$43),0)-(K79+E80+G80-I80*$E$43))</f>
        <v>139141.78440905083</v>
      </c>
      <c r="K80" s="8">
        <f t="shared" ref="K80:K111" si="16">IF(ISERROR(A80),NA(),K79+E80+G80+J80-I80)</f>
        <v>2494303.8189320853</v>
      </c>
      <c r="M80" s="44"/>
    </row>
    <row r="81" spans="1:13" x14ac:dyDescent="0.2">
      <c r="A81" s="4">
        <f t="shared" si="7"/>
        <v>34</v>
      </c>
      <c r="B81" s="4">
        <f t="shared" si="0"/>
        <v>58</v>
      </c>
      <c r="C81" s="5">
        <f t="shared" si="11"/>
        <v>0.06</v>
      </c>
      <c r="D81" s="7">
        <f t="shared" ref="D81:D112" si="17">IF(ISERROR(A81),NA(),IF(B81&gt;=$E$9,$K$9*(1+$E$16)^(B81-$E$9),(1+$E$20)*D80))</f>
        <v>96111.570197157649</v>
      </c>
      <c r="E81" s="7">
        <f t="shared" si="12"/>
        <v>33971.593153722955</v>
      </c>
      <c r="F81" s="7" t="str">
        <f t="shared" si="9"/>
        <v/>
      </c>
      <c r="G81" s="7">
        <f t="shared" si="13"/>
        <v>2883.3471059147296</v>
      </c>
      <c r="H81" s="7">
        <f t="shared" si="10"/>
        <v>0</v>
      </c>
      <c r="I81" s="7">
        <f t="shared" si="14"/>
        <v>0</v>
      </c>
      <c r="J81" s="8">
        <f t="shared" si="15"/>
        <v>149658.22913592542</v>
      </c>
      <c r="K81" s="8">
        <f t="shared" si="16"/>
        <v>2680816.9883276485</v>
      </c>
      <c r="M81" s="44"/>
    </row>
    <row r="82" spans="1:13" x14ac:dyDescent="0.2">
      <c r="A82" s="4">
        <f t="shared" si="7"/>
        <v>35</v>
      </c>
      <c r="B82" s="4">
        <f t="shared" si="0"/>
        <v>59</v>
      </c>
      <c r="C82" s="5">
        <f t="shared" si="11"/>
        <v>0.06</v>
      </c>
      <c r="D82" s="7">
        <f t="shared" si="17"/>
        <v>98033.8016011008</v>
      </c>
      <c r="E82" s="7">
        <f t="shared" si="12"/>
        <v>34651.025016797408</v>
      </c>
      <c r="F82" s="7" t="str">
        <f t="shared" si="9"/>
        <v/>
      </c>
      <c r="G82" s="7">
        <f t="shared" si="13"/>
        <v>2941.0140480330238</v>
      </c>
      <c r="H82" s="7">
        <f t="shared" si="10"/>
        <v>0</v>
      </c>
      <c r="I82" s="7">
        <f t="shared" si="14"/>
        <v>0</v>
      </c>
      <c r="J82" s="8">
        <f t="shared" si="15"/>
        <v>160849.01929965941</v>
      </c>
      <c r="K82" s="8">
        <f t="shared" si="16"/>
        <v>2879258.0466921381</v>
      </c>
      <c r="M82" s="44"/>
    </row>
    <row r="83" spans="1:13" x14ac:dyDescent="0.2">
      <c r="A83" s="4">
        <f t="shared" si="7"/>
        <v>36</v>
      </c>
      <c r="B83" s="4">
        <f t="shared" si="0"/>
        <v>60</v>
      </c>
      <c r="C83" s="5">
        <f t="shared" si="11"/>
        <v>0.06</v>
      </c>
      <c r="D83" s="7">
        <f t="shared" si="17"/>
        <v>99994.47763312282</v>
      </c>
      <c r="E83" s="7">
        <f t="shared" si="12"/>
        <v>35344.04551713336</v>
      </c>
      <c r="F83" s="7" t="str">
        <f t="shared" si="9"/>
        <v/>
      </c>
      <c r="G83" s="7">
        <f t="shared" si="13"/>
        <v>2999.8343289936847</v>
      </c>
      <c r="H83" s="7">
        <f t="shared" si="10"/>
        <v>0</v>
      </c>
      <c r="I83" s="7">
        <f t="shared" si="14"/>
        <v>0</v>
      </c>
      <c r="J83" s="8">
        <f t="shared" si="15"/>
        <v>172755.48280152865</v>
      </c>
      <c r="K83" s="8">
        <f t="shared" si="16"/>
        <v>3090357.409339794</v>
      </c>
      <c r="M83" s="44"/>
    </row>
    <row r="84" spans="1:13" x14ac:dyDescent="0.2">
      <c r="A84" s="4">
        <f t="shared" si="7"/>
        <v>37</v>
      </c>
      <c r="B84" s="4">
        <f t="shared" si="0"/>
        <v>61</v>
      </c>
      <c r="C84" s="5">
        <f t="shared" si="11"/>
        <v>0.06</v>
      </c>
      <c r="D84" s="7">
        <f t="shared" si="17"/>
        <v>101994.36718578528</v>
      </c>
      <c r="E84" s="7">
        <f t="shared" si="12"/>
        <v>36050.926427476028</v>
      </c>
      <c r="F84" s="7" t="str">
        <f t="shared" si="9"/>
        <v/>
      </c>
      <c r="G84" s="7">
        <f t="shared" si="13"/>
        <v>3059.831015573558</v>
      </c>
      <c r="H84" s="7">
        <f t="shared" si="10"/>
        <v>0</v>
      </c>
      <c r="I84" s="7">
        <f t="shared" si="14"/>
        <v>0</v>
      </c>
      <c r="J84" s="8">
        <f t="shared" si="15"/>
        <v>185421.44456038764</v>
      </c>
      <c r="K84" s="8">
        <f t="shared" si="16"/>
        <v>3314889.6113432311</v>
      </c>
      <c r="M84" s="44"/>
    </row>
    <row r="85" spans="1:13" x14ac:dyDescent="0.2">
      <c r="A85" s="4">
        <f t="shared" si="7"/>
        <v>38</v>
      </c>
      <c r="B85" s="4">
        <f t="shared" si="0"/>
        <v>62</v>
      </c>
      <c r="C85" s="5">
        <f t="shared" si="11"/>
        <v>0.06</v>
      </c>
      <c r="D85" s="7">
        <f t="shared" si="17"/>
        <v>104034.25452950098</v>
      </c>
      <c r="E85" s="7">
        <f t="shared" si="12"/>
        <v>36771.944956025545</v>
      </c>
      <c r="F85" s="7" t="str">
        <f t="shared" si="9"/>
        <v/>
      </c>
      <c r="G85" s="7">
        <f t="shared" si="13"/>
        <v>3121.0276358850292</v>
      </c>
      <c r="H85" s="7">
        <f t="shared" si="10"/>
        <v>0</v>
      </c>
      <c r="I85" s="7">
        <f t="shared" si="14"/>
        <v>0</v>
      </c>
      <c r="J85" s="8">
        <f t="shared" si="15"/>
        <v>198893.37668059394</v>
      </c>
      <c r="K85" s="8">
        <f t="shared" si="16"/>
        <v>3553675.9606157355</v>
      </c>
      <c r="M85" s="44"/>
    </row>
    <row r="86" spans="1:13" x14ac:dyDescent="0.2">
      <c r="A86" s="4">
        <f t="shared" si="7"/>
        <v>39</v>
      </c>
      <c r="B86" s="4">
        <f t="shared" si="0"/>
        <v>63</v>
      </c>
      <c r="C86" s="5">
        <f t="shared" si="11"/>
        <v>0.06</v>
      </c>
      <c r="D86" s="7">
        <f t="shared" si="17"/>
        <v>106114.939620091</v>
      </c>
      <c r="E86" s="7">
        <f t="shared" si="12"/>
        <v>37507.383855146058</v>
      </c>
      <c r="F86" s="7" t="str">
        <f t="shared" si="9"/>
        <v/>
      </c>
      <c r="G86" s="7">
        <f t="shared" si="13"/>
        <v>3183.4481886027297</v>
      </c>
      <c r="H86" s="7">
        <f t="shared" si="10"/>
        <v>0</v>
      </c>
      <c r="I86" s="7">
        <f t="shared" si="14"/>
        <v>0</v>
      </c>
      <c r="J86" s="8">
        <f t="shared" si="15"/>
        <v>213220.55763694411</v>
      </c>
      <c r="K86" s="8">
        <f t="shared" si="16"/>
        <v>3807587.3502964284</v>
      </c>
      <c r="M86" s="44"/>
    </row>
    <row r="87" spans="1:13" x14ac:dyDescent="0.2">
      <c r="A87" s="4">
        <f t="shared" si="7"/>
        <v>40</v>
      </c>
      <c r="B87" s="4">
        <f t="shared" si="0"/>
        <v>64</v>
      </c>
      <c r="C87" s="5">
        <f t="shared" si="11"/>
        <v>0.06</v>
      </c>
      <c r="D87" s="7">
        <f t="shared" si="17"/>
        <v>108237.23841249282</v>
      </c>
      <c r="E87" s="7">
        <f t="shared" si="12"/>
        <v>38257.531532248977</v>
      </c>
      <c r="F87" s="7" t="str">
        <f t="shared" si="9"/>
        <v/>
      </c>
      <c r="G87" s="7">
        <f t="shared" si="13"/>
        <v>3247.1171523747844</v>
      </c>
      <c r="H87" s="7">
        <f t="shared" si="10"/>
        <v>0</v>
      </c>
      <c r="I87" s="7">
        <f t="shared" si="14"/>
        <v>0</v>
      </c>
      <c r="J87" s="8">
        <f t="shared" si="15"/>
        <v>228455.24101778585</v>
      </c>
      <c r="K87" s="8">
        <f t="shared" si="16"/>
        <v>4077547.2399988379</v>
      </c>
      <c r="M87" s="44"/>
    </row>
    <row r="88" spans="1:13" x14ac:dyDescent="0.2">
      <c r="A88" s="4">
        <f t="shared" si="7"/>
        <v>41</v>
      </c>
      <c r="B88" s="4">
        <f t="shared" si="0"/>
        <v>65</v>
      </c>
      <c r="C88" s="5">
        <f t="shared" si="11"/>
        <v>0.03</v>
      </c>
      <c r="D88" s="7">
        <f t="shared" si="17"/>
        <v>163101.8895999536</v>
      </c>
      <c r="E88" s="7">
        <f t="shared" si="12"/>
        <v>0</v>
      </c>
      <c r="F88" s="7" t="str">
        <f t="shared" si="9"/>
        <v/>
      </c>
      <c r="G88" s="7">
        <f t="shared" si="13"/>
        <v>0</v>
      </c>
      <c r="H88" s="7">
        <f t="shared" si="10"/>
        <v>0</v>
      </c>
      <c r="I88" s="7">
        <f t="shared" si="14"/>
        <v>163101.8895999536</v>
      </c>
      <c r="J88" s="8">
        <f t="shared" si="15"/>
        <v>117433.36051196652</v>
      </c>
      <c r="K88" s="8">
        <f t="shared" si="16"/>
        <v>4031878.7109108502</v>
      </c>
      <c r="M88" s="44"/>
    </row>
    <row r="89" spans="1:13" x14ac:dyDescent="0.2">
      <c r="A89" s="4">
        <f t="shared" si="7"/>
        <v>42</v>
      </c>
      <c r="B89" s="4">
        <f t="shared" si="0"/>
        <v>66</v>
      </c>
      <c r="C89" s="5">
        <f t="shared" si="11"/>
        <v>0.03</v>
      </c>
      <c r="D89" s="7">
        <f t="shared" si="17"/>
        <v>167994.94628795222</v>
      </c>
      <c r="E89" s="7">
        <f t="shared" si="12"/>
        <v>0</v>
      </c>
      <c r="F89" s="7" t="str">
        <f t="shared" si="9"/>
        <v/>
      </c>
      <c r="G89" s="7">
        <f t="shared" si="13"/>
        <v>0</v>
      </c>
      <c r="H89" s="7">
        <f t="shared" si="10"/>
        <v>0</v>
      </c>
      <c r="I89" s="7">
        <f t="shared" si="14"/>
        <v>167994.94628795222</v>
      </c>
      <c r="J89" s="8">
        <f t="shared" si="15"/>
        <v>115916.51293868711</v>
      </c>
      <c r="K89" s="8">
        <f t="shared" si="16"/>
        <v>3979800.277561585</v>
      </c>
      <c r="M89" s="44"/>
    </row>
    <row r="90" spans="1:13" x14ac:dyDescent="0.2">
      <c r="A90" s="4">
        <f t="shared" si="7"/>
        <v>43</v>
      </c>
      <c r="B90" s="4">
        <f t="shared" si="0"/>
        <v>67</v>
      </c>
      <c r="C90" s="5">
        <f t="shared" si="11"/>
        <v>0.03</v>
      </c>
      <c r="D90" s="7">
        <f t="shared" si="17"/>
        <v>173034.79467659077</v>
      </c>
      <c r="E90" s="7">
        <f t="shared" si="12"/>
        <v>0</v>
      </c>
      <c r="F90" s="7" t="str">
        <f t="shared" si="9"/>
        <v/>
      </c>
      <c r="G90" s="7">
        <f t="shared" si="13"/>
        <v>0</v>
      </c>
      <c r="H90" s="7">
        <f t="shared" si="10"/>
        <v>0</v>
      </c>
      <c r="I90" s="7">
        <f t="shared" si="14"/>
        <v>173034.79467659077</v>
      </c>
      <c r="J90" s="8">
        <f t="shared" si="15"/>
        <v>114202.96448655007</v>
      </c>
      <c r="K90" s="8">
        <f t="shared" si="16"/>
        <v>3920968.4473715443</v>
      </c>
      <c r="M90" s="44"/>
    </row>
    <row r="91" spans="1:13" x14ac:dyDescent="0.2">
      <c r="A91" s="4">
        <f t="shared" si="7"/>
        <v>44</v>
      </c>
      <c r="B91" s="4">
        <f t="shared" si="0"/>
        <v>68</v>
      </c>
      <c r="C91" s="5">
        <f t="shared" si="11"/>
        <v>0.03</v>
      </c>
      <c r="D91" s="7">
        <f t="shared" si="17"/>
        <v>178225.8385168885</v>
      </c>
      <c r="E91" s="7">
        <f t="shared" si="12"/>
        <v>0</v>
      </c>
      <c r="F91" s="7" t="str">
        <f t="shared" si="9"/>
        <v/>
      </c>
      <c r="G91" s="7">
        <f t="shared" si="13"/>
        <v>0</v>
      </c>
      <c r="H91" s="7">
        <f t="shared" si="10"/>
        <v>0</v>
      </c>
      <c r="I91" s="7">
        <f t="shared" si="14"/>
        <v>178225.8385168885</v>
      </c>
      <c r="J91" s="8">
        <f t="shared" si="15"/>
        <v>112282.27826563967</v>
      </c>
      <c r="K91" s="8">
        <f t="shared" si="16"/>
        <v>3855024.8871202953</v>
      </c>
      <c r="M91" s="44"/>
    </row>
    <row r="92" spans="1:13" x14ac:dyDescent="0.2">
      <c r="A92" s="4">
        <f t="shared" si="7"/>
        <v>45</v>
      </c>
      <c r="B92" s="4">
        <f t="shared" si="0"/>
        <v>69</v>
      </c>
      <c r="C92" s="5">
        <f t="shared" si="11"/>
        <v>0.03</v>
      </c>
      <c r="D92" s="7">
        <f t="shared" si="17"/>
        <v>183572.61367239515</v>
      </c>
      <c r="E92" s="7">
        <f t="shared" si="12"/>
        <v>0</v>
      </c>
      <c r="F92" s="7" t="str">
        <f t="shared" si="9"/>
        <v/>
      </c>
      <c r="G92" s="7">
        <f t="shared" si="13"/>
        <v>0</v>
      </c>
      <c r="H92" s="7">
        <f t="shared" si="10"/>
        <v>0</v>
      </c>
      <c r="I92" s="7">
        <f t="shared" si="14"/>
        <v>183572.61367239515</v>
      </c>
      <c r="J92" s="8">
        <f t="shared" si="15"/>
        <v>110143.56820343714</v>
      </c>
      <c r="K92" s="8">
        <f t="shared" si="16"/>
        <v>3781595.8416513372</v>
      </c>
      <c r="M92" s="44"/>
    </row>
    <row r="93" spans="1:13" x14ac:dyDescent="0.2">
      <c r="A93" s="4">
        <f t="shared" si="7"/>
        <v>46</v>
      </c>
      <c r="B93" s="4">
        <f t="shared" si="0"/>
        <v>70</v>
      </c>
      <c r="C93" s="5">
        <f t="shared" si="11"/>
        <v>0.03</v>
      </c>
      <c r="D93" s="7">
        <f t="shared" si="17"/>
        <v>189079.79208256697</v>
      </c>
      <c r="E93" s="7">
        <f t="shared" si="12"/>
        <v>0</v>
      </c>
      <c r="F93" s="7" t="str">
        <f t="shared" si="9"/>
        <v/>
      </c>
      <c r="G93" s="7">
        <f t="shared" si="13"/>
        <v>0</v>
      </c>
      <c r="H93" s="7">
        <f t="shared" si="10"/>
        <v>0</v>
      </c>
      <c r="I93" s="7">
        <f t="shared" si="14"/>
        <v>189079.79208256697</v>
      </c>
      <c r="J93" s="8">
        <f t="shared" si="15"/>
        <v>107775.48148706323</v>
      </c>
      <c r="K93" s="8">
        <f t="shared" si="16"/>
        <v>3700291.5310558337</v>
      </c>
      <c r="M93" s="44"/>
    </row>
    <row r="94" spans="1:13" x14ac:dyDescent="0.2">
      <c r="A94" s="4">
        <f t="shared" si="7"/>
        <v>47</v>
      </c>
      <c r="B94" s="4">
        <f t="shared" si="0"/>
        <v>71</v>
      </c>
      <c r="C94" s="5">
        <f t="shared" si="11"/>
        <v>0.03</v>
      </c>
      <c r="D94" s="7">
        <f t="shared" si="17"/>
        <v>194752.185845044</v>
      </c>
      <c r="E94" s="7">
        <f t="shared" si="12"/>
        <v>0</v>
      </c>
      <c r="F94" s="7" t="str">
        <f t="shared" si="9"/>
        <v/>
      </c>
      <c r="G94" s="7">
        <f t="shared" si="13"/>
        <v>0</v>
      </c>
      <c r="H94" s="7">
        <f t="shared" si="10"/>
        <v>0</v>
      </c>
      <c r="I94" s="7">
        <f t="shared" si="14"/>
        <v>194752.185845044</v>
      </c>
      <c r="J94" s="8">
        <f t="shared" si="15"/>
        <v>105166.18035632372</v>
      </c>
      <c r="K94" s="8">
        <f t="shared" si="16"/>
        <v>3610705.5255671134</v>
      </c>
      <c r="M94" s="44"/>
    </row>
    <row r="95" spans="1:13" x14ac:dyDescent="0.2">
      <c r="A95" s="4">
        <f t="shared" si="7"/>
        <v>48</v>
      </c>
      <c r="B95" s="4">
        <f t="shared" si="0"/>
        <v>72</v>
      </c>
      <c r="C95" s="5">
        <f t="shared" si="11"/>
        <v>0.03</v>
      </c>
      <c r="D95" s="7">
        <f t="shared" si="17"/>
        <v>200594.75142039533</v>
      </c>
      <c r="E95" s="7">
        <f t="shared" si="12"/>
        <v>0</v>
      </c>
      <c r="F95" s="7" t="str">
        <f t="shared" si="9"/>
        <v/>
      </c>
      <c r="G95" s="7">
        <f t="shared" si="13"/>
        <v>0</v>
      </c>
      <c r="H95" s="7">
        <f t="shared" si="10"/>
        <v>0</v>
      </c>
      <c r="I95" s="7">
        <f t="shared" si="14"/>
        <v>200594.75142039533</v>
      </c>
      <c r="J95" s="8">
        <f t="shared" si="15"/>
        <v>102303.32322440157</v>
      </c>
      <c r="K95" s="8">
        <f t="shared" si="16"/>
        <v>3512414.0973711195</v>
      </c>
      <c r="M95" s="44"/>
    </row>
    <row r="96" spans="1:13" x14ac:dyDescent="0.2">
      <c r="A96" s="4">
        <f t="shared" si="7"/>
        <v>49</v>
      </c>
      <c r="B96" s="4">
        <f t="shared" si="0"/>
        <v>73</v>
      </c>
      <c r="C96" s="5">
        <f t="shared" si="11"/>
        <v>0.03</v>
      </c>
      <c r="D96" s="7">
        <f t="shared" si="17"/>
        <v>206612.59396300718</v>
      </c>
      <c r="E96" s="7">
        <f t="shared" si="12"/>
        <v>0</v>
      </c>
      <c r="F96" s="7" t="str">
        <f t="shared" si="9"/>
        <v/>
      </c>
      <c r="G96" s="7">
        <f t="shared" si="13"/>
        <v>0</v>
      </c>
      <c r="H96" s="7">
        <f t="shared" si="10"/>
        <v>0</v>
      </c>
      <c r="I96" s="7">
        <f t="shared" si="14"/>
        <v>206612.59396300718</v>
      </c>
      <c r="J96" s="8">
        <f t="shared" si="15"/>
        <v>99174.045102243312</v>
      </c>
      <c r="K96" s="8">
        <f t="shared" si="16"/>
        <v>3404975.5485103559</v>
      </c>
      <c r="M96" s="44"/>
    </row>
    <row r="97" spans="1:13" x14ac:dyDescent="0.2">
      <c r="A97" s="4">
        <f t="shared" si="7"/>
        <v>50</v>
      </c>
      <c r="B97" s="4">
        <f t="shared" si="0"/>
        <v>74</v>
      </c>
      <c r="C97" s="5">
        <f t="shared" si="11"/>
        <v>0.03</v>
      </c>
      <c r="D97" s="7">
        <f t="shared" si="17"/>
        <v>212810.97178189739</v>
      </c>
      <c r="E97" s="7">
        <f t="shared" si="12"/>
        <v>0</v>
      </c>
      <c r="F97" s="7" t="str">
        <f t="shared" si="9"/>
        <v/>
      </c>
      <c r="G97" s="7">
        <f t="shared" si="13"/>
        <v>0</v>
      </c>
      <c r="H97" s="7">
        <f t="shared" si="10"/>
        <v>0</v>
      </c>
      <c r="I97" s="7">
        <f t="shared" si="14"/>
        <v>212810.97178189739</v>
      </c>
      <c r="J97" s="8">
        <f t="shared" si="15"/>
        <v>95764.937301853672</v>
      </c>
      <c r="K97" s="8">
        <f t="shared" si="16"/>
        <v>3287929.5140303122</v>
      </c>
      <c r="M97" s="44"/>
    </row>
    <row r="98" spans="1:13" x14ac:dyDescent="0.2">
      <c r="A98" s="4">
        <f t="shared" si="7"/>
        <v>51</v>
      </c>
      <c r="B98" s="4">
        <f t="shared" si="0"/>
        <v>75</v>
      </c>
      <c r="C98" s="5">
        <f t="shared" si="11"/>
        <v>0.03</v>
      </c>
      <c r="D98" s="7">
        <f t="shared" si="17"/>
        <v>219195.30093535432</v>
      </c>
      <c r="E98" s="7">
        <f t="shared" si="12"/>
        <v>0</v>
      </c>
      <c r="F98" s="7" t="str">
        <f t="shared" si="9"/>
        <v/>
      </c>
      <c r="G98" s="7">
        <f t="shared" si="13"/>
        <v>0</v>
      </c>
      <c r="H98" s="7">
        <f t="shared" si="10"/>
        <v>0</v>
      </c>
      <c r="I98" s="7">
        <f t="shared" si="14"/>
        <v>219195.30093535432</v>
      </c>
      <c r="J98" s="8">
        <f t="shared" si="15"/>
        <v>92062.026392848697</v>
      </c>
      <c r="K98" s="8">
        <f t="shared" si="16"/>
        <v>3160796.2394878063</v>
      </c>
      <c r="M98" s="44"/>
    </row>
    <row r="99" spans="1:13" x14ac:dyDescent="0.2">
      <c r="A99" s="4">
        <f t="shared" si="7"/>
        <v>52</v>
      </c>
      <c r="B99" s="4">
        <f t="shared" si="0"/>
        <v>76</v>
      </c>
      <c r="C99" s="5">
        <f t="shared" si="11"/>
        <v>0.03</v>
      </c>
      <c r="D99" s="7">
        <f t="shared" si="17"/>
        <v>225771.15996341495</v>
      </c>
      <c r="E99" s="7">
        <f t="shared" si="12"/>
        <v>0</v>
      </c>
      <c r="F99" s="7" t="str">
        <f t="shared" si="9"/>
        <v/>
      </c>
      <c r="G99" s="7">
        <f t="shared" si="13"/>
        <v>0</v>
      </c>
      <c r="H99" s="7">
        <f t="shared" si="10"/>
        <v>0</v>
      </c>
      <c r="I99" s="7">
        <f t="shared" si="14"/>
        <v>225771.15996341495</v>
      </c>
      <c r="J99" s="8">
        <f t="shared" si="15"/>
        <v>88050.752385731786</v>
      </c>
      <c r="K99" s="8">
        <f t="shared" si="16"/>
        <v>3023075.8319101231</v>
      </c>
      <c r="M99" s="44"/>
    </row>
    <row r="100" spans="1:13" x14ac:dyDescent="0.2">
      <c r="A100" s="4">
        <f t="shared" si="7"/>
        <v>53</v>
      </c>
      <c r="B100" s="4">
        <f t="shared" si="0"/>
        <v>77</v>
      </c>
      <c r="C100" s="5">
        <f t="shared" si="11"/>
        <v>0.03</v>
      </c>
      <c r="D100" s="7">
        <f t="shared" si="17"/>
        <v>232544.29476231738</v>
      </c>
      <c r="E100" s="7">
        <f t="shared" si="12"/>
        <v>0</v>
      </c>
      <c r="F100" s="7" t="str">
        <f t="shared" si="9"/>
        <v/>
      </c>
      <c r="G100" s="7">
        <f t="shared" si="13"/>
        <v>0</v>
      </c>
      <c r="H100" s="7">
        <f t="shared" si="10"/>
        <v>0</v>
      </c>
      <c r="I100" s="7">
        <f t="shared" si="14"/>
        <v>232544.29476231738</v>
      </c>
      <c r="J100" s="8">
        <f t="shared" si="15"/>
        <v>83715.946114434395</v>
      </c>
      <c r="K100" s="8">
        <f t="shared" si="16"/>
        <v>2874247.48326224</v>
      </c>
      <c r="M100" s="44"/>
    </row>
    <row r="101" spans="1:13" x14ac:dyDescent="0.2">
      <c r="A101" s="4">
        <f t="shared" si="7"/>
        <v>54</v>
      </c>
      <c r="B101" s="4">
        <f t="shared" si="0"/>
        <v>78</v>
      </c>
      <c r="C101" s="5">
        <f t="shared" si="11"/>
        <v>0.03</v>
      </c>
      <c r="D101" s="7">
        <f t="shared" si="17"/>
        <v>239520.62360518688</v>
      </c>
      <c r="E101" s="7">
        <f t="shared" si="12"/>
        <v>0</v>
      </c>
      <c r="F101" s="7" t="str">
        <f t="shared" si="9"/>
        <v/>
      </c>
      <c r="G101" s="7">
        <f t="shared" si="13"/>
        <v>0</v>
      </c>
      <c r="H101" s="7">
        <f t="shared" si="10"/>
        <v>0</v>
      </c>
      <c r="I101" s="7">
        <f t="shared" si="14"/>
        <v>239520.62360518688</v>
      </c>
      <c r="J101" s="8">
        <f t="shared" si="15"/>
        <v>79041.805789711885</v>
      </c>
      <c r="K101" s="8">
        <f t="shared" si="16"/>
        <v>2713768.6654467648</v>
      </c>
      <c r="M101" s="44"/>
    </row>
    <row r="102" spans="1:13" x14ac:dyDescent="0.2">
      <c r="A102" s="4">
        <f t="shared" si="7"/>
        <v>55</v>
      </c>
      <c r="B102" s="4">
        <f t="shared" ref="B102:B122" si="18">IF(ISERROR(A102),NA(),$E$8+A102-1)</f>
        <v>79</v>
      </c>
      <c r="C102" s="5">
        <f t="shared" si="11"/>
        <v>0.03</v>
      </c>
      <c r="D102" s="7">
        <f t="shared" si="17"/>
        <v>246706.24231334252</v>
      </c>
      <c r="E102" s="7">
        <f t="shared" si="12"/>
        <v>0</v>
      </c>
      <c r="F102" s="7" t="str">
        <f t="shared" si="9"/>
        <v/>
      </c>
      <c r="G102" s="7">
        <f t="shared" si="13"/>
        <v>0</v>
      </c>
      <c r="H102" s="7">
        <f t="shared" si="10"/>
        <v>0</v>
      </c>
      <c r="I102" s="7">
        <f t="shared" si="14"/>
        <v>246706.24231334252</v>
      </c>
      <c r="J102" s="8">
        <f t="shared" si="15"/>
        <v>74011.87269400293</v>
      </c>
      <c r="K102" s="8">
        <f t="shared" si="16"/>
        <v>2541074.2958274251</v>
      </c>
      <c r="M102" s="44"/>
    </row>
    <row r="103" spans="1:13" x14ac:dyDescent="0.2">
      <c r="A103" s="4">
        <f t="shared" si="7"/>
        <v>56</v>
      </c>
      <c r="B103" s="4">
        <f t="shared" si="18"/>
        <v>80</v>
      </c>
      <c r="C103" s="5">
        <f t="shared" si="11"/>
        <v>0.03</v>
      </c>
      <c r="D103" s="7">
        <f t="shared" si="17"/>
        <v>254107.4295827428</v>
      </c>
      <c r="E103" s="7">
        <f t="shared" si="12"/>
        <v>0</v>
      </c>
      <c r="F103" s="7" t="str">
        <f t="shared" si="9"/>
        <v/>
      </c>
      <c r="G103" s="7">
        <f t="shared" si="13"/>
        <v>0</v>
      </c>
      <c r="H103" s="7">
        <f t="shared" si="10"/>
        <v>0</v>
      </c>
      <c r="I103" s="7">
        <f t="shared" si="14"/>
        <v>254107.4295827428</v>
      </c>
      <c r="J103" s="8">
        <f t="shared" si="15"/>
        <v>68609.005987340584</v>
      </c>
      <c r="K103" s="8">
        <f t="shared" si="16"/>
        <v>2355575.8722320227</v>
      </c>
      <c r="M103" s="44"/>
    </row>
    <row r="104" spans="1:13" x14ac:dyDescent="0.2">
      <c r="A104" s="4">
        <f t="shared" si="7"/>
        <v>57</v>
      </c>
      <c r="B104" s="4">
        <f t="shared" si="18"/>
        <v>81</v>
      </c>
      <c r="C104" s="5">
        <f t="shared" si="11"/>
        <v>0.03</v>
      </c>
      <c r="D104" s="7">
        <f t="shared" si="17"/>
        <v>261730.65247022503</v>
      </c>
      <c r="E104" s="7">
        <f t="shared" si="12"/>
        <v>0</v>
      </c>
      <c r="F104" s="7" t="str">
        <f t="shared" si="9"/>
        <v/>
      </c>
      <c r="G104" s="7">
        <f t="shared" si="13"/>
        <v>0</v>
      </c>
      <c r="H104" s="7">
        <f t="shared" si="10"/>
        <v>0</v>
      </c>
      <c r="I104" s="7">
        <f t="shared" si="14"/>
        <v>261730.65247022503</v>
      </c>
      <c r="J104" s="8">
        <f t="shared" si="15"/>
        <v>62815.356592854019</v>
      </c>
      <c r="K104" s="8">
        <f t="shared" si="16"/>
        <v>2156660.5763546517</v>
      </c>
      <c r="M104" s="44"/>
    </row>
    <row r="105" spans="1:13" x14ac:dyDescent="0.2">
      <c r="A105" s="4">
        <f t="shared" si="7"/>
        <v>58</v>
      </c>
      <c r="B105" s="4">
        <f t="shared" si="18"/>
        <v>82</v>
      </c>
      <c r="C105" s="5">
        <f t="shared" si="11"/>
        <v>0.03</v>
      </c>
      <c r="D105" s="7">
        <f t="shared" si="17"/>
        <v>269582.57204433181</v>
      </c>
      <c r="E105" s="7">
        <f t="shared" si="12"/>
        <v>0</v>
      </c>
      <c r="F105" s="7" t="str">
        <f t="shared" si="9"/>
        <v/>
      </c>
      <c r="G105" s="7">
        <f t="shared" si="13"/>
        <v>0</v>
      </c>
      <c r="H105" s="7">
        <f t="shared" si="10"/>
        <v>0</v>
      </c>
      <c r="I105" s="7">
        <f t="shared" si="14"/>
        <v>269582.57204433181</v>
      </c>
      <c r="J105" s="8">
        <f t="shared" si="15"/>
        <v>56612.340129309567</v>
      </c>
      <c r="K105" s="8">
        <f t="shared" si="16"/>
        <v>1943690.3444396292</v>
      </c>
      <c r="M105" s="44"/>
    </row>
    <row r="106" spans="1:13" x14ac:dyDescent="0.2">
      <c r="A106" s="4">
        <f t="shared" si="7"/>
        <v>59</v>
      </c>
      <c r="B106" s="4">
        <f t="shared" si="18"/>
        <v>83</v>
      </c>
      <c r="C106" s="5">
        <f t="shared" si="11"/>
        <v>0.03</v>
      </c>
      <c r="D106" s="7">
        <f t="shared" si="17"/>
        <v>277670.04920566175</v>
      </c>
      <c r="E106" s="7">
        <f t="shared" si="12"/>
        <v>0</v>
      </c>
      <c r="F106" s="7" t="str">
        <f t="shared" si="9"/>
        <v/>
      </c>
      <c r="G106" s="7">
        <f t="shared" si="13"/>
        <v>0</v>
      </c>
      <c r="H106" s="7">
        <f t="shared" si="10"/>
        <v>0</v>
      </c>
      <c r="I106" s="7">
        <f t="shared" si="14"/>
        <v>277670.04920566175</v>
      </c>
      <c r="J106" s="8">
        <f t="shared" si="15"/>
        <v>49980.608857019106</v>
      </c>
      <c r="K106" s="8">
        <f t="shared" si="16"/>
        <v>1716000.9040909866</v>
      </c>
      <c r="M106" s="44"/>
    </row>
    <row r="107" spans="1:13" x14ac:dyDescent="0.2">
      <c r="A107" s="4">
        <f t="shared" si="7"/>
        <v>60</v>
      </c>
      <c r="B107" s="4">
        <f t="shared" si="18"/>
        <v>84</v>
      </c>
      <c r="C107" s="5">
        <f t="shared" si="11"/>
        <v>0.03</v>
      </c>
      <c r="D107" s="7">
        <f t="shared" si="17"/>
        <v>286000.15068183158</v>
      </c>
      <c r="E107" s="7">
        <f t="shared" si="12"/>
        <v>0</v>
      </c>
      <c r="F107" s="7" t="str">
        <f t="shared" si="9"/>
        <v/>
      </c>
      <c r="G107" s="7">
        <f t="shared" si="13"/>
        <v>0</v>
      </c>
      <c r="H107" s="7">
        <f t="shared" si="10"/>
        <v>0</v>
      </c>
      <c r="I107" s="7">
        <f t="shared" si="14"/>
        <v>286000.15068183158</v>
      </c>
      <c r="J107" s="8">
        <f t="shared" si="15"/>
        <v>42900.022602274781</v>
      </c>
      <c r="K107" s="8">
        <f t="shared" si="16"/>
        <v>1472900.7760114297</v>
      </c>
      <c r="M107" s="44"/>
    </row>
    <row r="108" spans="1:13" x14ac:dyDescent="0.2">
      <c r="A108" s="4">
        <f t="shared" si="7"/>
        <v>61</v>
      </c>
      <c r="B108" s="4">
        <f t="shared" si="18"/>
        <v>85</v>
      </c>
      <c r="C108" s="5">
        <f t="shared" si="11"/>
        <v>0.03</v>
      </c>
      <c r="D108" s="7">
        <f t="shared" si="17"/>
        <v>294580.15520228655</v>
      </c>
      <c r="E108" s="7">
        <f t="shared" si="12"/>
        <v>0</v>
      </c>
      <c r="F108" s="7" t="str">
        <f t="shared" si="9"/>
        <v/>
      </c>
      <c r="G108" s="7">
        <f t="shared" si="13"/>
        <v>0</v>
      </c>
      <c r="H108" s="7">
        <f t="shared" si="10"/>
        <v>0</v>
      </c>
      <c r="I108" s="7">
        <f t="shared" si="14"/>
        <v>294580.15520228655</v>
      </c>
      <c r="J108" s="8">
        <f t="shared" si="15"/>
        <v>35349.618624274386</v>
      </c>
      <c r="K108" s="8">
        <f t="shared" si="16"/>
        <v>1213670.2394334176</v>
      </c>
      <c r="M108" s="44"/>
    </row>
    <row r="109" spans="1:13" x14ac:dyDescent="0.2">
      <c r="A109" s="4">
        <f t="shared" si="7"/>
        <v>62</v>
      </c>
      <c r="B109" s="4">
        <f t="shared" si="18"/>
        <v>86</v>
      </c>
      <c r="C109" s="5">
        <f t="shared" si="11"/>
        <v>0.03</v>
      </c>
      <c r="D109" s="7">
        <f t="shared" si="17"/>
        <v>303417.55985835509</v>
      </c>
      <c r="E109" s="7">
        <f t="shared" si="12"/>
        <v>0</v>
      </c>
      <c r="F109" s="7" t="str">
        <f t="shared" si="9"/>
        <v/>
      </c>
      <c r="G109" s="7">
        <f t="shared" si="13"/>
        <v>0</v>
      </c>
      <c r="H109" s="7">
        <f t="shared" si="10"/>
        <v>0</v>
      </c>
      <c r="I109" s="7">
        <f t="shared" si="14"/>
        <v>303417.55985835509</v>
      </c>
      <c r="J109" s="8">
        <f t="shared" si="15"/>
        <v>27307.580387251917</v>
      </c>
      <c r="K109" s="8">
        <f t="shared" si="16"/>
        <v>937560.25996231439</v>
      </c>
      <c r="M109" s="44"/>
    </row>
    <row r="110" spans="1:13" x14ac:dyDescent="0.2">
      <c r="A110" s="4">
        <f t="shared" si="7"/>
        <v>63</v>
      </c>
      <c r="B110" s="4">
        <f t="shared" si="18"/>
        <v>87</v>
      </c>
      <c r="C110" s="5">
        <f t="shared" si="11"/>
        <v>0.03</v>
      </c>
      <c r="D110" s="7">
        <f t="shared" si="17"/>
        <v>312520.08665410575</v>
      </c>
      <c r="E110" s="7">
        <f t="shared" si="12"/>
        <v>0</v>
      </c>
      <c r="F110" s="7" t="str">
        <f t="shared" si="9"/>
        <v/>
      </c>
      <c r="G110" s="7">
        <f t="shared" si="13"/>
        <v>0</v>
      </c>
      <c r="H110" s="7">
        <f t="shared" si="10"/>
        <v>0</v>
      </c>
      <c r="I110" s="7">
        <f t="shared" si="14"/>
        <v>312520.08665410575</v>
      </c>
      <c r="J110" s="8">
        <f t="shared" si="15"/>
        <v>18751.205199246295</v>
      </c>
      <c r="K110" s="8">
        <f t="shared" si="16"/>
        <v>643791.37850745488</v>
      </c>
      <c r="M110" s="44"/>
    </row>
    <row r="111" spans="1:13" x14ac:dyDescent="0.2">
      <c r="A111" s="4">
        <f t="shared" si="7"/>
        <v>64</v>
      </c>
      <c r="B111" s="4">
        <f t="shared" si="18"/>
        <v>88</v>
      </c>
      <c r="C111" s="5">
        <f t="shared" si="11"/>
        <v>0.03</v>
      </c>
      <c r="D111" s="7">
        <f t="shared" si="17"/>
        <v>321895.68925372895</v>
      </c>
      <c r="E111" s="7">
        <f t="shared" si="12"/>
        <v>0</v>
      </c>
      <c r="F111" s="7" t="str">
        <f t="shared" si="9"/>
        <v/>
      </c>
      <c r="G111" s="7">
        <f t="shared" si="13"/>
        <v>0</v>
      </c>
      <c r="H111" s="7">
        <f t="shared" si="10"/>
        <v>0</v>
      </c>
      <c r="I111" s="7">
        <f t="shared" si="14"/>
        <v>321895.68925372895</v>
      </c>
      <c r="J111" s="8">
        <f t="shared" si="15"/>
        <v>9656.8706776117906</v>
      </c>
      <c r="K111" s="8">
        <f t="shared" si="16"/>
        <v>331552.55993133772</v>
      </c>
      <c r="M111" s="44"/>
    </row>
    <row r="112" spans="1:13" x14ac:dyDescent="0.2">
      <c r="A112" s="4">
        <f t="shared" si="7"/>
        <v>65</v>
      </c>
      <c r="B112" s="4">
        <f t="shared" si="18"/>
        <v>89</v>
      </c>
      <c r="C112" s="5">
        <f t="shared" ref="C112:C122" si="19">IF(ISERROR(A112),NA(),IF(B112&lt;$E$9,$E$14,$E$15))</f>
        <v>0.03</v>
      </c>
      <c r="D112" s="7">
        <f t="shared" si="17"/>
        <v>331552.5599313408</v>
      </c>
      <c r="E112" s="7">
        <f t="shared" ref="E112:E122" si="20">IF(ISERROR(A112),NA(),IF(B112=$E$9-1,$K$25,0)+IF(A112&lt;=$E$11,$K$30*D112,0))</f>
        <v>0</v>
      </c>
      <c r="F112" s="7" t="str">
        <f t="shared" si="9"/>
        <v/>
      </c>
      <c r="G112" s="7">
        <f t="shared" ref="G112:G122" si="21">IF(ISERROR(A112),NA(),IF(A112&lt;=$E$11,MIN($E$24*E112,$E$25*$E$24*D112),0))</f>
        <v>0</v>
      </c>
      <c r="H112" s="7">
        <f t="shared" si="10"/>
        <v>0</v>
      </c>
      <c r="I112" s="7">
        <f t="shared" ref="I112:I122" si="22">IF(ISERROR(A112),NA(),IF(B112&gt;=$E$9,D112-H112,0))</f>
        <v>331552.5599313408</v>
      </c>
      <c r="J112" s="8">
        <f t="shared" ref="J112:J122" si="23">IF(ISERROR(A112),NA(),FV(C112/$E$42,$E$42,-(E112+G112)/$E$42,-(K111-I112*$E$43),0)-(K111+E112+G112-I112*$E$43))</f>
        <v>-9.2550180852413376E-11</v>
      </c>
      <c r="K112" s="8">
        <f t="shared" ref="K112:K122" si="24">IF(ISERROR(A112),NA(),K111+E112+G112+J112-I112)</f>
        <v>-3.2014213502407074E-9</v>
      </c>
      <c r="M112" s="44"/>
    </row>
    <row r="113" spans="1:13" x14ac:dyDescent="0.2">
      <c r="A113" s="4" t="e">
        <f t="shared" ref="A113:A122" si="25">IF($E$8&gt;=$E$9,NA(),IF(A112&lt;($E$9-$E$8)+$E$10,A112+1,NA()))</f>
        <v>#N/A</v>
      </c>
      <c r="B113" s="4" t="e">
        <f t="shared" si="18"/>
        <v>#N/A</v>
      </c>
      <c r="C113" s="5" t="e">
        <f t="shared" si="19"/>
        <v>#N/A</v>
      </c>
      <c r="D113" s="7" t="e">
        <f t="shared" ref="D113:D122" si="26">IF(ISERROR(A113),NA(),IF(B113&gt;=$E$9,$K$9*(1+$E$16)^(B113-$E$9),(1+$E$20)*D112))</f>
        <v>#N/A</v>
      </c>
      <c r="E113" s="7" t="e">
        <f t="shared" si="20"/>
        <v>#N/A</v>
      </c>
      <c r="F113" s="7" t="e">
        <f t="shared" ref="F113:F122" si="27">IF(ISERROR(A113),NA(),"")</f>
        <v>#N/A</v>
      </c>
      <c r="G113" s="7" t="e">
        <f t="shared" si="21"/>
        <v>#N/A</v>
      </c>
      <c r="H113" s="7" t="e">
        <f t="shared" ref="H113:H122" si="28">IF(ISERROR(A113),NA(),IF(ISERROR(B113),0,IF(AND(B113&gt;=$K$18,B113&lt;($K$18+$K$21)),$K$19*(1+$K$20)^(B113-$K$18),0)))</f>
        <v>#N/A</v>
      </c>
      <c r="I113" s="7" t="e">
        <f t="shared" si="22"/>
        <v>#N/A</v>
      </c>
      <c r="J113" s="8" t="e">
        <f t="shared" si="23"/>
        <v>#N/A</v>
      </c>
      <c r="K113" s="8" t="e">
        <f t="shared" si="24"/>
        <v>#N/A</v>
      </c>
      <c r="M113" s="44"/>
    </row>
    <row r="114" spans="1:13" x14ac:dyDescent="0.2">
      <c r="A114" s="4" t="e">
        <f t="shared" si="25"/>
        <v>#N/A</v>
      </c>
      <c r="B114" s="4" t="e">
        <f t="shared" si="18"/>
        <v>#N/A</v>
      </c>
      <c r="C114" s="5" t="e">
        <f t="shared" si="19"/>
        <v>#N/A</v>
      </c>
      <c r="D114" s="7" t="e">
        <f t="shared" si="26"/>
        <v>#N/A</v>
      </c>
      <c r="E114" s="7" t="e">
        <f t="shared" si="20"/>
        <v>#N/A</v>
      </c>
      <c r="F114" s="7" t="e">
        <f t="shared" si="27"/>
        <v>#N/A</v>
      </c>
      <c r="G114" s="7" t="e">
        <f t="shared" si="21"/>
        <v>#N/A</v>
      </c>
      <c r="H114" s="7" t="e">
        <f t="shared" si="28"/>
        <v>#N/A</v>
      </c>
      <c r="I114" s="7" t="e">
        <f t="shared" si="22"/>
        <v>#N/A</v>
      </c>
      <c r="J114" s="8" t="e">
        <f t="shared" si="23"/>
        <v>#N/A</v>
      </c>
      <c r="K114" s="8" t="e">
        <f t="shared" si="24"/>
        <v>#N/A</v>
      </c>
      <c r="M114" s="44"/>
    </row>
    <row r="115" spans="1:13" x14ac:dyDescent="0.2">
      <c r="A115" s="4" t="e">
        <f t="shared" si="25"/>
        <v>#N/A</v>
      </c>
      <c r="B115" s="4" t="e">
        <f t="shared" si="18"/>
        <v>#N/A</v>
      </c>
      <c r="C115" s="5" t="e">
        <f t="shared" si="19"/>
        <v>#N/A</v>
      </c>
      <c r="D115" s="7" t="e">
        <f t="shared" si="26"/>
        <v>#N/A</v>
      </c>
      <c r="E115" s="7" t="e">
        <f t="shared" si="20"/>
        <v>#N/A</v>
      </c>
      <c r="F115" s="7" t="e">
        <f t="shared" si="27"/>
        <v>#N/A</v>
      </c>
      <c r="G115" s="7" t="e">
        <f t="shared" si="21"/>
        <v>#N/A</v>
      </c>
      <c r="H115" s="7" t="e">
        <f t="shared" si="28"/>
        <v>#N/A</v>
      </c>
      <c r="I115" s="7" t="e">
        <f t="shared" si="22"/>
        <v>#N/A</v>
      </c>
      <c r="J115" s="8" t="e">
        <f t="shared" si="23"/>
        <v>#N/A</v>
      </c>
      <c r="K115" s="8" t="e">
        <f t="shared" si="24"/>
        <v>#N/A</v>
      </c>
    </row>
    <row r="116" spans="1:13" x14ac:dyDescent="0.2">
      <c r="A116" s="4" t="e">
        <f t="shared" si="25"/>
        <v>#N/A</v>
      </c>
      <c r="B116" s="4" t="e">
        <f t="shared" si="18"/>
        <v>#N/A</v>
      </c>
      <c r="C116" s="5" t="e">
        <f t="shared" si="19"/>
        <v>#N/A</v>
      </c>
      <c r="D116" s="7" t="e">
        <f t="shared" si="26"/>
        <v>#N/A</v>
      </c>
      <c r="E116" s="7" t="e">
        <f t="shared" si="20"/>
        <v>#N/A</v>
      </c>
      <c r="F116" s="7" t="e">
        <f t="shared" si="27"/>
        <v>#N/A</v>
      </c>
      <c r="G116" s="7" t="e">
        <f t="shared" si="21"/>
        <v>#N/A</v>
      </c>
      <c r="H116" s="7" t="e">
        <f t="shared" si="28"/>
        <v>#N/A</v>
      </c>
      <c r="I116" s="7" t="e">
        <f t="shared" si="22"/>
        <v>#N/A</v>
      </c>
      <c r="J116" s="8" t="e">
        <f t="shared" si="23"/>
        <v>#N/A</v>
      </c>
      <c r="K116" s="8" t="e">
        <f t="shared" si="24"/>
        <v>#N/A</v>
      </c>
    </row>
    <row r="117" spans="1:13" x14ac:dyDescent="0.2">
      <c r="A117" s="4" t="e">
        <f t="shared" si="25"/>
        <v>#N/A</v>
      </c>
      <c r="B117" s="4" t="e">
        <f t="shared" si="18"/>
        <v>#N/A</v>
      </c>
      <c r="C117" s="5" t="e">
        <f t="shared" si="19"/>
        <v>#N/A</v>
      </c>
      <c r="D117" s="7" t="e">
        <f t="shared" si="26"/>
        <v>#N/A</v>
      </c>
      <c r="E117" s="7" t="e">
        <f t="shared" si="20"/>
        <v>#N/A</v>
      </c>
      <c r="F117" s="7" t="e">
        <f t="shared" si="27"/>
        <v>#N/A</v>
      </c>
      <c r="G117" s="7" t="e">
        <f t="shared" si="21"/>
        <v>#N/A</v>
      </c>
      <c r="H117" s="7" t="e">
        <f t="shared" si="28"/>
        <v>#N/A</v>
      </c>
      <c r="I117" s="7" t="e">
        <f t="shared" si="22"/>
        <v>#N/A</v>
      </c>
      <c r="J117" s="8" t="e">
        <f t="shared" si="23"/>
        <v>#N/A</v>
      </c>
      <c r="K117" s="8" t="e">
        <f t="shared" si="24"/>
        <v>#N/A</v>
      </c>
    </row>
    <row r="118" spans="1:13" x14ac:dyDescent="0.2">
      <c r="A118" s="4" t="e">
        <f t="shared" si="25"/>
        <v>#N/A</v>
      </c>
      <c r="B118" s="4" t="e">
        <f t="shared" si="18"/>
        <v>#N/A</v>
      </c>
      <c r="C118" s="5" t="e">
        <f t="shared" si="19"/>
        <v>#N/A</v>
      </c>
      <c r="D118" s="7" t="e">
        <f t="shared" si="26"/>
        <v>#N/A</v>
      </c>
      <c r="E118" s="7" t="e">
        <f t="shared" si="20"/>
        <v>#N/A</v>
      </c>
      <c r="F118" s="7" t="e">
        <f t="shared" si="27"/>
        <v>#N/A</v>
      </c>
      <c r="G118" s="7" t="e">
        <f t="shared" si="21"/>
        <v>#N/A</v>
      </c>
      <c r="H118" s="7" t="e">
        <f t="shared" si="28"/>
        <v>#N/A</v>
      </c>
      <c r="I118" s="7" t="e">
        <f t="shared" si="22"/>
        <v>#N/A</v>
      </c>
      <c r="J118" s="8" t="e">
        <f t="shared" si="23"/>
        <v>#N/A</v>
      </c>
      <c r="K118" s="8" t="e">
        <f t="shared" si="24"/>
        <v>#N/A</v>
      </c>
    </row>
    <row r="119" spans="1:13" x14ac:dyDescent="0.2">
      <c r="A119" s="4" t="e">
        <f t="shared" si="25"/>
        <v>#N/A</v>
      </c>
      <c r="B119" s="4" t="e">
        <f t="shared" si="18"/>
        <v>#N/A</v>
      </c>
      <c r="C119" s="5" t="e">
        <f t="shared" si="19"/>
        <v>#N/A</v>
      </c>
      <c r="D119" s="7" t="e">
        <f t="shared" si="26"/>
        <v>#N/A</v>
      </c>
      <c r="E119" s="7" t="e">
        <f t="shared" si="20"/>
        <v>#N/A</v>
      </c>
      <c r="F119" s="7" t="e">
        <f t="shared" si="27"/>
        <v>#N/A</v>
      </c>
      <c r="G119" s="7" t="e">
        <f t="shared" si="21"/>
        <v>#N/A</v>
      </c>
      <c r="H119" s="7" t="e">
        <f t="shared" si="28"/>
        <v>#N/A</v>
      </c>
      <c r="I119" s="7" t="e">
        <f t="shared" si="22"/>
        <v>#N/A</v>
      </c>
      <c r="J119" s="8" t="e">
        <f t="shared" si="23"/>
        <v>#N/A</v>
      </c>
      <c r="K119" s="8" t="e">
        <f t="shared" si="24"/>
        <v>#N/A</v>
      </c>
    </row>
    <row r="120" spans="1:13" x14ac:dyDescent="0.2">
      <c r="A120" s="4" t="e">
        <f t="shared" si="25"/>
        <v>#N/A</v>
      </c>
      <c r="B120" s="4" t="e">
        <f t="shared" si="18"/>
        <v>#N/A</v>
      </c>
      <c r="C120" s="5" t="e">
        <f t="shared" si="19"/>
        <v>#N/A</v>
      </c>
      <c r="D120" s="7" t="e">
        <f t="shared" si="26"/>
        <v>#N/A</v>
      </c>
      <c r="E120" s="7" t="e">
        <f t="shared" si="20"/>
        <v>#N/A</v>
      </c>
      <c r="F120" s="7" t="e">
        <f t="shared" si="27"/>
        <v>#N/A</v>
      </c>
      <c r="G120" s="7" t="e">
        <f t="shared" si="21"/>
        <v>#N/A</v>
      </c>
      <c r="H120" s="7" t="e">
        <f t="shared" si="28"/>
        <v>#N/A</v>
      </c>
      <c r="I120" s="7" t="e">
        <f t="shared" si="22"/>
        <v>#N/A</v>
      </c>
      <c r="J120" s="8" t="e">
        <f t="shared" si="23"/>
        <v>#N/A</v>
      </c>
      <c r="K120" s="8" t="e">
        <f t="shared" si="24"/>
        <v>#N/A</v>
      </c>
    </row>
    <row r="121" spans="1:13" x14ac:dyDescent="0.2">
      <c r="A121" s="4" t="e">
        <f t="shared" si="25"/>
        <v>#N/A</v>
      </c>
      <c r="B121" s="4" t="e">
        <f t="shared" ref="B121" si="29">IF(ISERROR(A121),NA(),$E$8+A121-1)</f>
        <v>#N/A</v>
      </c>
      <c r="C121" s="5" t="e">
        <f t="shared" si="19"/>
        <v>#N/A</v>
      </c>
      <c r="D121" s="7" t="e">
        <f t="shared" si="26"/>
        <v>#N/A</v>
      </c>
      <c r="E121" s="7" t="e">
        <f t="shared" si="20"/>
        <v>#N/A</v>
      </c>
      <c r="F121" s="7" t="e">
        <f t="shared" si="27"/>
        <v>#N/A</v>
      </c>
      <c r="G121" s="7" t="e">
        <f t="shared" si="21"/>
        <v>#N/A</v>
      </c>
      <c r="H121" s="7" t="e">
        <f t="shared" si="28"/>
        <v>#N/A</v>
      </c>
      <c r="I121" s="7" t="e">
        <f t="shared" si="22"/>
        <v>#N/A</v>
      </c>
      <c r="J121" s="8" t="e">
        <f t="shared" si="23"/>
        <v>#N/A</v>
      </c>
      <c r="K121" s="8" t="e">
        <f t="shared" si="24"/>
        <v>#N/A</v>
      </c>
    </row>
    <row r="122" spans="1:13" x14ac:dyDescent="0.2">
      <c r="A122" s="4" t="e">
        <f t="shared" si="25"/>
        <v>#N/A</v>
      </c>
      <c r="B122" s="4" t="e">
        <f t="shared" si="18"/>
        <v>#N/A</v>
      </c>
      <c r="C122" s="5" t="e">
        <f t="shared" si="19"/>
        <v>#N/A</v>
      </c>
      <c r="D122" s="7" t="e">
        <f t="shared" si="26"/>
        <v>#N/A</v>
      </c>
      <c r="E122" s="7" t="e">
        <f t="shared" si="20"/>
        <v>#N/A</v>
      </c>
      <c r="F122" s="7" t="e">
        <f t="shared" si="27"/>
        <v>#N/A</v>
      </c>
      <c r="G122" s="7" t="e">
        <f t="shared" si="21"/>
        <v>#N/A</v>
      </c>
      <c r="H122" s="7" t="e">
        <f t="shared" si="28"/>
        <v>#N/A</v>
      </c>
      <c r="I122" s="7" t="e">
        <f t="shared" si="22"/>
        <v>#N/A</v>
      </c>
      <c r="J122" s="8" t="e">
        <f t="shared" si="23"/>
        <v>#N/A</v>
      </c>
      <c r="K122" s="8" t="e">
        <f t="shared" si="24"/>
        <v>#N/A</v>
      </c>
    </row>
    <row r="123" spans="1:13" x14ac:dyDescent="0.2">
      <c r="A123" s="34"/>
      <c r="B123" s="34"/>
      <c r="C123" s="34"/>
      <c r="D123" s="34"/>
      <c r="E123" s="34"/>
      <c r="F123" s="34"/>
      <c r="G123" s="34"/>
      <c r="H123" s="34"/>
      <c r="I123" s="34"/>
      <c r="J123" s="34"/>
      <c r="K123" s="34"/>
    </row>
    <row r="126" spans="1:13" x14ac:dyDescent="0.2">
      <c r="A126" s="3" t="str">
        <f>IF(E8=E9,"No Accumulation Phase","Table Based on "&amp;TEXT(E23,"0.00%")&amp;" Salary Contribution Scenario")</f>
        <v>Table Based on 10.00% Salary Contribution Scenario</v>
      </c>
      <c r="J126" s="1"/>
      <c r="K126" s="41" t="s">
        <v>29</v>
      </c>
    </row>
    <row r="127" spans="1:13" ht="26.25" thickBot="1" x14ac:dyDescent="0.25">
      <c r="A127" s="15" t="s">
        <v>3</v>
      </c>
      <c r="B127" s="15" t="s">
        <v>4</v>
      </c>
      <c r="C127" s="15" t="s">
        <v>8</v>
      </c>
      <c r="D127" s="15" t="s">
        <v>20</v>
      </c>
      <c r="E127" s="15" t="s">
        <v>6</v>
      </c>
      <c r="F127" s="15"/>
      <c r="G127" s="15" t="s">
        <v>26</v>
      </c>
      <c r="H127" s="43" t="s">
        <v>35</v>
      </c>
      <c r="I127" s="33" t="s">
        <v>18</v>
      </c>
      <c r="J127" s="15" t="s">
        <v>22</v>
      </c>
      <c r="K127" s="16" t="s">
        <v>0</v>
      </c>
    </row>
    <row r="128" spans="1:13" x14ac:dyDescent="0.2">
      <c r="A128" s="12"/>
      <c r="B128" s="12"/>
      <c r="C128" s="12"/>
      <c r="D128" s="13"/>
      <c r="E128" s="13"/>
      <c r="F128" s="13"/>
      <c r="G128" s="13"/>
      <c r="H128" s="13"/>
      <c r="I128" s="12"/>
      <c r="J128" s="12"/>
      <c r="K128" s="14">
        <f>Retirement!$K$13</f>
        <v>20000</v>
      </c>
    </row>
    <row r="129" spans="1:11" x14ac:dyDescent="0.2">
      <c r="A129" s="4">
        <f>IF(OR(K128&lt;0,A128&gt;=($E$9-$E$8)+$E$10),NA(),A128+1)</f>
        <v>1</v>
      </c>
      <c r="B129" s="4">
        <f>IF(ISERROR(A129),NA(),$E$8+A129-1)</f>
        <v>25</v>
      </c>
      <c r="C129" s="5">
        <f>IF(ISERROR(A129),NA(),IF(B129&lt;$E$9,$E$14,$E$15))</f>
        <v>0.06</v>
      </c>
      <c r="D129" s="6">
        <f>IF(E8&gt;=E9,K8,E19)</f>
        <v>50000</v>
      </c>
      <c r="E129" s="7">
        <f>IF(ISERROR(A129),NA(),IF(B129=$E$9-1,$K$25)+IF(A129&lt;=$E$11,$E$23*D129,0))</f>
        <v>5000</v>
      </c>
      <c r="F129" s="7" t="str">
        <f t="shared" ref="F129:F160" si="30">IF(ISERROR(A129),NA(),"")</f>
        <v/>
      </c>
      <c r="G129" s="7">
        <f>IF(ISERROR(A129),NA(),IF(A129&lt;=$E$11,MIN($E$24*E129,$E$25*$E$24*D129),0))</f>
        <v>1500</v>
      </c>
      <c r="H129" s="7">
        <f>IF(ISERROR(A129),NA(),IF(ISERROR(B129),0,IF(AND(B129&gt;=$K$18,B129&lt;($K$18+$K$21)),$K$19*(1+$K$20)^(B129-$K$18),0)))</f>
        <v>0</v>
      </c>
      <c r="I129" s="7">
        <f>IF(ISERROR(A129),NA(),IF(B129&gt;=$E$9,D129-H129,0))</f>
        <v>0</v>
      </c>
      <c r="J129" s="8">
        <f>IF(ISERROR(A129),NA(),FV(C129/$E$42,$E$42,-(E129+G129)/$E$42,-(K128-I129*$E$43),0)-(K128+E129+G129-I129*$E$43))</f>
        <v>1200.0000000000073</v>
      </c>
      <c r="K129" s="8">
        <f t="shared" ref="K129:K160" si="31">IF(ISERROR(A129),NA(),K128+E129+G129+J129-I129)</f>
        <v>27700.000000000007</v>
      </c>
    </row>
    <row r="130" spans="1:11" x14ac:dyDescent="0.2">
      <c r="A130" s="4">
        <f t="shared" ref="A130:A193" si="32">IF(OR(K129&lt;0,A129&gt;=($E$9-$E$8)+$E$10),NA(),A129+1)</f>
        <v>2</v>
      </c>
      <c r="B130" s="4">
        <f t="shared" ref="B130:B193" si="33">IF(ISERROR(A130),NA(),$E$8+A130-1)</f>
        <v>26</v>
      </c>
      <c r="C130" s="5">
        <f t="shared" ref="C130:C193" si="34">IF(ISERROR(A130),NA(),IF(B130&lt;$E$9,$E$14,$E$15))</f>
        <v>0.06</v>
      </c>
      <c r="D130" s="7">
        <f>IF(ISERROR(A130),NA(),IF(B130&gt;=$E$9,$K$9*(1+$E$16)^(B130-$E$9),(1+$E$20)*D129))</f>
        <v>51000</v>
      </c>
      <c r="E130" s="7">
        <f t="shared" ref="E130:E193" si="35">IF(ISERROR(A130),NA(),IF(B130=$E$9-1,$K$25)+IF(A130&lt;=$E$11,$E$23*D130,0))</f>
        <v>5100</v>
      </c>
      <c r="F130" s="7" t="str">
        <f t="shared" si="30"/>
        <v/>
      </c>
      <c r="G130" s="7">
        <f t="shared" ref="G130:G193" si="36">IF(ISERROR(A130),NA(),IF(A130&lt;=$E$11,MIN($E$24*E130,$E$25*$E$24*D130),0))</f>
        <v>1530</v>
      </c>
      <c r="H130" s="7">
        <f t="shared" ref="H130:H193" si="37">IF(ISERROR(A130),NA(),IF(ISERROR(B130),0,IF(AND(B130&gt;=$K$18,B130&lt;($K$18+$K$21)),$K$19*(1+$K$20)^(B130-$K$18),0)))</f>
        <v>0</v>
      </c>
      <c r="I130" s="7">
        <f t="shared" ref="I130:I193" si="38">IF(ISERROR(A130),NA(),IF(B130&gt;=$E$9,D130-H130,0))</f>
        <v>0</v>
      </c>
      <c r="J130" s="8">
        <f t="shared" ref="J130:J193" si="39">IF(ISERROR(A130),NA(),FV(C130/$E$42,$E$42,-(E130+G130)/$E$42,-(K129-I130*$E$43),0)-(K129+E130+G130-I130*$E$43))</f>
        <v>1662.0000000000073</v>
      </c>
      <c r="K130" s="8">
        <f t="shared" si="31"/>
        <v>35992.000000000015</v>
      </c>
    </row>
    <row r="131" spans="1:11" x14ac:dyDescent="0.2">
      <c r="A131" s="4">
        <f t="shared" si="32"/>
        <v>3</v>
      </c>
      <c r="B131" s="4">
        <f t="shared" si="33"/>
        <v>27</v>
      </c>
      <c r="C131" s="5">
        <f t="shared" si="34"/>
        <v>0.06</v>
      </c>
      <c r="D131" s="7">
        <f t="shared" ref="D131:D194" si="40">IF(ISERROR(A131),NA(),IF(B131&gt;=$E$9,$K$9*(1+$E$16)^(B131-$E$9),(1+$E$20)*D130))</f>
        <v>52020</v>
      </c>
      <c r="E131" s="7">
        <f t="shared" si="35"/>
        <v>5202</v>
      </c>
      <c r="F131" s="7" t="str">
        <f t="shared" si="30"/>
        <v/>
      </c>
      <c r="G131" s="7">
        <f t="shared" si="36"/>
        <v>1560.6</v>
      </c>
      <c r="H131" s="7">
        <f t="shared" si="37"/>
        <v>0</v>
      </c>
      <c r="I131" s="7">
        <f t="shared" si="38"/>
        <v>0</v>
      </c>
      <c r="J131" s="8">
        <f t="shared" si="39"/>
        <v>2159.5200000000114</v>
      </c>
      <c r="K131" s="8">
        <f t="shared" si="31"/>
        <v>44914.120000000024</v>
      </c>
    </row>
    <row r="132" spans="1:11" x14ac:dyDescent="0.2">
      <c r="A132" s="4">
        <f t="shared" si="32"/>
        <v>4</v>
      </c>
      <c r="B132" s="4">
        <f t="shared" si="33"/>
        <v>28</v>
      </c>
      <c r="C132" s="5">
        <f t="shared" si="34"/>
        <v>0.06</v>
      </c>
      <c r="D132" s="7">
        <f t="shared" si="40"/>
        <v>53060.4</v>
      </c>
      <c r="E132" s="7">
        <f t="shared" si="35"/>
        <v>5306.0400000000009</v>
      </c>
      <c r="F132" s="7" t="str">
        <f t="shared" si="30"/>
        <v/>
      </c>
      <c r="G132" s="7">
        <f t="shared" si="36"/>
        <v>1591.8119999999999</v>
      </c>
      <c r="H132" s="7">
        <f t="shared" si="37"/>
        <v>0</v>
      </c>
      <c r="I132" s="7">
        <f t="shared" si="38"/>
        <v>0</v>
      </c>
      <c r="J132" s="8">
        <f t="shared" si="39"/>
        <v>2694.8472000000111</v>
      </c>
      <c r="K132" s="8">
        <f t="shared" si="31"/>
        <v>54506.819200000034</v>
      </c>
    </row>
    <row r="133" spans="1:11" x14ac:dyDescent="0.2">
      <c r="A133" s="4">
        <f t="shared" si="32"/>
        <v>5</v>
      </c>
      <c r="B133" s="4">
        <f t="shared" si="33"/>
        <v>29</v>
      </c>
      <c r="C133" s="5">
        <f t="shared" si="34"/>
        <v>0.06</v>
      </c>
      <c r="D133" s="7">
        <f t="shared" si="40"/>
        <v>54121.608</v>
      </c>
      <c r="E133" s="7">
        <f t="shared" si="35"/>
        <v>5412.1608000000006</v>
      </c>
      <c r="F133" s="7" t="str">
        <f t="shared" si="30"/>
        <v/>
      </c>
      <c r="G133" s="7">
        <f t="shared" si="36"/>
        <v>1623.64824</v>
      </c>
      <c r="H133" s="7">
        <f t="shared" si="37"/>
        <v>0</v>
      </c>
      <c r="I133" s="7">
        <f t="shared" si="38"/>
        <v>0</v>
      </c>
      <c r="J133" s="8">
        <f t="shared" si="39"/>
        <v>3270.4091520000147</v>
      </c>
      <c r="K133" s="8">
        <f t="shared" si="31"/>
        <v>64813.037392000049</v>
      </c>
    </row>
    <row r="134" spans="1:11" x14ac:dyDescent="0.2">
      <c r="A134" s="4">
        <f t="shared" si="32"/>
        <v>6</v>
      </c>
      <c r="B134" s="4">
        <f t="shared" si="33"/>
        <v>30</v>
      </c>
      <c r="C134" s="5">
        <f t="shared" si="34"/>
        <v>0.06</v>
      </c>
      <c r="D134" s="7">
        <f t="shared" si="40"/>
        <v>55204.040160000004</v>
      </c>
      <c r="E134" s="7">
        <f t="shared" si="35"/>
        <v>5520.4040160000004</v>
      </c>
      <c r="F134" s="7" t="str">
        <f t="shared" si="30"/>
        <v/>
      </c>
      <c r="G134" s="7">
        <f t="shared" si="36"/>
        <v>1656.1212048</v>
      </c>
      <c r="H134" s="7">
        <f t="shared" si="37"/>
        <v>0</v>
      </c>
      <c r="I134" s="7">
        <f t="shared" si="38"/>
        <v>0</v>
      </c>
      <c r="J134" s="8">
        <f t="shared" si="39"/>
        <v>3888.7822435200069</v>
      </c>
      <c r="K134" s="8">
        <f t="shared" si="31"/>
        <v>75878.344856320051</v>
      </c>
    </row>
    <row r="135" spans="1:11" x14ac:dyDescent="0.2">
      <c r="A135" s="4">
        <f t="shared" si="32"/>
        <v>7</v>
      </c>
      <c r="B135" s="4">
        <f t="shared" si="33"/>
        <v>31</v>
      </c>
      <c r="C135" s="5">
        <f t="shared" si="34"/>
        <v>0.06</v>
      </c>
      <c r="D135" s="7">
        <f t="shared" si="40"/>
        <v>56308.120963200003</v>
      </c>
      <c r="E135" s="7">
        <f t="shared" si="35"/>
        <v>5630.8120963200008</v>
      </c>
      <c r="F135" s="7" t="str">
        <f t="shared" si="30"/>
        <v/>
      </c>
      <c r="G135" s="7">
        <f t="shared" si="36"/>
        <v>1689.243628896</v>
      </c>
      <c r="H135" s="7">
        <f t="shared" si="37"/>
        <v>0</v>
      </c>
      <c r="I135" s="7">
        <f t="shared" si="38"/>
        <v>0</v>
      </c>
      <c r="J135" s="8">
        <f t="shared" si="39"/>
        <v>4552.7006913792138</v>
      </c>
      <c r="K135" s="8">
        <f t="shared" si="31"/>
        <v>87751.101272915272</v>
      </c>
    </row>
    <row r="136" spans="1:11" x14ac:dyDescent="0.2">
      <c r="A136" s="4">
        <f t="shared" si="32"/>
        <v>8</v>
      </c>
      <c r="B136" s="4">
        <f t="shared" si="33"/>
        <v>32</v>
      </c>
      <c r="C136" s="5">
        <f t="shared" si="34"/>
        <v>0.06</v>
      </c>
      <c r="D136" s="7">
        <f t="shared" si="40"/>
        <v>57434.283382464004</v>
      </c>
      <c r="E136" s="7">
        <f t="shared" si="35"/>
        <v>5743.4283382464009</v>
      </c>
      <c r="F136" s="7" t="str">
        <f t="shared" si="30"/>
        <v/>
      </c>
      <c r="G136" s="7">
        <f t="shared" si="36"/>
        <v>1723.02850147392</v>
      </c>
      <c r="H136" s="7">
        <f t="shared" si="37"/>
        <v>0</v>
      </c>
      <c r="I136" s="7">
        <f t="shared" si="38"/>
        <v>0</v>
      </c>
      <c r="J136" s="8">
        <f t="shared" si="39"/>
        <v>5265.0660763749183</v>
      </c>
      <c r="K136" s="8">
        <f t="shared" si="31"/>
        <v>100482.62418901052</v>
      </c>
    </row>
    <row r="137" spans="1:11" x14ac:dyDescent="0.2">
      <c r="A137" s="4">
        <f t="shared" si="32"/>
        <v>9</v>
      </c>
      <c r="B137" s="4">
        <f t="shared" si="33"/>
        <v>33</v>
      </c>
      <c r="C137" s="5">
        <f t="shared" si="34"/>
        <v>0.06</v>
      </c>
      <c r="D137" s="7">
        <f t="shared" si="40"/>
        <v>58582.969050113286</v>
      </c>
      <c r="E137" s="7">
        <f t="shared" si="35"/>
        <v>5858.2969050113288</v>
      </c>
      <c r="F137" s="7" t="str">
        <f t="shared" si="30"/>
        <v/>
      </c>
      <c r="G137" s="7">
        <f t="shared" si="36"/>
        <v>1757.4890715033985</v>
      </c>
      <c r="H137" s="7">
        <f t="shared" si="37"/>
        <v>0</v>
      </c>
      <c r="I137" s="7">
        <f t="shared" si="38"/>
        <v>0</v>
      </c>
      <c r="J137" s="8">
        <f t="shared" si="39"/>
        <v>6028.9574513406405</v>
      </c>
      <c r="K137" s="8">
        <f t="shared" si="31"/>
        <v>114127.36761686589</v>
      </c>
    </row>
    <row r="138" spans="1:11" x14ac:dyDescent="0.2">
      <c r="A138" s="4">
        <f t="shared" si="32"/>
        <v>10</v>
      </c>
      <c r="B138" s="4">
        <f t="shared" si="33"/>
        <v>34</v>
      </c>
      <c r="C138" s="5">
        <f t="shared" si="34"/>
        <v>0.06</v>
      </c>
      <c r="D138" s="7">
        <f t="shared" si="40"/>
        <v>59754.628431115554</v>
      </c>
      <c r="E138" s="7">
        <f t="shared" si="35"/>
        <v>5975.4628431115561</v>
      </c>
      <c r="F138" s="7" t="str">
        <f t="shared" si="30"/>
        <v/>
      </c>
      <c r="G138" s="7">
        <f t="shared" si="36"/>
        <v>1792.6388529334665</v>
      </c>
      <c r="H138" s="7">
        <f t="shared" si="37"/>
        <v>0</v>
      </c>
      <c r="I138" s="7">
        <f t="shared" si="38"/>
        <v>0</v>
      </c>
      <c r="J138" s="8">
        <f t="shared" si="39"/>
        <v>6847.6420570119808</v>
      </c>
      <c r="K138" s="8">
        <f t="shared" si="31"/>
        <v>128743.11136992289</v>
      </c>
    </row>
    <row r="139" spans="1:11" x14ac:dyDescent="0.2">
      <c r="A139" s="4">
        <f t="shared" si="32"/>
        <v>11</v>
      </c>
      <c r="B139" s="4">
        <f t="shared" si="33"/>
        <v>35</v>
      </c>
      <c r="C139" s="5">
        <f t="shared" si="34"/>
        <v>0.06</v>
      </c>
      <c r="D139" s="7">
        <f t="shared" si="40"/>
        <v>60949.720999737867</v>
      </c>
      <c r="E139" s="7">
        <f t="shared" si="35"/>
        <v>6094.9720999737874</v>
      </c>
      <c r="F139" s="7" t="str">
        <f t="shared" si="30"/>
        <v/>
      </c>
      <c r="G139" s="7">
        <f t="shared" si="36"/>
        <v>1828.491629992136</v>
      </c>
      <c r="H139" s="7">
        <f t="shared" si="37"/>
        <v>0</v>
      </c>
      <c r="I139" s="7">
        <f t="shared" si="38"/>
        <v>0</v>
      </c>
      <c r="J139" s="8">
        <f t="shared" si="39"/>
        <v>7724.5866821953969</v>
      </c>
      <c r="K139" s="8">
        <f t="shared" si="31"/>
        <v>144391.16178208421</v>
      </c>
    </row>
    <row r="140" spans="1:11" x14ac:dyDescent="0.2">
      <c r="A140" s="4">
        <f t="shared" si="32"/>
        <v>12</v>
      </c>
      <c r="B140" s="4">
        <f t="shared" si="33"/>
        <v>36</v>
      </c>
      <c r="C140" s="5">
        <f t="shared" si="34"/>
        <v>0.06</v>
      </c>
      <c r="D140" s="7">
        <f t="shared" si="40"/>
        <v>62168.715419732624</v>
      </c>
      <c r="E140" s="7">
        <f t="shared" si="35"/>
        <v>6216.8715419732625</v>
      </c>
      <c r="F140" s="7" t="str">
        <f t="shared" si="30"/>
        <v/>
      </c>
      <c r="G140" s="7">
        <f t="shared" si="36"/>
        <v>1865.0614625919786</v>
      </c>
      <c r="H140" s="7">
        <f t="shared" si="37"/>
        <v>0</v>
      </c>
      <c r="I140" s="7">
        <f t="shared" si="38"/>
        <v>0</v>
      </c>
      <c r="J140" s="8">
        <f t="shared" si="39"/>
        <v>8663.4697069250687</v>
      </c>
      <c r="K140" s="8">
        <f t="shared" si="31"/>
        <v>161136.56449357452</v>
      </c>
    </row>
    <row r="141" spans="1:11" x14ac:dyDescent="0.2">
      <c r="A141" s="4">
        <f t="shared" si="32"/>
        <v>13</v>
      </c>
      <c r="B141" s="4">
        <f t="shared" si="33"/>
        <v>37</v>
      </c>
      <c r="C141" s="5">
        <f t="shared" si="34"/>
        <v>0.06</v>
      </c>
      <c r="D141" s="7">
        <f t="shared" si="40"/>
        <v>63412.089728127277</v>
      </c>
      <c r="E141" s="7">
        <f t="shared" si="35"/>
        <v>6341.2089728127285</v>
      </c>
      <c r="F141" s="7" t="str">
        <f t="shared" si="30"/>
        <v/>
      </c>
      <c r="G141" s="7">
        <f t="shared" si="36"/>
        <v>1902.3626918438183</v>
      </c>
      <c r="H141" s="7">
        <f t="shared" si="37"/>
        <v>0</v>
      </c>
      <c r="I141" s="7">
        <f t="shared" si="38"/>
        <v>0</v>
      </c>
      <c r="J141" s="8">
        <f t="shared" si="39"/>
        <v>9668.1938696144789</v>
      </c>
      <c r="K141" s="8">
        <f t="shared" si="31"/>
        <v>179048.33002784554</v>
      </c>
    </row>
    <row r="142" spans="1:11" x14ac:dyDescent="0.2">
      <c r="A142" s="4">
        <f t="shared" si="32"/>
        <v>14</v>
      </c>
      <c r="B142" s="4">
        <f t="shared" si="33"/>
        <v>38</v>
      </c>
      <c r="C142" s="5">
        <f t="shared" si="34"/>
        <v>0.06</v>
      </c>
      <c r="D142" s="7">
        <f t="shared" si="40"/>
        <v>64680.331522689827</v>
      </c>
      <c r="E142" s="7">
        <f t="shared" si="35"/>
        <v>6468.033152268983</v>
      </c>
      <c r="F142" s="7" t="str">
        <f t="shared" si="30"/>
        <v/>
      </c>
      <c r="G142" s="7">
        <f t="shared" si="36"/>
        <v>1940.4099456806948</v>
      </c>
      <c r="H142" s="7">
        <f t="shared" si="37"/>
        <v>0</v>
      </c>
      <c r="I142" s="7">
        <f t="shared" si="38"/>
        <v>0</v>
      </c>
      <c r="J142" s="8">
        <f t="shared" si="39"/>
        <v>10742.899801670748</v>
      </c>
      <c r="K142" s="8">
        <f t="shared" si="31"/>
        <v>198199.67292746599</v>
      </c>
    </row>
    <row r="143" spans="1:11" x14ac:dyDescent="0.2">
      <c r="A143" s="4">
        <f t="shared" si="32"/>
        <v>15</v>
      </c>
      <c r="B143" s="4">
        <f t="shared" si="33"/>
        <v>39</v>
      </c>
      <c r="C143" s="5">
        <f t="shared" si="34"/>
        <v>0.06</v>
      </c>
      <c r="D143" s="7">
        <f t="shared" si="40"/>
        <v>65973.938153143623</v>
      </c>
      <c r="E143" s="7">
        <f t="shared" si="35"/>
        <v>6597.3938153143627</v>
      </c>
      <c r="F143" s="7" t="str">
        <f t="shared" si="30"/>
        <v/>
      </c>
      <c r="G143" s="7">
        <f t="shared" si="36"/>
        <v>1979.2181445943086</v>
      </c>
      <c r="H143" s="7">
        <f t="shared" si="37"/>
        <v>0</v>
      </c>
      <c r="I143" s="7">
        <f t="shared" si="38"/>
        <v>0</v>
      </c>
      <c r="J143" s="8">
        <f t="shared" si="39"/>
        <v>11891.980375647981</v>
      </c>
      <c r="K143" s="8">
        <f t="shared" si="31"/>
        <v>218668.26526302265</v>
      </c>
    </row>
    <row r="144" spans="1:11" x14ac:dyDescent="0.2">
      <c r="A144" s="4">
        <f t="shared" si="32"/>
        <v>16</v>
      </c>
      <c r="B144" s="4">
        <f t="shared" si="33"/>
        <v>40</v>
      </c>
      <c r="C144" s="5">
        <f t="shared" si="34"/>
        <v>0.06</v>
      </c>
      <c r="D144" s="7">
        <f t="shared" si="40"/>
        <v>67293.416916206494</v>
      </c>
      <c r="E144" s="7">
        <f t="shared" si="35"/>
        <v>6729.3416916206497</v>
      </c>
      <c r="F144" s="7" t="str">
        <f t="shared" si="30"/>
        <v/>
      </c>
      <c r="G144" s="7">
        <f t="shared" si="36"/>
        <v>2018.8025074861948</v>
      </c>
      <c r="H144" s="7">
        <f t="shared" si="37"/>
        <v>0</v>
      </c>
      <c r="I144" s="7">
        <f t="shared" si="38"/>
        <v>0</v>
      </c>
      <c r="J144" s="8">
        <f t="shared" si="39"/>
        <v>13120.095915781363</v>
      </c>
      <c r="K144" s="8">
        <f t="shared" si="31"/>
        <v>240536.50537791086</v>
      </c>
    </row>
    <row r="145" spans="1:11" x14ac:dyDescent="0.2">
      <c r="A145" s="4">
        <f t="shared" si="32"/>
        <v>17</v>
      </c>
      <c r="B145" s="4">
        <f t="shared" si="33"/>
        <v>41</v>
      </c>
      <c r="C145" s="5">
        <f t="shared" si="34"/>
        <v>0.06</v>
      </c>
      <c r="D145" s="7">
        <f t="shared" si="40"/>
        <v>68639.285254530623</v>
      </c>
      <c r="E145" s="7">
        <f t="shared" si="35"/>
        <v>6863.9285254530623</v>
      </c>
      <c r="F145" s="7" t="str">
        <f t="shared" si="30"/>
        <v/>
      </c>
      <c r="G145" s="7">
        <f t="shared" si="36"/>
        <v>2059.1785576359184</v>
      </c>
      <c r="H145" s="7">
        <f t="shared" si="37"/>
        <v>0</v>
      </c>
      <c r="I145" s="7">
        <f t="shared" si="38"/>
        <v>0</v>
      </c>
      <c r="J145" s="8">
        <f t="shared" si="39"/>
        <v>14432.190322674665</v>
      </c>
      <c r="K145" s="8">
        <f t="shared" si="31"/>
        <v>263891.8027836745</v>
      </c>
    </row>
    <row r="146" spans="1:11" x14ac:dyDescent="0.2">
      <c r="A146" s="4">
        <f t="shared" si="32"/>
        <v>18</v>
      </c>
      <c r="B146" s="4">
        <f t="shared" si="33"/>
        <v>42</v>
      </c>
      <c r="C146" s="5">
        <f t="shared" si="34"/>
        <v>0.06</v>
      </c>
      <c r="D146" s="7">
        <f t="shared" si="40"/>
        <v>70012.07095962124</v>
      </c>
      <c r="E146" s="7">
        <f t="shared" si="35"/>
        <v>7001.2070959621242</v>
      </c>
      <c r="F146" s="7" t="str">
        <f t="shared" si="30"/>
        <v/>
      </c>
      <c r="G146" s="7">
        <f t="shared" si="36"/>
        <v>2100.3621287886372</v>
      </c>
      <c r="H146" s="7">
        <f t="shared" si="37"/>
        <v>0</v>
      </c>
      <c r="I146" s="7">
        <f t="shared" si="38"/>
        <v>0</v>
      </c>
      <c r="J146" s="8">
        <f t="shared" si="39"/>
        <v>15833.508167020511</v>
      </c>
      <c r="K146" s="8">
        <f t="shared" si="31"/>
        <v>288826.88017544581</v>
      </c>
    </row>
    <row r="147" spans="1:11" x14ac:dyDescent="0.2">
      <c r="A147" s="4">
        <f t="shared" si="32"/>
        <v>19</v>
      </c>
      <c r="B147" s="4">
        <f t="shared" si="33"/>
        <v>43</v>
      </c>
      <c r="C147" s="5">
        <f t="shared" si="34"/>
        <v>0.06</v>
      </c>
      <c r="D147" s="7">
        <f t="shared" si="40"/>
        <v>71412.312378813673</v>
      </c>
      <c r="E147" s="7">
        <f t="shared" si="35"/>
        <v>7141.2312378813676</v>
      </c>
      <c r="F147" s="7" t="str">
        <f t="shared" si="30"/>
        <v/>
      </c>
      <c r="G147" s="7">
        <f t="shared" si="36"/>
        <v>2142.3693713644102</v>
      </c>
      <c r="H147" s="7">
        <f t="shared" si="37"/>
        <v>0</v>
      </c>
      <c r="I147" s="7">
        <f t="shared" si="38"/>
        <v>0</v>
      </c>
      <c r="J147" s="8">
        <f t="shared" si="39"/>
        <v>17329.612810526742</v>
      </c>
      <c r="K147" s="8">
        <f t="shared" si="31"/>
        <v>315440.09359521832</v>
      </c>
    </row>
    <row r="148" spans="1:11" x14ac:dyDescent="0.2">
      <c r="A148" s="4">
        <f t="shared" si="32"/>
        <v>20</v>
      </c>
      <c r="B148" s="4">
        <f t="shared" si="33"/>
        <v>44</v>
      </c>
      <c r="C148" s="5">
        <f t="shared" si="34"/>
        <v>0.06</v>
      </c>
      <c r="D148" s="7">
        <f t="shared" si="40"/>
        <v>72840.558626389946</v>
      </c>
      <c r="E148" s="7">
        <f t="shared" si="35"/>
        <v>7284.0558626389948</v>
      </c>
      <c r="F148" s="7" t="str">
        <f t="shared" si="30"/>
        <v/>
      </c>
      <c r="G148" s="7">
        <f t="shared" si="36"/>
        <v>2185.2167587916983</v>
      </c>
      <c r="H148" s="7">
        <f t="shared" si="37"/>
        <v>0</v>
      </c>
      <c r="I148" s="7">
        <f t="shared" si="38"/>
        <v>0</v>
      </c>
      <c r="J148" s="8">
        <f t="shared" si="39"/>
        <v>18926.405615713098</v>
      </c>
      <c r="K148" s="8">
        <f t="shared" si="31"/>
        <v>343835.77183236211</v>
      </c>
    </row>
    <row r="149" spans="1:11" x14ac:dyDescent="0.2">
      <c r="A149" s="4">
        <f t="shared" si="32"/>
        <v>21</v>
      </c>
      <c r="B149" s="4">
        <f t="shared" si="33"/>
        <v>45</v>
      </c>
      <c r="C149" s="5">
        <f t="shared" si="34"/>
        <v>0.06</v>
      </c>
      <c r="D149" s="7">
        <f t="shared" si="40"/>
        <v>74297.369798917745</v>
      </c>
      <c r="E149" s="7">
        <f t="shared" si="35"/>
        <v>7429.7369798917753</v>
      </c>
      <c r="F149" s="7" t="str">
        <f t="shared" si="30"/>
        <v/>
      </c>
      <c r="G149" s="7">
        <f t="shared" si="36"/>
        <v>2228.9210939675322</v>
      </c>
      <c r="H149" s="7">
        <f t="shared" si="37"/>
        <v>0</v>
      </c>
      <c r="I149" s="7">
        <f t="shared" si="38"/>
        <v>0</v>
      </c>
      <c r="J149" s="8">
        <f t="shared" si="39"/>
        <v>20630.146309941716</v>
      </c>
      <c r="K149" s="8">
        <f t="shared" si="31"/>
        <v>374124.57621616311</v>
      </c>
    </row>
    <row r="150" spans="1:11" x14ac:dyDescent="0.2">
      <c r="A150" s="4">
        <f t="shared" si="32"/>
        <v>22</v>
      </c>
      <c r="B150" s="4">
        <f t="shared" si="33"/>
        <v>46</v>
      </c>
      <c r="C150" s="5">
        <f t="shared" si="34"/>
        <v>0.06</v>
      </c>
      <c r="D150" s="7">
        <f t="shared" si="40"/>
        <v>75783.317194896095</v>
      </c>
      <c r="E150" s="7">
        <f t="shared" si="35"/>
        <v>7578.3317194896099</v>
      </c>
      <c r="F150" s="7" t="str">
        <f t="shared" si="30"/>
        <v/>
      </c>
      <c r="G150" s="7">
        <f t="shared" si="36"/>
        <v>2273.4995158468828</v>
      </c>
      <c r="H150" s="7">
        <f t="shared" si="37"/>
        <v>0</v>
      </c>
      <c r="I150" s="7">
        <f t="shared" si="38"/>
        <v>0</v>
      </c>
      <c r="J150" s="8">
        <f t="shared" si="39"/>
        <v>22447.474572969833</v>
      </c>
      <c r="K150" s="8">
        <f t="shared" si="31"/>
        <v>406423.88202446944</v>
      </c>
    </row>
    <row r="151" spans="1:11" x14ac:dyDescent="0.2">
      <c r="A151" s="4">
        <f t="shared" si="32"/>
        <v>23</v>
      </c>
      <c r="B151" s="4">
        <f t="shared" si="33"/>
        <v>47</v>
      </c>
      <c r="C151" s="5">
        <f t="shared" si="34"/>
        <v>0.06</v>
      </c>
      <c r="D151" s="7">
        <f t="shared" si="40"/>
        <v>77298.983538794026</v>
      </c>
      <c r="E151" s="7">
        <f t="shared" si="35"/>
        <v>7729.8983538794027</v>
      </c>
      <c r="F151" s="7" t="str">
        <f t="shared" si="30"/>
        <v/>
      </c>
      <c r="G151" s="7">
        <f t="shared" si="36"/>
        <v>2318.9695061638208</v>
      </c>
      <c r="H151" s="7">
        <f t="shared" si="37"/>
        <v>0</v>
      </c>
      <c r="I151" s="7">
        <f t="shared" si="38"/>
        <v>0</v>
      </c>
      <c r="J151" s="8">
        <f t="shared" si="39"/>
        <v>24385.432921468164</v>
      </c>
      <c r="K151" s="8">
        <f t="shared" si="31"/>
        <v>440858.18280598085</v>
      </c>
    </row>
    <row r="152" spans="1:11" x14ac:dyDescent="0.2">
      <c r="A152" s="4">
        <f t="shared" si="32"/>
        <v>24</v>
      </c>
      <c r="B152" s="4">
        <f t="shared" si="33"/>
        <v>48</v>
      </c>
      <c r="C152" s="5">
        <f t="shared" si="34"/>
        <v>0.06</v>
      </c>
      <c r="D152" s="7">
        <f t="shared" si="40"/>
        <v>78844.963209569905</v>
      </c>
      <c r="E152" s="7">
        <f t="shared" si="35"/>
        <v>7884.4963209569905</v>
      </c>
      <c r="F152" s="7" t="str">
        <f t="shared" si="30"/>
        <v/>
      </c>
      <c r="G152" s="7">
        <f t="shared" si="36"/>
        <v>2365.348896287097</v>
      </c>
      <c r="H152" s="7">
        <f t="shared" si="37"/>
        <v>0</v>
      </c>
      <c r="I152" s="7">
        <f t="shared" si="38"/>
        <v>0</v>
      </c>
      <c r="J152" s="8">
        <f t="shared" si="39"/>
        <v>26451.490968358936</v>
      </c>
      <c r="K152" s="8">
        <f t="shared" si="31"/>
        <v>477559.51899158384</v>
      </c>
    </row>
    <row r="153" spans="1:11" x14ac:dyDescent="0.2">
      <c r="A153" s="4">
        <f t="shared" si="32"/>
        <v>25</v>
      </c>
      <c r="B153" s="4">
        <f t="shared" si="33"/>
        <v>49</v>
      </c>
      <c r="C153" s="5">
        <f t="shared" si="34"/>
        <v>0.06</v>
      </c>
      <c r="D153" s="7">
        <f t="shared" si="40"/>
        <v>80421.862473761299</v>
      </c>
      <c r="E153" s="7">
        <f t="shared" si="35"/>
        <v>8042.1862473761303</v>
      </c>
      <c r="F153" s="7" t="str">
        <f t="shared" si="30"/>
        <v/>
      </c>
      <c r="G153" s="7">
        <f t="shared" si="36"/>
        <v>2412.6558742128391</v>
      </c>
      <c r="H153" s="7">
        <f t="shared" si="37"/>
        <v>0</v>
      </c>
      <c r="I153" s="7">
        <f t="shared" si="38"/>
        <v>0</v>
      </c>
      <c r="J153" s="8">
        <f t="shared" si="39"/>
        <v>28653.571139495063</v>
      </c>
      <c r="K153" s="8">
        <f t="shared" si="31"/>
        <v>516667.9322526679</v>
      </c>
    </row>
    <row r="154" spans="1:11" x14ac:dyDescent="0.2">
      <c r="A154" s="4">
        <f t="shared" si="32"/>
        <v>26</v>
      </c>
      <c r="B154" s="4">
        <f t="shared" si="33"/>
        <v>50</v>
      </c>
      <c r="C154" s="5">
        <f t="shared" si="34"/>
        <v>0.06</v>
      </c>
      <c r="D154" s="7">
        <f t="shared" si="40"/>
        <v>82030.299723236531</v>
      </c>
      <c r="E154" s="7">
        <f t="shared" si="35"/>
        <v>8203.0299723236531</v>
      </c>
      <c r="F154" s="7" t="str">
        <f t="shared" si="30"/>
        <v/>
      </c>
      <c r="G154" s="7">
        <f t="shared" si="36"/>
        <v>2460.9089916970956</v>
      </c>
      <c r="H154" s="7">
        <f t="shared" si="37"/>
        <v>0</v>
      </c>
      <c r="I154" s="7">
        <f t="shared" si="38"/>
        <v>0</v>
      </c>
      <c r="J154" s="8">
        <f t="shared" si="39"/>
        <v>31000.075935160159</v>
      </c>
      <c r="K154" s="8">
        <f t="shared" si="31"/>
        <v>558331.94715184881</v>
      </c>
    </row>
    <row r="155" spans="1:11" x14ac:dyDescent="0.2">
      <c r="A155" s="4">
        <f t="shared" si="32"/>
        <v>27</v>
      </c>
      <c r="B155" s="4">
        <f t="shared" si="33"/>
        <v>51</v>
      </c>
      <c r="C155" s="5">
        <f t="shared" si="34"/>
        <v>0.06</v>
      </c>
      <c r="D155" s="7">
        <f t="shared" si="40"/>
        <v>83670.905717701258</v>
      </c>
      <c r="E155" s="7">
        <f t="shared" si="35"/>
        <v>8367.0905717701262</v>
      </c>
      <c r="F155" s="7" t="str">
        <f t="shared" si="30"/>
        <v/>
      </c>
      <c r="G155" s="7">
        <f t="shared" si="36"/>
        <v>2510.1271715310377</v>
      </c>
      <c r="H155" s="7">
        <f t="shared" si="37"/>
        <v>0</v>
      </c>
      <c r="I155" s="7">
        <f t="shared" si="38"/>
        <v>0</v>
      </c>
      <c r="J155" s="8">
        <f t="shared" si="39"/>
        <v>33499.916829110938</v>
      </c>
      <c r="K155" s="8">
        <f t="shared" si="31"/>
        <v>602709.08172426093</v>
      </c>
    </row>
    <row r="156" spans="1:11" x14ac:dyDescent="0.2">
      <c r="A156" s="4">
        <f t="shared" si="32"/>
        <v>28</v>
      </c>
      <c r="B156" s="4">
        <f t="shared" si="33"/>
        <v>52</v>
      </c>
      <c r="C156" s="5">
        <f t="shared" si="34"/>
        <v>0.06</v>
      </c>
      <c r="D156" s="7">
        <f t="shared" si="40"/>
        <v>85344.323832055292</v>
      </c>
      <c r="E156" s="7">
        <f t="shared" si="35"/>
        <v>8534.4323832055288</v>
      </c>
      <c r="F156" s="7" t="str">
        <f t="shared" si="30"/>
        <v/>
      </c>
      <c r="G156" s="7">
        <f t="shared" si="36"/>
        <v>2560.3297149616587</v>
      </c>
      <c r="H156" s="7">
        <f t="shared" si="37"/>
        <v>0</v>
      </c>
      <c r="I156" s="7">
        <f t="shared" si="38"/>
        <v>0</v>
      </c>
      <c r="J156" s="8">
        <f t="shared" si="39"/>
        <v>36162.544903455651</v>
      </c>
      <c r="K156" s="8">
        <f t="shared" si="31"/>
        <v>649966.38872588379</v>
      </c>
    </row>
    <row r="157" spans="1:11" x14ac:dyDescent="0.2">
      <c r="A157" s="4">
        <f t="shared" si="32"/>
        <v>29</v>
      </c>
      <c r="B157" s="4">
        <f t="shared" si="33"/>
        <v>53</v>
      </c>
      <c r="C157" s="5">
        <f t="shared" si="34"/>
        <v>0.06</v>
      </c>
      <c r="D157" s="7">
        <f t="shared" si="40"/>
        <v>87051.210308696405</v>
      </c>
      <c r="E157" s="7">
        <f t="shared" si="35"/>
        <v>8705.1210308696409</v>
      </c>
      <c r="F157" s="7" t="str">
        <f t="shared" si="30"/>
        <v/>
      </c>
      <c r="G157" s="7">
        <f t="shared" si="36"/>
        <v>2611.5363092608923</v>
      </c>
      <c r="H157" s="7">
        <f t="shared" si="37"/>
        <v>0</v>
      </c>
      <c r="I157" s="7">
        <f t="shared" si="38"/>
        <v>0</v>
      </c>
      <c r="J157" s="8">
        <f t="shared" si="39"/>
        <v>38997.983323553111</v>
      </c>
      <c r="K157" s="8">
        <f t="shared" si="31"/>
        <v>700281.02938956744</v>
      </c>
    </row>
    <row r="158" spans="1:11" x14ac:dyDescent="0.2">
      <c r="A158" s="4">
        <f t="shared" si="32"/>
        <v>30</v>
      </c>
      <c r="B158" s="4">
        <f t="shared" si="33"/>
        <v>54</v>
      </c>
      <c r="C158" s="5">
        <f t="shared" si="34"/>
        <v>0.06</v>
      </c>
      <c r="D158" s="7">
        <f t="shared" si="40"/>
        <v>88792.234514870332</v>
      </c>
      <c r="E158" s="7">
        <f t="shared" si="35"/>
        <v>8879.2234514870343</v>
      </c>
      <c r="F158" s="7" t="str">
        <f t="shared" si="30"/>
        <v/>
      </c>
      <c r="G158" s="7">
        <f t="shared" si="36"/>
        <v>2663.7670354461097</v>
      </c>
      <c r="H158" s="7">
        <f t="shared" si="37"/>
        <v>0</v>
      </c>
      <c r="I158" s="7">
        <f t="shared" si="38"/>
        <v>0</v>
      </c>
      <c r="J158" s="8">
        <f t="shared" si="39"/>
        <v>42016.861763374065</v>
      </c>
      <c r="K158" s="8">
        <f t="shared" si="31"/>
        <v>753840.88163987466</v>
      </c>
    </row>
    <row r="159" spans="1:11" x14ac:dyDescent="0.2">
      <c r="A159" s="4">
        <f t="shared" si="32"/>
        <v>31</v>
      </c>
      <c r="B159" s="4">
        <f t="shared" si="33"/>
        <v>55</v>
      </c>
      <c r="C159" s="5">
        <f t="shared" si="34"/>
        <v>0.06</v>
      </c>
      <c r="D159" s="7">
        <f t="shared" si="40"/>
        <v>90568.079205167742</v>
      </c>
      <c r="E159" s="7">
        <f t="shared" si="35"/>
        <v>9056.8079205167742</v>
      </c>
      <c r="F159" s="7" t="str">
        <f t="shared" si="30"/>
        <v/>
      </c>
      <c r="G159" s="7">
        <f t="shared" si="36"/>
        <v>2717.0423761550323</v>
      </c>
      <c r="H159" s="7">
        <f t="shared" si="37"/>
        <v>0</v>
      </c>
      <c r="I159" s="7">
        <f t="shared" si="38"/>
        <v>0</v>
      </c>
      <c r="J159" s="8">
        <f t="shared" si="39"/>
        <v>45230.45289839257</v>
      </c>
      <c r="K159" s="8">
        <f t="shared" si="31"/>
        <v>810845.18483493908</v>
      </c>
    </row>
    <row r="160" spans="1:11" x14ac:dyDescent="0.2">
      <c r="A160" s="4">
        <f t="shared" si="32"/>
        <v>32</v>
      </c>
      <c r="B160" s="4">
        <f t="shared" si="33"/>
        <v>56</v>
      </c>
      <c r="C160" s="5">
        <f t="shared" si="34"/>
        <v>0.06</v>
      </c>
      <c r="D160" s="7">
        <f t="shared" si="40"/>
        <v>92379.440789271102</v>
      </c>
      <c r="E160" s="7">
        <f t="shared" si="35"/>
        <v>9237.9440789271102</v>
      </c>
      <c r="F160" s="7" t="str">
        <f t="shared" si="30"/>
        <v/>
      </c>
      <c r="G160" s="7">
        <f t="shared" si="36"/>
        <v>2771.3832236781332</v>
      </c>
      <c r="H160" s="7">
        <f t="shared" si="37"/>
        <v>0</v>
      </c>
      <c r="I160" s="7">
        <f t="shared" si="38"/>
        <v>0</v>
      </c>
      <c r="J160" s="8">
        <f t="shared" si="39"/>
        <v>48650.711090096389</v>
      </c>
      <c r="K160" s="8">
        <f t="shared" si="31"/>
        <v>871505.22322764073</v>
      </c>
    </row>
    <row r="161" spans="1:11" x14ac:dyDescent="0.2">
      <c r="A161" s="4">
        <f t="shared" si="32"/>
        <v>33</v>
      </c>
      <c r="B161" s="4">
        <f t="shared" si="33"/>
        <v>57</v>
      </c>
      <c r="C161" s="5">
        <f t="shared" si="34"/>
        <v>0.06</v>
      </c>
      <c r="D161" s="7">
        <f t="shared" si="40"/>
        <v>94227.029605056523</v>
      </c>
      <c r="E161" s="7">
        <f t="shared" si="35"/>
        <v>9422.7029605056523</v>
      </c>
      <c r="F161" s="7" t="str">
        <f t="shared" ref="F161:F192" si="41">IF(ISERROR(A161),NA(),"")</f>
        <v/>
      </c>
      <c r="G161" s="7">
        <f t="shared" si="36"/>
        <v>2826.8108881516955</v>
      </c>
      <c r="H161" s="7">
        <f t="shared" si="37"/>
        <v>0</v>
      </c>
      <c r="I161" s="7">
        <f t="shared" si="38"/>
        <v>0</v>
      </c>
      <c r="J161" s="8">
        <f t="shared" si="39"/>
        <v>52290.313393658609</v>
      </c>
      <c r="K161" s="8">
        <f t="shared" ref="K161:K192" si="42">IF(ISERROR(A161),NA(),K160+E161+G161+J161-I161)</f>
        <v>936045.05046995659</v>
      </c>
    </row>
    <row r="162" spans="1:11" x14ac:dyDescent="0.2">
      <c r="A162" s="4">
        <f t="shared" si="32"/>
        <v>34</v>
      </c>
      <c r="B162" s="4">
        <f t="shared" si="33"/>
        <v>58</v>
      </c>
      <c r="C162" s="5">
        <f t="shared" si="34"/>
        <v>0.06</v>
      </c>
      <c r="D162" s="7">
        <f t="shared" si="40"/>
        <v>96111.570197157649</v>
      </c>
      <c r="E162" s="7">
        <f t="shared" si="35"/>
        <v>9611.1570197157653</v>
      </c>
      <c r="F162" s="7" t="str">
        <f t="shared" si="41"/>
        <v/>
      </c>
      <c r="G162" s="7">
        <f t="shared" si="36"/>
        <v>2883.3471059147296</v>
      </c>
      <c r="H162" s="7">
        <f t="shared" si="37"/>
        <v>0</v>
      </c>
      <c r="I162" s="7">
        <f t="shared" si="38"/>
        <v>0</v>
      </c>
      <c r="J162" s="8">
        <f t="shared" si="39"/>
        <v>56162.7030281974</v>
      </c>
      <c r="K162" s="8">
        <f t="shared" si="42"/>
        <v>1004702.2576237845</v>
      </c>
    </row>
    <row r="163" spans="1:11" x14ac:dyDescent="0.2">
      <c r="A163" s="4">
        <f t="shared" si="32"/>
        <v>35</v>
      </c>
      <c r="B163" s="4">
        <f t="shared" si="33"/>
        <v>59</v>
      </c>
      <c r="C163" s="5">
        <f t="shared" si="34"/>
        <v>0.06</v>
      </c>
      <c r="D163" s="7">
        <f t="shared" si="40"/>
        <v>98033.8016011008</v>
      </c>
      <c r="E163" s="7">
        <f t="shared" si="35"/>
        <v>9803.3801601100804</v>
      </c>
      <c r="F163" s="7" t="str">
        <f t="shared" si="41"/>
        <v/>
      </c>
      <c r="G163" s="7">
        <f t="shared" si="36"/>
        <v>2941.0140480330238</v>
      </c>
      <c r="H163" s="7">
        <f t="shared" si="37"/>
        <v>0</v>
      </c>
      <c r="I163" s="7">
        <f t="shared" si="38"/>
        <v>0</v>
      </c>
      <c r="J163" s="8">
        <f t="shared" si="39"/>
        <v>60282.135457426892</v>
      </c>
      <c r="K163" s="8">
        <f t="shared" si="42"/>
        <v>1077728.7872893545</v>
      </c>
    </row>
    <row r="164" spans="1:11" x14ac:dyDescent="0.2">
      <c r="A164" s="4">
        <f t="shared" si="32"/>
        <v>36</v>
      </c>
      <c r="B164" s="4">
        <f t="shared" si="33"/>
        <v>60</v>
      </c>
      <c r="C164" s="5">
        <f t="shared" si="34"/>
        <v>0.06</v>
      </c>
      <c r="D164" s="7">
        <f t="shared" si="40"/>
        <v>99994.47763312282</v>
      </c>
      <c r="E164" s="7">
        <f t="shared" si="35"/>
        <v>9999.4477633122824</v>
      </c>
      <c r="F164" s="7" t="str">
        <f t="shared" si="41"/>
        <v/>
      </c>
      <c r="G164" s="7">
        <f t="shared" si="36"/>
        <v>2999.8343289936847</v>
      </c>
      <c r="H164" s="7">
        <f t="shared" si="37"/>
        <v>0</v>
      </c>
      <c r="I164" s="7">
        <f t="shared" si="38"/>
        <v>0</v>
      </c>
      <c r="J164" s="8">
        <f t="shared" si="39"/>
        <v>64663.72723736125</v>
      </c>
      <c r="K164" s="8">
        <f t="shared" si="42"/>
        <v>1155391.7966190218</v>
      </c>
    </row>
    <row r="165" spans="1:11" x14ac:dyDescent="0.2">
      <c r="A165" s="4">
        <f t="shared" si="32"/>
        <v>37</v>
      </c>
      <c r="B165" s="4">
        <f t="shared" si="33"/>
        <v>61</v>
      </c>
      <c r="C165" s="5">
        <f t="shared" si="34"/>
        <v>0.06</v>
      </c>
      <c r="D165" s="7">
        <f t="shared" si="40"/>
        <v>101994.36718578528</v>
      </c>
      <c r="E165" s="7">
        <f t="shared" si="35"/>
        <v>10199.436718578529</v>
      </c>
      <c r="F165" s="7" t="str">
        <f t="shared" si="41"/>
        <v/>
      </c>
      <c r="G165" s="7">
        <f t="shared" si="36"/>
        <v>3059.831015573558</v>
      </c>
      <c r="H165" s="7">
        <f t="shared" si="37"/>
        <v>0</v>
      </c>
      <c r="I165" s="7">
        <f t="shared" si="38"/>
        <v>0</v>
      </c>
      <c r="J165" s="8">
        <f t="shared" si="39"/>
        <v>69323.507797141327</v>
      </c>
      <c r="K165" s="8">
        <f t="shared" si="42"/>
        <v>1237974.5721503152</v>
      </c>
    </row>
    <row r="166" spans="1:11" x14ac:dyDescent="0.2">
      <c r="A166" s="4">
        <f t="shared" si="32"/>
        <v>38</v>
      </c>
      <c r="B166" s="4">
        <f t="shared" si="33"/>
        <v>62</v>
      </c>
      <c r="C166" s="5">
        <f t="shared" si="34"/>
        <v>0.06</v>
      </c>
      <c r="D166" s="7">
        <f t="shared" si="40"/>
        <v>104034.25452950098</v>
      </c>
      <c r="E166" s="7">
        <f t="shared" si="35"/>
        <v>10403.425452950098</v>
      </c>
      <c r="F166" s="7" t="str">
        <f t="shared" si="41"/>
        <v/>
      </c>
      <c r="G166" s="7">
        <f t="shared" si="36"/>
        <v>3121.0276358850292</v>
      </c>
      <c r="H166" s="7">
        <f t="shared" si="37"/>
        <v>0</v>
      </c>
      <c r="I166" s="7">
        <f t="shared" si="38"/>
        <v>0</v>
      </c>
      <c r="J166" s="8">
        <f t="shared" si="39"/>
        <v>74278.474329018965</v>
      </c>
      <c r="K166" s="8">
        <f t="shared" si="42"/>
        <v>1325777.4995681692</v>
      </c>
    </row>
    <row r="167" spans="1:11" x14ac:dyDescent="0.2">
      <c r="A167" s="4">
        <f t="shared" si="32"/>
        <v>39</v>
      </c>
      <c r="B167" s="4">
        <f t="shared" si="33"/>
        <v>63</v>
      </c>
      <c r="C167" s="5">
        <f t="shared" si="34"/>
        <v>0.06</v>
      </c>
      <c r="D167" s="7">
        <f t="shared" si="40"/>
        <v>106114.939620091</v>
      </c>
      <c r="E167" s="7">
        <f t="shared" si="35"/>
        <v>10611.493962009101</v>
      </c>
      <c r="F167" s="7" t="str">
        <f t="shared" si="41"/>
        <v/>
      </c>
      <c r="G167" s="7">
        <f t="shared" si="36"/>
        <v>3183.4481886027297</v>
      </c>
      <c r="H167" s="7">
        <f t="shared" si="37"/>
        <v>0</v>
      </c>
      <c r="I167" s="7">
        <f t="shared" si="38"/>
        <v>0</v>
      </c>
      <c r="J167" s="8">
        <f t="shared" si="39"/>
        <v>79546.64997409028</v>
      </c>
      <c r="K167" s="8">
        <f t="shared" si="42"/>
        <v>1419119.0916928714</v>
      </c>
    </row>
    <row r="168" spans="1:11" x14ac:dyDescent="0.2">
      <c r="A168" s="4">
        <f t="shared" si="32"/>
        <v>40</v>
      </c>
      <c r="B168" s="4">
        <f t="shared" si="33"/>
        <v>64</v>
      </c>
      <c r="C168" s="5">
        <f t="shared" si="34"/>
        <v>0.06</v>
      </c>
      <c r="D168" s="7">
        <f t="shared" si="40"/>
        <v>108237.23841249282</v>
      </c>
      <c r="E168" s="7">
        <f t="shared" si="35"/>
        <v>10823.723841249282</v>
      </c>
      <c r="F168" s="7" t="str">
        <f t="shared" si="41"/>
        <v/>
      </c>
      <c r="G168" s="7">
        <f t="shared" si="36"/>
        <v>3247.1171523747844</v>
      </c>
      <c r="H168" s="7">
        <f t="shared" si="37"/>
        <v>0</v>
      </c>
      <c r="I168" s="7">
        <f t="shared" si="38"/>
        <v>0</v>
      </c>
      <c r="J168" s="8">
        <f t="shared" si="39"/>
        <v>85147.145501572639</v>
      </c>
      <c r="K168" s="8">
        <f t="shared" si="42"/>
        <v>1518337.078188068</v>
      </c>
    </row>
    <row r="169" spans="1:11" x14ac:dyDescent="0.2">
      <c r="A169" s="4">
        <f t="shared" si="32"/>
        <v>41</v>
      </c>
      <c r="B169" s="4">
        <f t="shared" si="33"/>
        <v>65</v>
      </c>
      <c r="C169" s="5">
        <f t="shared" si="34"/>
        <v>0.03</v>
      </c>
      <c r="D169" s="7">
        <f t="shared" si="40"/>
        <v>163101.8895999536</v>
      </c>
      <c r="E169" s="7">
        <f t="shared" si="35"/>
        <v>0</v>
      </c>
      <c r="F169" s="7" t="str">
        <f t="shared" si="41"/>
        <v/>
      </c>
      <c r="G169" s="7">
        <f t="shared" si="36"/>
        <v>0</v>
      </c>
      <c r="H169" s="7">
        <f t="shared" si="37"/>
        <v>0</v>
      </c>
      <c r="I169" s="7">
        <f t="shared" si="38"/>
        <v>163101.8895999536</v>
      </c>
      <c r="J169" s="8">
        <f t="shared" si="39"/>
        <v>40657.055657643359</v>
      </c>
      <c r="K169" s="8">
        <f t="shared" si="42"/>
        <v>1395892.2442457578</v>
      </c>
    </row>
    <row r="170" spans="1:11" x14ac:dyDescent="0.2">
      <c r="A170" s="4">
        <f t="shared" si="32"/>
        <v>42</v>
      </c>
      <c r="B170" s="4">
        <f t="shared" si="33"/>
        <v>66</v>
      </c>
      <c r="C170" s="5">
        <f t="shared" si="34"/>
        <v>0.03</v>
      </c>
      <c r="D170" s="7">
        <f t="shared" si="40"/>
        <v>167994.94628795222</v>
      </c>
      <c r="E170" s="7">
        <f t="shared" si="35"/>
        <v>0</v>
      </c>
      <c r="F170" s="7" t="str">
        <f t="shared" si="41"/>
        <v/>
      </c>
      <c r="G170" s="7">
        <f t="shared" si="36"/>
        <v>0</v>
      </c>
      <c r="H170" s="7">
        <f t="shared" si="37"/>
        <v>0</v>
      </c>
      <c r="I170" s="7">
        <f t="shared" si="38"/>
        <v>167994.94628795222</v>
      </c>
      <c r="J170" s="8">
        <f t="shared" si="39"/>
        <v>36836.918938734103</v>
      </c>
      <c r="K170" s="8">
        <f t="shared" si="42"/>
        <v>1264734.2168965398</v>
      </c>
    </row>
    <row r="171" spans="1:11" x14ac:dyDescent="0.2">
      <c r="A171" s="4">
        <f t="shared" si="32"/>
        <v>43</v>
      </c>
      <c r="B171" s="4">
        <f t="shared" si="33"/>
        <v>67</v>
      </c>
      <c r="C171" s="5">
        <f t="shared" si="34"/>
        <v>0.03</v>
      </c>
      <c r="D171" s="7">
        <f t="shared" si="40"/>
        <v>173034.79467659077</v>
      </c>
      <c r="E171" s="7">
        <f t="shared" si="35"/>
        <v>0</v>
      </c>
      <c r="F171" s="7" t="str">
        <f t="shared" si="41"/>
        <v/>
      </c>
      <c r="G171" s="7">
        <f t="shared" si="36"/>
        <v>0</v>
      </c>
      <c r="H171" s="7">
        <f t="shared" si="37"/>
        <v>0</v>
      </c>
      <c r="I171" s="7">
        <f t="shared" si="38"/>
        <v>173034.79467659077</v>
      </c>
      <c r="J171" s="8">
        <f t="shared" si="39"/>
        <v>32750.9826665984</v>
      </c>
      <c r="K171" s="8">
        <f t="shared" si="42"/>
        <v>1124450.4048865475</v>
      </c>
    </row>
    <row r="172" spans="1:11" x14ac:dyDescent="0.2">
      <c r="A172" s="4">
        <f t="shared" si="32"/>
        <v>44</v>
      </c>
      <c r="B172" s="4">
        <f t="shared" si="33"/>
        <v>68</v>
      </c>
      <c r="C172" s="5">
        <f t="shared" si="34"/>
        <v>0.03</v>
      </c>
      <c r="D172" s="7">
        <f t="shared" si="40"/>
        <v>178225.8385168885</v>
      </c>
      <c r="E172" s="7">
        <f t="shared" si="35"/>
        <v>0</v>
      </c>
      <c r="F172" s="7" t="str">
        <f t="shared" si="41"/>
        <v/>
      </c>
      <c r="G172" s="7">
        <f t="shared" si="36"/>
        <v>0</v>
      </c>
      <c r="H172" s="7">
        <f t="shared" si="37"/>
        <v>0</v>
      </c>
      <c r="I172" s="7">
        <f t="shared" si="38"/>
        <v>178225.8385168885</v>
      </c>
      <c r="J172" s="8">
        <f t="shared" si="39"/>
        <v>28386.736991089769</v>
      </c>
      <c r="K172" s="8">
        <f t="shared" si="42"/>
        <v>974611.3033607488</v>
      </c>
    </row>
    <row r="173" spans="1:11" x14ac:dyDescent="0.2">
      <c r="A173" s="4">
        <f t="shared" si="32"/>
        <v>45</v>
      </c>
      <c r="B173" s="4">
        <f t="shared" si="33"/>
        <v>69</v>
      </c>
      <c r="C173" s="5">
        <f t="shared" si="34"/>
        <v>0.03</v>
      </c>
      <c r="D173" s="7">
        <f t="shared" si="40"/>
        <v>183572.61367239515</v>
      </c>
      <c r="E173" s="7">
        <f t="shared" si="35"/>
        <v>0</v>
      </c>
      <c r="F173" s="7" t="str">
        <f t="shared" si="41"/>
        <v/>
      </c>
      <c r="G173" s="7">
        <f t="shared" si="36"/>
        <v>0</v>
      </c>
      <c r="H173" s="7">
        <f t="shared" si="37"/>
        <v>0</v>
      </c>
      <c r="I173" s="7">
        <f t="shared" si="38"/>
        <v>183572.61367239515</v>
      </c>
      <c r="J173" s="8">
        <f t="shared" si="39"/>
        <v>23731.160690650577</v>
      </c>
      <c r="K173" s="8">
        <f t="shared" si="42"/>
        <v>814769.85037900426</v>
      </c>
    </row>
    <row r="174" spans="1:11" x14ac:dyDescent="0.2">
      <c r="A174" s="4">
        <f t="shared" si="32"/>
        <v>46</v>
      </c>
      <c r="B174" s="4">
        <f t="shared" si="33"/>
        <v>70</v>
      </c>
      <c r="C174" s="5">
        <f t="shared" si="34"/>
        <v>0.03</v>
      </c>
      <c r="D174" s="7">
        <f t="shared" si="40"/>
        <v>189079.79208256697</v>
      </c>
      <c r="E174" s="7">
        <f t="shared" si="35"/>
        <v>0</v>
      </c>
      <c r="F174" s="7" t="str">
        <f t="shared" si="41"/>
        <v/>
      </c>
      <c r="G174" s="7">
        <f t="shared" si="36"/>
        <v>0</v>
      </c>
      <c r="H174" s="7">
        <f t="shared" si="37"/>
        <v>0</v>
      </c>
      <c r="I174" s="7">
        <f t="shared" si="38"/>
        <v>189079.79208256697</v>
      </c>
      <c r="J174" s="8">
        <f t="shared" si="39"/>
        <v>18770.701748893131</v>
      </c>
      <c r="K174" s="8">
        <f t="shared" si="42"/>
        <v>644460.76004533039</v>
      </c>
    </row>
    <row r="175" spans="1:11" x14ac:dyDescent="0.2">
      <c r="A175" s="4">
        <f t="shared" si="32"/>
        <v>47</v>
      </c>
      <c r="B175" s="4">
        <f t="shared" si="33"/>
        <v>71</v>
      </c>
      <c r="C175" s="5">
        <f t="shared" si="34"/>
        <v>0.03</v>
      </c>
      <c r="D175" s="7">
        <f t="shared" si="40"/>
        <v>194752.185845044</v>
      </c>
      <c r="E175" s="7">
        <f t="shared" si="35"/>
        <v>0</v>
      </c>
      <c r="F175" s="7" t="str">
        <f t="shared" si="41"/>
        <v/>
      </c>
      <c r="G175" s="7">
        <f t="shared" si="36"/>
        <v>0</v>
      </c>
      <c r="H175" s="7">
        <f t="shared" si="37"/>
        <v>0</v>
      </c>
      <c r="I175" s="7">
        <f t="shared" si="38"/>
        <v>194752.185845044</v>
      </c>
      <c r="J175" s="8">
        <f t="shared" si="39"/>
        <v>13491.257226008631</v>
      </c>
      <c r="K175" s="8">
        <f t="shared" si="42"/>
        <v>463199.83142629499</v>
      </c>
    </row>
    <row r="176" spans="1:11" x14ac:dyDescent="0.2">
      <c r="A176" s="4">
        <f t="shared" si="32"/>
        <v>48</v>
      </c>
      <c r="B176" s="4">
        <f t="shared" si="33"/>
        <v>72</v>
      </c>
      <c r="C176" s="5">
        <f t="shared" si="34"/>
        <v>0.03</v>
      </c>
      <c r="D176" s="7">
        <f t="shared" si="40"/>
        <v>200594.75142039533</v>
      </c>
      <c r="E176" s="7">
        <f t="shared" si="35"/>
        <v>0</v>
      </c>
      <c r="F176" s="7" t="str">
        <f t="shared" si="41"/>
        <v/>
      </c>
      <c r="G176" s="7">
        <f t="shared" si="36"/>
        <v>0</v>
      </c>
      <c r="H176" s="7">
        <f t="shared" si="37"/>
        <v>0</v>
      </c>
      <c r="I176" s="7">
        <f t="shared" si="38"/>
        <v>200594.75142039533</v>
      </c>
      <c r="J176" s="8">
        <f t="shared" si="39"/>
        <v>7878.1524001769722</v>
      </c>
      <c r="K176" s="8">
        <f t="shared" si="42"/>
        <v>270483.23240607663</v>
      </c>
    </row>
    <row r="177" spans="1:11" x14ac:dyDescent="0.2">
      <c r="A177" s="4">
        <f t="shared" si="32"/>
        <v>49</v>
      </c>
      <c r="B177" s="4">
        <f t="shared" si="33"/>
        <v>73</v>
      </c>
      <c r="C177" s="5">
        <f t="shared" si="34"/>
        <v>0.03</v>
      </c>
      <c r="D177" s="7">
        <f t="shared" si="40"/>
        <v>206612.59396300718</v>
      </c>
      <c r="E177" s="7">
        <f t="shared" si="35"/>
        <v>0</v>
      </c>
      <c r="F177" s="7" t="str">
        <f t="shared" si="41"/>
        <v/>
      </c>
      <c r="G177" s="7">
        <f t="shared" si="36"/>
        <v>0</v>
      </c>
      <c r="H177" s="7">
        <f t="shared" si="37"/>
        <v>0</v>
      </c>
      <c r="I177" s="7">
        <f t="shared" si="38"/>
        <v>206612.59396300718</v>
      </c>
      <c r="J177" s="8">
        <f t="shared" si="39"/>
        <v>1916.1191532920784</v>
      </c>
      <c r="K177" s="8">
        <f t="shared" si="42"/>
        <v>65786.757596361538</v>
      </c>
    </row>
    <row r="178" spans="1:11" x14ac:dyDescent="0.2">
      <c r="A178" s="4">
        <f t="shared" si="32"/>
        <v>50</v>
      </c>
      <c r="B178" s="4">
        <f t="shared" si="33"/>
        <v>74</v>
      </c>
      <c r="C178" s="5">
        <f t="shared" si="34"/>
        <v>0.03</v>
      </c>
      <c r="D178" s="7">
        <f t="shared" si="40"/>
        <v>212810.97178189739</v>
      </c>
      <c r="E178" s="7">
        <f t="shared" si="35"/>
        <v>0</v>
      </c>
      <c r="F178" s="7" t="str">
        <f t="shared" si="41"/>
        <v/>
      </c>
      <c r="G178" s="7">
        <f t="shared" si="36"/>
        <v>0</v>
      </c>
      <c r="H178" s="7">
        <f t="shared" si="37"/>
        <v>0</v>
      </c>
      <c r="I178" s="7">
        <f t="shared" si="38"/>
        <v>212810.97178189739</v>
      </c>
      <c r="J178" s="8">
        <f t="shared" si="39"/>
        <v>-4410.7264255660702</v>
      </c>
      <c r="K178" s="8">
        <f t="shared" si="42"/>
        <v>-151434.94061110192</v>
      </c>
    </row>
    <row r="179" spans="1:11" x14ac:dyDescent="0.2">
      <c r="A179" s="4" t="e">
        <f t="shared" si="32"/>
        <v>#N/A</v>
      </c>
      <c r="B179" s="4" t="e">
        <f t="shared" si="33"/>
        <v>#N/A</v>
      </c>
      <c r="C179" s="5" t="e">
        <f t="shared" si="34"/>
        <v>#N/A</v>
      </c>
      <c r="D179" s="7" t="e">
        <f t="shared" si="40"/>
        <v>#N/A</v>
      </c>
      <c r="E179" s="7" t="e">
        <f t="shared" si="35"/>
        <v>#N/A</v>
      </c>
      <c r="F179" s="7" t="e">
        <f t="shared" si="41"/>
        <v>#N/A</v>
      </c>
      <c r="G179" s="7" t="e">
        <f t="shared" si="36"/>
        <v>#N/A</v>
      </c>
      <c r="H179" s="7" t="e">
        <f t="shared" si="37"/>
        <v>#N/A</v>
      </c>
      <c r="I179" s="7" t="e">
        <f t="shared" si="38"/>
        <v>#N/A</v>
      </c>
      <c r="J179" s="8" t="e">
        <f t="shared" si="39"/>
        <v>#N/A</v>
      </c>
      <c r="K179" s="8" t="e">
        <f t="shared" si="42"/>
        <v>#N/A</v>
      </c>
    </row>
    <row r="180" spans="1:11" x14ac:dyDescent="0.2">
      <c r="A180" s="4" t="e">
        <f t="shared" si="32"/>
        <v>#N/A</v>
      </c>
      <c r="B180" s="4" t="e">
        <f t="shared" si="33"/>
        <v>#N/A</v>
      </c>
      <c r="C180" s="5" t="e">
        <f t="shared" si="34"/>
        <v>#N/A</v>
      </c>
      <c r="D180" s="7" t="e">
        <f t="shared" si="40"/>
        <v>#N/A</v>
      </c>
      <c r="E180" s="7" t="e">
        <f t="shared" si="35"/>
        <v>#N/A</v>
      </c>
      <c r="F180" s="7" t="e">
        <f t="shared" si="41"/>
        <v>#N/A</v>
      </c>
      <c r="G180" s="7" t="e">
        <f t="shared" si="36"/>
        <v>#N/A</v>
      </c>
      <c r="H180" s="7" t="e">
        <f t="shared" si="37"/>
        <v>#N/A</v>
      </c>
      <c r="I180" s="7" t="e">
        <f t="shared" si="38"/>
        <v>#N/A</v>
      </c>
      <c r="J180" s="8" t="e">
        <f t="shared" si="39"/>
        <v>#N/A</v>
      </c>
      <c r="K180" s="8" t="e">
        <f t="shared" si="42"/>
        <v>#N/A</v>
      </c>
    </row>
    <row r="181" spans="1:11" x14ac:dyDescent="0.2">
      <c r="A181" s="4" t="e">
        <f t="shared" si="32"/>
        <v>#N/A</v>
      </c>
      <c r="B181" s="4" t="e">
        <f t="shared" si="33"/>
        <v>#N/A</v>
      </c>
      <c r="C181" s="5" t="e">
        <f t="shared" si="34"/>
        <v>#N/A</v>
      </c>
      <c r="D181" s="7" t="e">
        <f t="shared" si="40"/>
        <v>#N/A</v>
      </c>
      <c r="E181" s="7" t="e">
        <f t="shared" si="35"/>
        <v>#N/A</v>
      </c>
      <c r="F181" s="7" t="e">
        <f t="shared" si="41"/>
        <v>#N/A</v>
      </c>
      <c r="G181" s="7" t="e">
        <f t="shared" si="36"/>
        <v>#N/A</v>
      </c>
      <c r="H181" s="7" t="e">
        <f t="shared" si="37"/>
        <v>#N/A</v>
      </c>
      <c r="I181" s="7" t="e">
        <f t="shared" si="38"/>
        <v>#N/A</v>
      </c>
      <c r="J181" s="8" t="e">
        <f t="shared" si="39"/>
        <v>#N/A</v>
      </c>
      <c r="K181" s="8" t="e">
        <f t="shared" si="42"/>
        <v>#N/A</v>
      </c>
    </row>
    <row r="182" spans="1:11" x14ac:dyDescent="0.2">
      <c r="A182" s="4" t="e">
        <f t="shared" si="32"/>
        <v>#N/A</v>
      </c>
      <c r="B182" s="4" t="e">
        <f t="shared" si="33"/>
        <v>#N/A</v>
      </c>
      <c r="C182" s="5" t="e">
        <f t="shared" si="34"/>
        <v>#N/A</v>
      </c>
      <c r="D182" s="7" t="e">
        <f t="shared" si="40"/>
        <v>#N/A</v>
      </c>
      <c r="E182" s="7" t="e">
        <f t="shared" si="35"/>
        <v>#N/A</v>
      </c>
      <c r="F182" s="7" t="e">
        <f t="shared" si="41"/>
        <v>#N/A</v>
      </c>
      <c r="G182" s="7" t="e">
        <f t="shared" si="36"/>
        <v>#N/A</v>
      </c>
      <c r="H182" s="7" t="e">
        <f t="shared" si="37"/>
        <v>#N/A</v>
      </c>
      <c r="I182" s="7" t="e">
        <f t="shared" si="38"/>
        <v>#N/A</v>
      </c>
      <c r="J182" s="8" t="e">
        <f t="shared" si="39"/>
        <v>#N/A</v>
      </c>
      <c r="K182" s="8" t="e">
        <f t="shared" si="42"/>
        <v>#N/A</v>
      </c>
    </row>
    <row r="183" spans="1:11" x14ac:dyDescent="0.2">
      <c r="A183" s="4" t="e">
        <f t="shared" si="32"/>
        <v>#N/A</v>
      </c>
      <c r="B183" s="4" t="e">
        <f t="shared" si="33"/>
        <v>#N/A</v>
      </c>
      <c r="C183" s="5" t="e">
        <f t="shared" si="34"/>
        <v>#N/A</v>
      </c>
      <c r="D183" s="7" t="e">
        <f t="shared" si="40"/>
        <v>#N/A</v>
      </c>
      <c r="E183" s="7" t="e">
        <f t="shared" si="35"/>
        <v>#N/A</v>
      </c>
      <c r="F183" s="7" t="e">
        <f t="shared" si="41"/>
        <v>#N/A</v>
      </c>
      <c r="G183" s="7" t="e">
        <f t="shared" si="36"/>
        <v>#N/A</v>
      </c>
      <c r="H183" s="7" t="e">
        <f t="shared" si="37"/>
        <v>#N/A</v>
      </c>
      <c r="I183" s="7" t="e">
        <f t="shared" si="38"/>
        <v>#N/A</v>
      </c>
      <c r="J183" s="8" t="e">
        <f t="shared" si="39"/>
        <v>#N/A</v>
      </c>
      <c r="K183" s="8" t="e">
        <f t="shared" si="42"/>
        <v>#N/A</v>
      </c>
    </row>
    <row r="184" spans="1:11" x14ac:dyDescent="0.2">
      <c r="A184" s="4" t="e">
        <f t="shared" si="32"/>
        <v>#N/A</v>
      </c>
      <c r="B184" s="4" t="e">
        <f t="shared" si="33"/>
        <v>#N/A</v>
      </c>
      <c r="C184" s="5" t="e">
        <f t="shared" si="34"/>
        <v>#N/A</v>
      </c>
      <c r="D184" s="7" t="e">
        <f t="shared" si="40"/>
        <v>#N/A</v>
      </c>
      <c r="E184" s="7" t="e">
        <f t="shared" si="35"/>
        <v>#N/A</v>
      </c>
      <c r="F184" s="7" t="e">
        <f t="shared" si="41"/>
        <v>#N/A</v>
      </c>
      <c r="G184" s="7" t="e">
        <f t="shared" si="36"/>
        <v>#N/A</v>
      </c>
      <c r="H184" s="7" t="e">
        <f t="shared" si="37"/>
        <v>#N/A</v>
      </c>
      <c r="I184" s="7" t="e">
        <f t="shared" si="38"/>
        <v>#N/A</v>
      </c>
      <c r="J184" s="8" t="e">
        <f t="shared" si="39"/>
        <v>#N/A</v>
      </c>
      <c r="K184" s="8" t="e">
        <f t="shared" si="42"/>
        <v>#N/A</v>
      </c>
    </row>
    <row r="185" spans="1:11" x14ac:dyDescent="0.2">
      <c r="A185" s="4" t="e">
        <f t="shared" si="32"/>
        <v>#N/A</v>
      </c>
      <c r="B185" s="4" t="e">
        <f t="shared" si="33"/>
        <v>#N/A</v>
      </c>
      <c r="C185" s="5" t="e">
        <f t="shared" si="34"/>
        <v>#N/A</v>
      </c>
      <c r="D185" s="7" t="e">
        <f t="shared" si="40"/>
        <v>#N/A</v>
      </c>
      <c r="E185" s="7" t="e">
        <f t="shared" si="35"/>
        <v>#N/A</v>
      </c>
      <c r="F185" s="7" t="e">
        <f t="shared" si="41"/>
        <v>#N/A</v>
      </c>
      <c r="G185" s="7" t="e">
        <f t="shared" si="36"/>
        <v>#N/A</v>
      </c>
      <c r="H185" s="7" t="e">
        <f t="shared" si="37"/>
        <v>#N/A</v>
      </c>
      <c r="I185" s="7" t="e">
        <f t="shared" si="38"/>
        <v>#N/A</v>
      </c>
      <c r="J185" s="8" t="e">
        <f t="shared" si="39"/>
        <v>#N/A</v>
      </c>
      <c r="K185" s="8" t="e">
        <f t="shared" si="42"/>
        <v>#N/A</v>
      </c>
    </row>
    <row r="186" spans="1:11" x14ac:dyDescent="0.2">
      <c r="A186" s="4" t="e">
        <f t="shared" si="32"/>
        <v>#N/A</v>
      </c>
      <c r="B186" s="4" t="e">
        <f t="shared" si="33"/>
        <v>#N/A</v>
      </c>
      <c r="C186" s="5" t="e">
        <f t="shared" si="34"/>
        <v>#N/A</v>
      </c>
      <c r="D186" s="7" t="e">
        <f t="shared" si="40"/>
        <v>#N/A</v>
      </c>
      <c r="E186" s="7" t="e">
        <f t="shared" si="35"/>
        <v>#N/A</v>
      </c>
      <c r="F186" s="7" t="e">
        <f t="shared" si="41"/>
        <v>#N/A</v>
      </c>
      <c r="G186" s="7" t="e">
        <f t="shared" si="36"/>
        <v>#N/A</v>
      </c>
      <c r="H186" s="7" t="e">
        <f t="shared" si="37"/>
        <v>#N/A</v>
      </c>
      <c r="I186" s="7" t="e">
        <f t="shared" si="38"/>
        <v>#N/A</v>
      </c>
      <c r="J186" s="8" t="e">
        <f t="shared" si="39"/>
        <v>#N/A</v>
      </c>
      <c r="K186" s="8" t="e">
        <f t="shared" si="42"/>
        <v>#N/A</v>
      </c>
    </row>
    <row r="187" spans="1:11" x14ac:dyDescent="0.2">
      <c r="A187" s="4" t="e">
        <f t="shared" si="32"/>
        <v>#N/A</v>
      </c>
      <c r="B187" s="4" t="e">
        <f t="shared" si="33"/>
        <v>#N/A</v>
      </c>
      <c r="C187" s="5" t="e">
        <f t="shared" si="34"/>
        <v>#N/A</v>
      </c>
      <c r="D187" s="7" t="e">
        <f t="shared" si="40"/>
        <v>#N/A</v>
      </c>
      <c r="E187" s="7" t="e">
        <f t="shared" si="35"/>
        <v>#N/A</v>
      </c>
      <c r="F187" s="7" t="e">
        <f t="shared" si="41"/>
        <v>#N/A</v>
      </c>
      <c r="G187" s="7" t="e">
        <f t="shared" si="36"/>
        <v>#N/A</v>
      </c>
      <c r="H187" s="7" t="e">
        <f t="shared" si="37"/>
        <v>#N/A</v>
      </c>
      <c r="I187" s="7" t="e">
        <f t="shared" si="38"/>
        <v>#N/A</v>
      </c>
      <c r="J187" s="8" t="e">
        <f t="shared" si="39"/>
        <v>#N/A</v>
      </c>
      <c r="K187" s="8" t="e">
        <f t="shared" si="42"/>
        <v>#N/A</v>
      </c>
    </row>
    <row r="188" spans="1:11" x14ac:dyDescent="0.2">
      <c r="A188" s="4" t="e">
        <f t="shared" si="32"/>
        <v>#N/A</v>
      </c>
      <c r="B188" s="4" t="e">
        <f t="shared" si="33"/>
        <v>#N/A</v>
      </c>
      <c r="C188" s="5" t="e">
        <f t="shared" si="34"/>
        <v>#N/A</v>
      </c>
      <c r="D188" s="7" t="e">
        <f t="shared" si="40"/>
        <v>#N/A</v>
      </c>
      <c r="E188" s="7" t="e">
        <f t="shared" si="35"/>
        <v>#N/A</v>
      </c>
      <c r="F188" s="7" t="e">
        <f t="shared" si="41"/>
        <v>#N/A</v>
      </c>
      <c r="G188" s="7" t="e">
        <f t="shared" si="36"/>
        <v>#N/A</v>
      </c>
      <c r="H188" s="7" t="e">
        <f t="shared" si="37"/>
        <v>#N/A</v>
      </c>
      <c r="I188" s="7" t="e">
        <f t="shared" si="38"/>
        <v>#N/A</v>
      </c>
      <c r="J188" s="8" t="e">
        <f t="shared" si="39"/>
        <v>#N/A</v>
      </c>
      <c r="K188" s="8" t="e">
        <f t="shared" si="42"/>
        <v>#N/A</v>
      </c>
    </row>
    <row r="189" spans="1:11" x14ac:dyDescent="0.2">
      <c r="A189" s="4" t="e">
        <f t="shared" si="32"/>
        <v>#N/A</v>
      </c>
      <c r="B189" s="4" t="e">
        <f t="shared" si="33"/>
        <v>#N/A</v>
      </c>
      <c r="C189" s="5" t="e">
        <f t="shared" si="34"/>
        <v>#N/A</v>
      </c>
      <c r="D189" s="7" t="e">
        <f t="shared" si="40"/>
        <v>#N/A</v>
      </c>
      <c r="E189" s="7" t="e">
        <f t="shared" si="35"/>
        <v>#N/A</v>
      </c>
      <c r="F189" s="7" t="e">
        <f t="shared" si="41"/>
        <v>#N/A</v>
      </c>
      <c r="G189" s="7" t="e">
        <f t="shared" si="36"/>
        <v>#N/A</v>
      </c>
      <c r="H189" s="7" t="e">
        <f t="shared" si="37"/>
        <v>#N/A</v>
      </c>
      <c r="I189" s="7" t="e">
        <f t="shared" si="38"/>
        <v>#N/A</v>
      </c>
      <c r="J189" s="8" t="e">
        <f t="shared" si="39"/>
        <v>#N/A</v>
      </c>
      <c r="K189" s="8" t="e">
        <f t="shared" si="42"/>
        <v>#N/A</v>
      </c>
    </row>
    <row r="190" spans="1:11" x14ac:dyDescent="0.2">
      <c r="A190" s="4" t="e">
        <f t="shared" si="32"/>
        <v>#N/A</v>
      </c>
      <c r="B190" s="4" t="e">
        <f t="shared" si="33"/>
        <v>#N/A</v>
      </c>
      <c r="C190" s="5" t="e">
        <f t="shared" si="34"/>
        <v>#N/A</v>
      </c>
      <c r="D190" s="7" t="e">
        <f t="shared" si="40"/>
        <v>#N/A</v>
      </c>
      <c r="E190" s="7" t="e">
        <f t="shared" si="35"/>
        <v>#N/A</v>
      </c>
      <c r="F190" s="7" t="e">
        <f t="shared" si="41"/>
        <v>#N/A</v>
      </c>
      <c r="G190" s="7" t="e">
        <f t="shared" si="36"/>
        <v>#N/A</v>
      </c>
      <c r="H190" s="7" t="e">
        <f t="shared" si="37"/>
        <v>#N/A</v>
      </c>
      <c r="I190" s="7" t="e">
        <f t="shared" si="38"/>
        <v>#N/A</v>
      </c>
      <c r="J190" s="8" t="e">
        <f t="shared" si="39"/>
        <v>#N/A</v>
      </c>
      <c r="K190" s="8" t="e">
        <f t="shared" si="42"/>
        <v>#N/A</v>
      </c>
    </row>
    <row r="191" spans="1:11" x14ac:dyDescent="0.2">
      <c r="A191" s="4" t="e">
        <f t="shared" si="32"/>
        <v>#N/A</v>
      </c>
      <c r="B191" s="4" t="e">
        <f t="shared" si="33"/>
        <v>#N/A</v>
      </c>
      <c r="C191" s="5" t="e">
        <f t="shared" si="34"/>
        <v>#N/A</v>
      </c>
      <c r="D191" s="7" t="e">
        <f t="shared" si="40"/>
        <v>#N/A</v>
      </c>
      <c r="E191" s="7" t="e">
        <f t="shared" si="35"/>
        <v>#N/A</v>
      </c>
      <c r="F191" s="7" t="e">
        <f t="shared" si="41"/>
        <v>#N/A</v>
      </c>
      <c r="G191" s="7" t="e">
        <f t="shared" si="36"/>
        <v>#N/A</v>
      </c>
      <c r="H191" s="7" t="e">
        <f t="shared" si="37"/>
        <v>#N/A</v>
      </c>
      <c r="I191" s="7" t="e">
        <f t="shared" si="38"/>
        <v>#N/A</v>
      </c>
      <c r="J191" s="8" t="e">
        <f t="shared" si="39"/>
        <v>#N/A</v>
      </c>
      <c r="K191" s="8" t="e">
        <f t="shared" si="42"/>
        <v>#N/A</v>
      </c>
    </row>
    <row r="192" spans="1:11" x14ac:dyDescent="0.2">
      <c r="A192" s="4" t="e">
        <f t="shared" si="32"/>
        <v>#N/A</v>
      </c>
      <c r="B192" s="4" t="e">
        <f t="shared" si="33"/>
        <v>#N/A</v>
      </c>
      <c r="C192" s="5" t="e">
        <f t="shared" si="34"/>
        <v>#N/A</v>
      </c>
      <c r="D192" s="7" t="e">
        <f t="shared" si="40"/>
        <v>#N/A</v>
      </c>
      <c r="E192" s="7" t="e">
        <f t="shared" si="35"/>
        <v>#N/A</v>
      </c>
      <c r="F192" s="7" t="e">
        <f t="shared" si="41"/>
        <v>#N/A</v>
      </c>
      <c r="G192" s="7" t="e">
        <f t="shared" si="36"/>
        <v>#N/A</v>
      </c>
      <c r="H192" s="7" t="e">
        <f t="shared" si="37"/>
        <v>#N/A</v>
      </c>
      <c r="I192" s="7" t="e">
        <f t="shared" si="38"/>
        <v>#N/A</v>
      </c>
      <c r="J192" s="8" t="e">
        <f t="shared" si="39"/>
        <v>#N/A</v>
      </c>
      <c r="K192" s="8" t="e">
        <f t="shared" si="42"/>
        <v>#N/A</v>
      </c>
    </row>
    <row r="193" spans="1:11" x14ac:dyDescent="0.2">
      <c r="A193" s="4" t="e">
        <f t="shared" si="32"/>
        <v>#N/A</v>
      </c>
      <c r="B193" s="4" t="e">
        <f t="shared" si="33"/>
        <v>#N/A</v>
      </c>
      <c r="C193" s="5" t="e">
        <f t="shared" si="34"/>
        <v>#N/A</v>
      </c>
      <c r="D193" s="7" t="e">
        <f t="shared" si="40"/>
        <v>#N/A</v>
      </c>
      <c r="E193" s="7" t="e">
        <f t="shared" si="35"/>
        <v>#N/A</v>
      </c>
      <c r="F193" s="7" t="e">
        <f t="shared" ref="F193:F203" si="43">IF(ISERROR(A193),NA(),"")</f>
        <v>#N/A</v>
      </c>
      <c r="G193" s="7" t="e">
        <f t="shared" si="36"/>
        <v>#N/A</v>
      </c>
      <c r="H193" s="7" t="e">
        <f t="shared" si="37"/>
        <v>#N/A</v>
      </c>
      <c r="I193" s="7" t="e">
        <f t="shared" si="38"/>
        <v>#N/A</v>
      </c>
      <c r="J193" s="8" t="e">
        <f t="shared" si="39"/>
        <v>#N/A</v>
      </c>
      <c r="K193" s="8" t="e">
        <f t="shared" ref="K193:K203" si="44">IF(ISERROR(A193),NA(),K192+E193+G193+J193-I193)</f>
        <v>#N/A</v>
      </c>
    </row>
    <row r="194" spans="1:11" x14ac:dyDescent="0.2">
      <c r="A194" s="4" t="e">
        <f t="shared" ref="A194:A203" si="45">IF(OR(K193&lt;0,A193&gt;=($E$9-$E$8)+$E$10),NA(),A193+1)</f>
        <v>#N/A</v>
      </c>
      <c r="B194" s="4" t="e">
        <f t="shared" ref="B194:B203" si="46">IF(ISERROR(A194),NA(),$E$8+A194-1)</f>
        <v>#N/A</v>
      </c>
      <c r="C194" s="5" t="e">
        <f t="shared" ref="C194:C203" si="47">IF(ISERROR(A194),NA(),IF(B194&lt;$E$9,$E$14,$E$15))</f>
        <v>#N/A</v>
      </c>
      <c r="D194" s="7" t="e">
        <f t="shared" si="40"/>
        <v>#N/A</v>
      </c>
      <c r="E194" s="7" t="e">
        <f t="shared" ref="E194:E203" si="48">IF(ISERROR(A194),NA(),IF(B194=$E$9-1,$K$25)+IF(A194&lt;=$E$11,$E$23*D194,0))</f>
        <v>#N/A</v>
      </c>
      <c r="F194" s="7" t="e">
        <f t="shared" si="43"/>
        <v>#N/A</v>
      </c>
      <c r="G194" s="7" t="e">
        <f t="shared" ref="G194:G203" si="49">IF(ISERROR(A194),NA(),IF(A194&lt;=$E$11,MIN($E$24*E194,$E$25*$E$24*D194),0))</f>
        <v>#N/A</v>
      </c>
      <c r="H194" s="7" t="e">
        <f t="shared" ref="H194:H203" si="50">IF(ISERROR(A194),NA(),IF(ISERROR(B194),0,IF(AND(B194&gt;=$K$18,B194&lt;($K$18+$K$21)),$K$19*(1+$K$20)^(B194-$K$18),0)))</f>
        <v>#N/A</v>
      </c>
      <c r="I194" s="7" t="e">
        <f t="shared" ref="I194:I203" si="51">IF(ISERROR(A194),NA(),IF(B194&gt;=$E$9,D194-H194,0))</f>
        <v>#N/A</v>
      </c>
      <c r="J194" s="8" t="e">
        <f t="shared" ref="J194:J203" si="52">IF(ISERROR(A194),NA(),FV(C194/$E$42,$E$42,-(E194+G194)/$E$42,-(K193-I194*$E$43),0)-(K193+E194+G194-I194*$E$43))</f>
        <v>#N/A</v>
      </c>
      <c r="K194" s="8" t="e">
        <f t="shared" si="44"/>
        <v>#N/A</v>
      </c>
    </row>
    <row r="195" spans="1:11" x14ac:dyDescent="0.2">
      <c r="A195" s="4" t="e">
        <f t="shared" si="45"/>
        <v>#N/A</v>
      </c>
      <c r="B195" s="4" t="e">
        <f t="shared" si="46"/>
        <v>#N/A</v>
      </c>
      <c r="C195" s="5" t="e">
        <f t="shared" si="47"/>
        <v>#N/A</v>
      </c>
      <c r="D195" s="7" t="e">
        <f t="shared" ref="D195:D203" si="53">IF(ISERROR(A195),NA(),IF(B195&gt;=$E$9,$K$9*(1+$E$16)^(B195-$E$9),(1+$E$20)*D194))</f>
        <v>#N/A</v>
      </c>
      <c r="E195" s="7" t="e">
        <f t="shared" si="48"/>
        <v>#N/A</v>
      </c>
      <c r="F195" s="7" t="e">
        <f t="shared" si="43"/>
        <v>#N/A</v>
      </c>
      <c r="G195" s="7" t="e">
        <f t="shared" si="49"/>
        <v>#N/A</v>
      </c>
      <c r="H195" s="7" t="e">
        <f t="shared" si="50"/>
        <v>#N/A</v>
      </c>
      <c r="I195" s="7" t="e">
        <f t="shared" si="51"/>
        <v>#N/A</v>
      </c>
      <c r="J195" s="8" t="e">
        <f t="shared" si="52"/>
        <v>#N/A</v>
      </c>
      <c r="K195" s="8" t="e">
        <f t="shared" si="44"/>
        <v>#N/A</v>
      </c>
    </row>
    <row r="196" spans="1:11" x14ac:dyDescent="0.2">
      <c r="A196" s="4" t="e">
        <f t="shared" si="45"/>
        <v>#N/A</v>
      </c>
      <c r="B196" s="4" t="e">
        <f t="shared" si="46"/>
        <v>#N/A</v>
      </c>
      <c r="C196" s="5" t="e">
        <f t="shared" si="47"/>
        <v>#N/A</v>
      </c>
      <c r="D196" s="7" t="e">
        <f t="shared" si="53"/>
        <v>#N/A</v>
      </c>
      <c r="E196" s="7" t="e">
        <f t="shared" si="48"/>
        <v>#N/A</v>
      </c>
      <c r="F196" s="7" t="e">
        <f t="shared" si="43"/>
        <v>#N/A</v>
      </c>
      <c r="G196" s="7" t="e">
        <f t="shared" si="49"/>
        <v>#N/A</v>
      </c>
      <c r="H196" s="7" t="e">
        <f t="shared" si="50"/>
        <v>#N/A</v>
      </c>
      <c r="I196" s="7" t="e">
        <f t="shared" si="51"/>
        <v>#N/A</v>
      </c>
      <c r="J196" s="8" t="e">
        <f t="shared" si="52"/>
        <v>#N/A</v>
      </c>
      <c r="K196" s="8" t="e">
        <f t="shared" si="44"/>
        <v>#N/A</v>
      </c>
    </row>
    <row r="197" spans="1:11" x14ac:dyDescent="0.2">
      <c r="A197" s="4" t="e">
        <f t="shared" si="45"/>
        <v>#N/A</v>
      </c>
      <c r="B197" s="4" t="e">
        <f t="shared" si="46"/>
        <v>#N/A</v>
      </c>
      <c r="C197" s="5" t="e">
        <f t="shared" si="47"/>
        <v>#N/A</v>
      </c>
      <c r="D197" s="7" t="e">
        <f t="shared" si="53"/>
        <v>#N/A</v>
      </c>
      <c r="E197" s="7" t="e">
        <f t="shared" si="48"/>
        <v>#N/A</v>
      </c>
      <c r="F197" s="7" t="e">
        <f t="shared" si="43"/>
        <v>#N/A</v>
      </c>
      <c r="G197" s="7" t="e">
        <f t="shared" si="49"/>
        <v>#N/A</v>
      </c>
      <c r="H197" s="7" t="e">
        <f t="shared" si="50"/>
        <v>#N/A</v>
      </c>
      <c r="I197" s="7" t="e">
        <f t="shared" si="51"/>
        <v>#N/A</v>
      </c>
      <c r="J197" s="8" t="e">
        <f t="shared" si="52"/>
        <v>#N/A</v>
      </c>
      <c r="K197" s="8" t="e">
        <f t="shared" si="44"/>
        <v>#N/A</v>
      </c>
    </row>
    <row r="198" spans="1:11" x14ac:dyDescent="0.2">
      <c r="A198" s="4" t="e">
        <f t="shared" si="45"/>
        <v>#N/A</v>
      </c>
      <c r="B198" s="4" t="e">
        <f t="shared" si="46"/>
        <v>#N/A</v>
      </c>
      <c r="C198" s="5" t="e">
        <f t="shared" si="47"/>
        <v>#N/A</v>
      </c>
      <c r="D198" s="7" t="e">
        <f t="shared" si="53"/>
        <v>#N/A</v>
      </c>
      <c r="E198" s="7" t="e">
        <f t="shared" si="48"/>
        <v>#N/A</v>
      </c>
      <c r="F198" s="7" t="e">
        <f t="shared" si="43"/>
        <v>#N/A</v>
      </c>
      <c r="G198" s="7" t="e">
        <f t="shared" si="49"/>
        <v>#N/A</v>
      </c>
      <c r="H198" s="7" t="e">
        <f t="shared" si="50"/>
        <v>#N/A</v>
      </c>
      <c r="I198" s="7" t="e">
        <f t="shared" si="51"/>
        <v>#N/A</v>
      </c>
      <c r="J198" s="8" t="e">
        <f t="shared" si="52"/>
        <v>#N/A</v>
      </c>
      <c r="K198" s="8" t="e">
        <f t="shared" si="44"/>
        <v>#N/A</v>
      </c>
    </row>
    <row r="199" spans="1:11" x14ac:dyDescent="0.2">
      <c r="A199" s="4" t="e">
        <f t="shared" si="45"/>
        <v>#N/A</v>
      </c>
      <c r="B199" s="4" t="e">
        <f t="shared" si="46"/>
        <v>#N/A</v>
      </c>
      <c r="C199" s="5" t="e">
        <f t="shared" si="47"/>
        <v>#N/A</v>
      </c>
      <c r="D199" s="7" t="e">
        <f t="shared" si="53"/>
        <v>#N/A</v>
      </c>
      <c r="E199" s="7" t="e">
        <f t="shared" si="48"/>
        <v>#N/A</v>
      </c>
      <c r="F199" s="7" t="e">
        <f t="shared" si="43"/>
        <v>#N/A</v>
      </c>
      <c r="G199" s="7" t="e">
        <f t="shared" si="49"/>
        <v>#N/A</v>
      </c>
      <c r="H199" s="7" t="e">
        <f t="shared" si="50"/>
        <v>#N/A</v>
      </c>
      <c r="I199" s="7" t="e">
        <f t="shared" si="51"/>
        <v>#N/A</v>
      </c>
      <c r="J199" s="8" t="e">
        <f t="shared" si="52"/>
        <v>#N/A</v>
      </c>
      <c r="K199" s="8" t="e">
        <f t="shared" si="44"/>
        <v>#N/A</v>
      </c>
    </row>
    <row r="200" spans="1:11" x14ac:dyDescent="0.2">
      <c r="A200" s="4" t="e">
        <f t="shared" si="45"/>
        <v>#N/A</v>
      </c>
      <c r="B200" s="4" t="e">
        <f t="shared" si="46"/>
        <v>#N/A</v>
      </c>
      <c r="C200" s="5" t="e">
        <f t="shared" si="47"/>
        <v>#N/A</v>
      </c>
      <c r="D200" s="7" t="e">
        <f t="shared" si="53"/>
        <v>#N/A</v>
      </c>
      <c r="E200" s="7" t="e">
        <f t="shared" si="48"/>
        <v>#N/A</v>
      </c>
      <c r="F200" s="7" t="e">
        <f t="shared" si="43"/>
        <v>#N/A</v>
      </c>
      <c r="G200" s="7" t="e">
        <f t="shared" si="49"/>
        <v>#N/A</v>
      </c>
      <c r="H200" s="7" t="e">
        <f t="shared" si="50"/>
        <v>#N/A</v>
      </c>
      <c r="I200" s="7" t="e">
        <f t="shared" si="51"/>
        <v>#N/A</v>
      </c>
      <c r="J200" s="8" t="e">
        <f t="shared" si="52"/>
        <v>#N/A</v>
      </c>
      <c r="K200" s="8" t="e">
        <f t="shared" si="44"/>
        <v>#N/A</v>
      </c>
    </row>
    <row r="201" spans="1:11" x14ac:dyDescent="0.2">
      <c r="A201" s="4" t="e">
        <f t="shared" si="45"/>
        <v>#N/A</v>
      </c>
      <c r="B201" s="4" t="e">
        <f t="shared" si="46"/>
        <v>#N/A</v>
      </c>
      <c r="C201" s="5" t="e">
        <f t="shared" si="47"/>
        <v>#N/A</v>
      </c>
      <c r="D201" s="7" t="e">
        <f t="shared" si="53"/>
        <v>#N/A</v>
      </c>
      <c r="E201" s="7" t="e">
        <f t="shared" si="48"/>
        <v>#N/A</v>
      </c>
      <c r="F201" s="7" t="e">
        <f t="shared" si="43"/>
        <v>#N/A</v>
      </c>
      <c r="G201" s="7" t="e">
        <f t="shared" si="49"/>
        <v>#N/A</v>
      </c>
      <c r="H201" s="7" t="e">
        <f t="shared" si="50"/>
        <v>#N/A</v>
      </c>
      <c r="I201" s="7" t="e">
        <f t="shared" si="51"/>
        <v>#N/A</v>
      </c>
      <c r="J201" s="8" t="e">
        <f t="shared" si="52"/>
        <v>#N/A</v>
      </c>
      <c r="K201" s="8" t="e">
        <f t="shared" si="44"/>
        <v>#N/A</v>
      </c>
    </row>
    <row r="202" spans="1:11" x14ac:dyDescent="0.2">
      <c r="A202" s="4" t="e">
        <f t="shared" si="45"/>
        <v>#N/A</v>
      </c>
      <c r="B202" s="4" t="e">
        <f t="shared" si="46"/>
        <v>#N/A</v>
      </c>
      <c r="C202" s="5" t="e">
        <f t="shared" si="47"/>
        <v>#N/A</v>
      </c>
      <c r="D202" s="7" t="e">
        <f t="shared" si="53"/>
        <v>#N/A</v>
      </c>
      <c r="E202" s="7" t="e">
        <f t="shared" si="48"/>
        <v>#N/A</v>
      </c>
      <c r="F202" s="7" t="e">
        <f t="shared" si="43"/>
        <v>#N/A</v>
      </c>
      <c r="G202" s="7" t="e">
        <f t="shared" si="49"/>
        <v>#N/A</v>
      </c>
      <c r="H202" s="7" t="e">
        <f t="shared" si="50"/>
        <v>#N/A</v>
      </c>
      <c r="I202" s="7" t="e">
        <f t="shared" si="51"/>
        <v>#N/A</v>
      </c>
      <c r="J202" s="8" t="e">
        <f t="shared" si="52"/>
        <v>#N/A</v>
      </c>
      <c r="K202" s="8" t="e">
        <f t="shared" si="44"/>
        <v>#N/A</v>
      </c>
    </row>
    <row r="203" spans="1:11" x14ac:dyDescent="0.2">
      <c r="A203" s="4" t="e">
        <f t="shared" si="45"/>
        <v>#N/A</v>
      </c>
      <c r="B203" s="4" t="e">
        <f t="shared" si="46"/>
        <v>#N/A</v>
      </c>
      <c r="C203" s="5" t="e">
        <f t="shared" si="47"/>
        <v>#N/A</v>
      </c>
      <c r="D203" s="7" t="e">
        <f t="shared" si="53"/>
        <v>#N/A</v>
      </c>
      <c r="E203" s="7" t="e">
        <f t="shared" si="48"/>
        <v>#N/A</v>
      </c>
      <c r="F203" s="7" t="e">
        <f t="shared" si="43"/>
        <v>#N/A</v>
      </c>
      <c r="G203" s="7" t="e">
        <f t="shared" si="49"/>
        <v>#N/A</v>
      </c>
      <c r="H203" s="7" t="e">
        <f t="shared" si="50"/>
        <v>#N/A</v>
      </c>
      <c r="I203" s="7" t="e">
        <f t="shared" si="51"/>
        <v>#N/A</v>
      </c>
      <c r="J203" s="8" t="e">
        <f t="shared" si="52"/>
        <v>#N/A</v>
      </c>
      <c r="K203" s="8" t="e">
        <f t="shared" si="44"/>
        <v>#N/A</v>
      </c>
    </row>
    <row r="204" spans="1:11" x14ac:dyDescent="0.2">
      <c r="A204" s="34"/>
      <c r="B204" s="34"/>
      <c r="C204" s="34"/>
      <c r="D204" s="34"/>
      <c r="E204" s="34"/>
      <c r="F204" s="34"/>
      <c r="G204" s="34"/>
      <c r="H204" s="34"/>
      <c r="I204" s="34"/>
      <c r="J204" s="34"/>
      <c r="K204" s="34"/>
    </row>
  </sheetData>
  <mergeCells count="2">
    <mergeCell ref="B3:E3"/>
    <mergeCell ref="H3:I3"/>
  </mergeCells>
  <phoneticPr fontId="2" type="noConversion"/>
  <conditionalFormatting sqref="E14:E16">
    <cfRule type="expression" dxfId="5" priority="10" stopIfTrue="1">
      <formula>randrate</formula>
    </cfRule>
  </conditionalFormatting>
  <conditionalFormatting sqref="A129:K203 A48:K122">
    <cfRule type="expression" dxfId="4" priority="11" stopIfTrue="1">
      <formula>ISERROR(A48)</formula>
    </cfRule>
    <cfRule type="expression" dxfId="3" priority="12" stopIfTrue="1">
      <formula>MOD(ROW(),2)=1</formula>
    </cfRule>
  </conditionalFormatting>
  <conditionalFormatting sqref="K20">
    <cfRule type="expression" dxfId="2" priority="6" stopIfTrue="1">
      <formula>randrate</formula>
    </cfRule>
  </conditionalFormatting>
  <conditionalFormatting sqref="K18">
    <cfRule type="cellIs" dxfId="1" priority="2" operator="lessThan">
      <formula>$E$9</formula>
    </cfRule>
  </conditionalFormatting>
  <conditionalFormatting sqref="E9">
    <cfRule type="cellIs" dxfId="0" priority="1" operator="lessThan">
      <formula>$E$8</formula>
    </cfRule>
  </conditionalFormatting>
  <dataValidations count="2">
    <dataValidation type="list" allowBlank="1" showInputMessage="1" showErrorMessage="1" sqref="E42" xr:uid="{00000000-0002-0000-0000-000000000000}">
      <formula1>"12,24,26,52,13,4,2,1"</formula1>
    </dataValidation>
    <dataValidation type="list" allowBlank="1" showInputMessage="1" showErrorMessage="1" sqref="E43" xr:uid="{00000000-0002-0000-0000-000001000000}">
      <formula1>"0,1"</formula1>
    </dataValidation>
  </dataValidations>
  <hyperlinks>
    <hyperlink ref="M7" r:id="rId1" display="https://www.vertex42.com/Calculators/retirement-calculator.html" xr:uid="{00000000-0004-0000-0000-000000000000}"/>
    <hyperlink ref="M12" r:id="rId2" xr:uid="{EF2785A4-3FC2-420A-B805-ADE840115956}"/>
  </hyperlinks>
  <printOptions horizontalCentered="1"/>
  <pageMargins left="0.5" right="0.5" top="0.5" bottom="0.5" header="0.5" footer="0.25"/>
  <pageSetup scale="93" fitToHeight="0" orientation="portrait" r:id="rId3"/>
  <headerFooter scaleWithDoc="0">
    <firstFooter>&amp;R&amp;"Arial,Regular"&amp;8Page &amp;P of &amp;N</firstFooter>
  </headerFooter>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showGridLines="0" workbookViewId="0"/>
  </sheetViews>
  <sheetFormatPr defaultColWidth="9.140625" defaultRowHeight="12.75" x14ac:dyDescent="0.2"/>
  <cols>
    <col min="1" max="1" width="10.42578125" style="29" customWidth="1"/>
    <col min="2" max="2" width="72.7109375" style="29" customWidth="1"/>
    <col min="3" max="3" width="19.140625" style="29" customWidth="1"/>
    <col min="4" max="4" width="10.28515625" style="29" customWidth="1"/>
    <col min="5" max="16384" width="9.140625" style="29"/>
  </cols>
  <sheetData>
    <row r="1" spans="1:5" ht="31.5" customHeight="1" x14ac:dyDescent="0.2">
      <c r="A1" s="99" t="s">
        <v>10</v>
      </c>
      <c r="B1" s="99"/>
      <c r="C1" s="99"/>
    </row>
    <row r="2" spans="1:5" x14ac:dyDescent="0.2">
      <c r="A2" s="2" t="s">
        <v>80</v>
      </c>
      <c r="C2" s="19" t="s">
        <v>90</v>
      </c>
    </row>
    <row r="3" spans="1:5" x14ac:dyDescent="0.2">
      <c r="B3" s="30"/>
    </row>
    <row r="4" spans="1:5" ht="18" x14ac:dyDescent="0.2">
      <c r="A4" s="100" t="s">
        <v>92</v>
      </c>
      <c r="B4" s="101"/>
      <c r="C4" s="102"/>
    </row>
    <row r="5" spans="1:5" ht="57" x14ac:dyDescent="0.2">
      <c r="B5" s="20" t="s">
        <v>69</v>
      </c>
    </row>
    <row r="6" spans="1:5" ht="14.25" x14ac:dyDescent="0.2">
      <c r="B6" s="20"/>
    </row>
    <row r="7" spans="1:5" ht="57.75" x14ac:dyDescent="0.2">
      <c r="B7" s="20" t="s">
        <v>68</v>
      </c>
    </row>
    <row r="8" spans="1:5" ht="14.25" x14ac:dyDescent="0.2">
      <c r="B8" s="20"/>
    </row>
    <row r="9" spans="1:5" ht="42.75" x14ac:dyDescent="0.2">
      <c r="B9" s="20" t="s">
        <v>71</v>
      </c>
    </row>
    <row r="10" spans="1:5" ht="14.25" x14ac:dyDescent="0.2">
      <c r="B10" s="20"/>
    </row>
    <row r="11" spans="1:5" ht="18" x14ac:dyDescent="0.2">
      <c r="A11" s="100" t="s">
        <v>41</v>
      </c>
      <c r="B11" s="101"/>
      <c r="C11" s="102"/>
    </row>
    <row r="12" spans="1:5" ht="15" x14ac:dyDescent="0.2">
      <c r="B12" s="28" t="s">
        <v>40</v>
      </c>
    </row>
    <row r="13" spans="1:5" ht="14.25" x14ac:dyDescent="0.2">
      <c r="B13" s="20"/>
    </row>
    <row r="14" spans="1:5" ht="28.5" x14ac:dyDescent="0.2">
      <c r="B14" s="27" t="s">
        <v>70</v>
      </c>
    </row>
    <row r="15" spans="1:5" ht="14.25" x14ac:dyDescent="0.2">
      <c r="A15" s="22"/>
      <c r="B15" s="23"/>
    </row>
    <row r="16" spans="1:5" ht="18" x14ac:dyDescent="0.2">
      <c r="A16" s="100" t="s">
        <v>11</v>
      </c>
      <c r="B16" s="101"/>
      <c r="C16" s="102"/>
      <c r="E16" s="21"/>
    </row>
    <row r="17" spans="1:5" ht="28.5" x14ac:dyDescent="0.2">
      <c r="B17" s="23" t="s">
        <v>12</v>
      </c>
      <c r="E17" s="21"/>
    </row>
    <row r="18" spans="1:5" ht="14.25" x14ac:dyDescent="0.2">
      <c r="B18" s="23"/>
      <c r="E18" s="21"/>
    </row>
    <row r="19" spans="1:5" ht="18" x14ac:dyDescent="0.2">
      <c r="A19" s="100" t="s">
        <v>93</v>
      </c>
      <c r="B19" s="101"/>
      <c r="C19" s="102"/>
      <c r="E19" s="21"/>
    </row>
    <row r="21" spans="1:5" ht="14.25" x14ac:dyDescent="0.2">
      <c r="B21" s="103" t="str">
        <f>HYPERLINK("https://www.vertex42.com/Calculators/home-mortgage-calculator.html","► Home Mortgage Calculator")</f>
        <v>► Home Mortgage Calculator</v>
      </c>
    </row>
    <row r="22" spans="1:5" ht="14.25" x14ac:dyDescent="0.2">
      <c r="B22" s="103"/>
      <c r="E22" s="25"/>
    </row>
    <row r="23" spans="1:5" ht="14.25" x14ac:dyDescent="0.2">
      <c r="B23" s="103" t="str">
        <f>HYPERLINK("https://www.vertex42.com/Calculators/401k-savings-calculator.html","► 401(k) Savings Calculator")</f>
        <v>► 401(k) Savings Calculator</v>
      </c>
      <c r="E23" s="25"/>
    </row>
    <row r="24" spans="1:5" ht="14.25" x14ac:dyDescent="0.2">
      <c r="B24" s="103"/>
      <c r="E24" s="25"/>
    </row>
    <row r="25" spans="1:5" ht="14.25" x14ac:dyDescent="0.2">
      <c r="B25" s="103" t="str">
        <f>HYPERLINK("https://www.vertex42.com/Calculators/retirement-withdrawal-calculator.html","► Retirement Withdrawal Calculator")</f>
        <v>► Retirement Withdrawal Calculator</v>
      </c>
      <c r="E25" s="25"/>
    </row>
    <row r="26" spans="1:5" ht="14.25" x14ac:dyDescent="0.2">
      <c r="B26" s="103"/>
      <c r="E26" s="25"/>
    </row>
    <row r="27" spans="1:5" ht="14.25" x14ac:dyDescent="0.2">
      <c r="B27" s="103" t="str">
        <f>HYPERLINK("https://www.vertex42.com/ExcelTemplates/money-management-template.html","► Money Management Template")</f>
        <v>► Money Management Template</v>
      </c>
      <c r="E27" s="25"/>
    </row>
    <row r="28" spans="1:5" ht="14.25" x14ac:dyDescent="0.2">
      <c r="A28" s="24"/>
      <c r="B28" s="103"/>
      <c r="E28" s="25"/>
    </row>
    <row r="29" spans="1:5" ht="14.25" x14ac:dyDescent="0.2">
      <c r="B29" s="103" t="str">
        <f>HYPERLINK("https://www.vertex42.com/Calculators/financial-calculators.html","► More Financial Calculators")</f>
        <v>► More Financial Calculators</v>
      </c>
      <c r="E29" s="25"/>
    </row>
    <row r="30" spans="1:5" ht="14.25" x14ac:dyDescent="0.2">
      <c r="B30" s="26"/>
      <c r="E30" s="25"/>
    </row>
    <row r="31" spans="1:5" x14ac:dyDescent="0.2">
      <c r="E31" s="31"/>
    </row>
    <row r="32" spans="1:5" x14ac:dyDescent="0.2">
      <c r="E32" s="25"/>
    </row>
  </sheetData>
  <hyperlinks>
    <hyperlink ref="A2" r:id="rId1" xr:uid="{00000000-0004-0000-0100-00000000000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B28BB-AE35-4B9F-9D17-16526702BF89}">
  <dimension ref="A1:C19"/>
  <sheetViews>
    <sheetView showGridLines="0" workbookViewId="0"/>
  </sheetViews>
  <sheetFormatPr defaultRowHeight="12.75" x14ac:dyDescent="0.2"/>
  <cols>
    <col min="1" max="1" width="2.85546875" style="97" customWidth="1"/>
    <col min="2" max="2" width="71.5703125" style="97" customWidth="1"/>
    <col min="3" max="3" width="22.28515625" style="87" customWidth="1"/>
    <col min="4" max="16384" width="9.140625" style="87"/>
  </cols>
  <sheetData>
    <row r="1" spans="1:3" ht="32.1" customHeight="1" x14ac:dyDescent="0.2">
      <c r="A1" s="84"/>
      <c r="B1" s="85" t="s">
        <v>17</v>
      </c>
      <c r="C1" s="86"/>
    </row>
    <row r="2" spans="1:3" ht="15" x14ac:dyDescent="0.2">
      <c r="A2" s="88"/>
      <c r="B2" s="89"/>
      <c r="C2" s="90"/>
    </row>
    <row r="3" spans="1:3" ht="15" x14ac:dyDescent="0.2">
      <c r="A3" s="88"/>
      <c r="B3" s="91" t="s">
        <v>13</v>
      </c>
      <c r="C3" s="90"/>
    </row>
    <row r="4" spans="1:3" ht="14.25" x14ac:dyDescent="0.2">
      <c r="A4" s="88"/>
      <c r="B4" s="92" t="s">
        <v>80</v>
      </c>
      <c r="C4" s="90"/>
    </row>
    <row r="5" spans="1:3" ht="15" x14ac:dyDescent="0.2">
      <c r="A5" s="88"/>
      <c r="B5" s="93"/>
      <c r="C5" s="90"/>
    </row>
    <row r="6" spans="1:3" ht="15.75" x14ac:dyDescent="0.25">
      <c r="A6" s="88"/>
      <c r="B6" s="94" t="s">
        <v>90</v>
      </c>
      <c r="C6" s="90"/>
    </row>
    <row r="7" spans="1:3" ht="15" x14ac:dyDescent="0.2">
      <c r="A7" s="88"/>
      <c r="B7" s="93"/>
      <c r="C7" s="90"/>
    </row>
    <row r="8" spans="1:3" ht="30" x14ac:dyDescent="0.2">
      <c r="A8" s="88"/>
      <c r="B8" s="93" t="s">
        <v>16</v>
      </c>
      <c r="C8" s="90"/>
    </row>
    <row r="9" spans="1:3" ht="15" x14ac:dyDescent="0.2">
      <c r="A9" s="88"/>
      <c r="B9" s="93"/>
      <c r="C9" s="90"/>
    </row>
    <row r="10" spans="1:3" ht="30" x14ac:dyDescent="0.2">
      <c r="A10" s="88"/>
      <c r="B10" s="93" t="s">
        <v>14</v>
      </c>
      <c r="C10" s="90"/>
    </row>
    <row r="11" spans="1:3" ht="15" x14ac:dyDescent="0.2">
      <c r="A11" s="88"/>
      <c r="B11" s="93"/>
      <c r="C11" s="90"/>
    </row>
    <row r="12" spans="1:3" ht="30" x14ac:dyDescent="0.2">
      <c r="A12" s="88"/>
      <c r="B12" s="93" t="s">
        <v>15</v>
      </c>
      <c r="C12" s="90"/>
    </row>
    <row r="13" spans="1:3" ht="15" x14ac:dyDescent="0.2">
      <c r="A13" s="88"/>
      <c r="B13" s="93"/>
      <c r="C13" s="90"/>
    </row>
    <row r="14" spans="1:3" ht="15.75" x14ac:dyDescent="0.25">
      <c r="A14" s="88"/>
      <c r="B14" s="94" t="s">
        <v>83</v>
      </c>
      <c r="C14" s="90"/>
    </row>
    <row r="15" spans="1:3" ht="15" x14ac:dyDescent="0.2">
      <c r="A15" s="88"/>
      <c r="B15" s="98" t="s">
        <v>81</v>
      </c>
      <c r="C15" s="90"/>
    </row>
    <row r="16" spans="1:3" ht="15" x14ac:dyDescent="0.2">
      <c r="A16" s="88"/>
      <c r="B16" s="95"/>
      <c r="C16" s="90"/>
    </row>
    <row r="17" spans="1:3" ht="15" x14ac:dyDescent="0.2">
      <c r="A17" s="88"/>
      <c r="B17" s="96" t="s">
        <v>82</v>
      </c>
      <c r="C17" s="90"/>
    </row>
    <row r="18" spans="1:3" ht="14.25" x14ac:dyDescent="0.2">
      <c r="A18" s="88"/>
      <c r="B18" s="88"/>
      <c r="C18" s="90"/>
    </row>
    <row r="19" spans="1:3" ht="14.25" x14ac:dyDescent="0.2">
      <c r="A19" s="88"/>
      <c r="B19" s="88"/>
      <c r="C19" s="90"/>
    </row>
  </sheetData>
  <hyperlinks>
    <hyperlink ref="B15" r:id="rId1" xr:uid="{B10CF523-D333-45BF-B3C5-F71578B096BB}"/>
    <hyperlink ref="B4" r:id="rId2" xr:uid="{7B167FEF-83F2-4972-B12D-4D8663E56013}"/>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Retirement</vt:lpstr>
      <vt:lpstr>Help</vt:lpstr>
      <vt:lpstr>©</vt:lpstr>
      <vt:lpstr>Retirement!Print_Area</vt:lpstr>
      <vt:lpstr>Retirement!Print_Titles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Retirement Calculator</dc:title>
  <dc:creator>Vertex42.com</dc:creator>
  <dc:description>(c) 2015-2020 Vertex42 LLC. All Rights Reserved.</dc:description>
  <cp:lastModifiedBy>Vertex42.com Templates</cp:lastModifiedBy>
  <cp:lastPrinted>2016-07-20T20:58:37Z</cp:lastPrinted>
  <dcterms:created xsi:type="dcterms:W3CDTF">2005-04-02T20:59:36Z</dcterms:created>
  <dcterms:modified xsi:type="dcterms:W3CDTF">2020-10-16T15:37:27Z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2015-2020 Vertex42 LLC</vt:lpwstr>
  </property>
  <property fmtid="{D5CDD505-2E9C-101B-9397-08002B2CF9AE}" pid="3" name="Version">
    <vt:lpwstr>1.1.1</vt:lpwstr>
  </property>
  <property fmtid="{D5CDD505-2E9C-101B-9397-08002B2CF9AE}" pid="4" name="Source">
    <vt:lpwstr>https://www.vertex42.com/Calculators/retirement-calculator.html</vt:lpwstr>
  </property>
</Properties>
</file>