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dfg\OneDrive - g.ntu.edu.tw\NTU\110-1\110-1財務模型程式應用\20211109\"/>
    </mc:Choice>
  </mc:AlternateContent>
  <xr:revisionPtr revIDLastSave="156" documentId="11_6651C7F97A0053926E50865A6834A5F7EA56E83E" xr6:coauthVersionLast="36" xr6:coauthVersionMax="36" xr10:uidLastSave="{35AA7F0F-7ED7-47AF-A2DF-A4F22487BF87}"/>
  <bookViews>
    <workbookView xWindow="0" yWindow="0" windowWidth="28800" windowHeight="11265" activeTab="5" xr2:uid="{00000000-000D-0000-FFFF-FFFF00000000}"/>
  </bookViews>
  <sheets>
    <sheet name="Introduction" sheetId="1" r:id="rId1"/>
    <sheet name="Q1-Q4" sheetId="2" r:id="rId2"/>
    <sheet name="Q5" sheetId="3" r:id="rId3"/>
    <sheet name="Q6" sheetId="4" r:id="rId4"/>
    <sheet name="Q7" sheetId="5" r:id="rId5"/>
    <sheet name="Q8" sheetId="6" r:id="rId6"/>
    <sheet name="Q9" sheetId="7" r:id="rId7"/>
    <sheet name="Q10" sheetId="8" r:id="rId8"/>
  </sheets>
  <definedNames>
    <definedName name="solver_adj" localSheetId="5" hidden="1">'Q8'!$B$27:$C$27</definedName>
    <definedName name="solver_cvg" localSheetId="5" hidden="1">0.0001</definedName>
    <definedName name="solver_drv" localSheetId="5" hidden="1">1</definedName>
    <definedName name="solver_eng" localSheetId="4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1" localSheetId="5" hidden="1">'Q8'!$A$33</definedName>
    <definedName name="solver_lhs2" localSheetId="5" hidden="1">'Q8'!$G$27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4" hidden="1">1</definedName>
    <definedName name="solver_neg" localSheetId="5" hidden="1">1</definedName>
    <definedName name="solver_nod" localSheetId="5" hidden="1">2147483647</definedName>
    <definedName name="solver_num" localSheetId="4" hidden="1">0</definedName>
    <definedName name="solver_num" localSheetId="5" hidden="1">2</definedName>
    <definedName name="solver_nwt" localSheetId="5" hidden="1">1</definedName>
    <definedName name="solver_opt" localSheetId="4" hidden="1">'Q7'!$N$2</definedName>
    <definedName name="solver_opt" localSheetId="5" hidden="1">'Q8'!$D$27</definedName>
    <definedName name="solver_pre" localSheetId="5" hidden="1">0.000001</definedName>
    <definedName name="solver_rbv" localSheetId="5" hidden="1">1</definedName>
    <definedName name="solver_rel1" localSheetId="5" hidden="1">2</definedName>
    <definedName name="solver_rel2" localSheetId="5" hidden="1">2</definedName>
    <definedName name="solver_rhs1" localSheetId="5" hidden="1">'Q8'!$F$27</definedName>
    <definedName name="solver_rhs2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4" hidden="1">1</definedName>
    <definedName name="solver_typ" localSheetId="5" hidden="1">2</definedName>
    <definedName name="solver_val" localSheetId="4" hidden="1">0</definedName>
    <definedName name="solver_val" localSheetId="5" hidden="1">0</definedName>
    <definedName name="solver_ver" localSheetId="4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5" i="2" l="1"/>
  <c r="K33" i="6"/>
  <c r="K34" i="6"/>
  <c r="K35" i="6"/>
  <c r="K36" i="6"/>
  <c r="K37" i="6"/>
  <c r="K38" i="6"/>
  <c r="K39" i="6"/>
  <c r="K40" i="6"/>
  <c r="K32" i="6"/>
  <c r="I32" i="6"/>
  <c r="K28" i="6"/>
  <c r="L28" i="6" s="1"/>
  <c r="J28" i="6"/>
  <c r="K24" i="6"/>
  <c r="K19" i="6"/>
  <c r="A32" i="6" l="1"/>
  <c r="A33" i="6" s="1"/>
  <c r="A34" i="6" s="1"/>
  <c r="A31" i="6"/>
  <c r="A30" i="6"/>
  <c r="D27" i="6"/>
  <c r="E27" i="6" s="1"/>
  <c r="F27" i="6"/>
  <c r="G27" i="6"/>
  <c r="D14" i="6"/>
  <c r="D15" i="6"/>
  <c r="D13" i="6"/>
  <c r="X15" i="5" a="1"/>
  <c r="X15" i="5" s="1"/>
  <c r="AD25" i="4"/>
  <c r="AD24" i="4"/>
  <c r="AD23" i="4"/>
  <c r="G42" i="3"/>
  <c r="E42" i="3"/>
  <c r="D42" i="3"/>
  <c r="C42" i="3"/>
  <c r="F43" i="3"/>
  <c r="D43" i="3"/>
  <c r="E43" i="3"/>
  <c r="C43" i="3"/>
  <c r="B47" i="3"/>
  <c r="B46" i="3" l="1"/>
  <c r="E41" i="3"/>
  <c r="E39" i="3"/>
  <c r="B41" i="3"/>
  <c r="P10" i="7" l="1"/>
  <c r="P9" i="7"/>
  <c r="L19" i="7"/>
  <c r="L20" i="7"/>
  <c r="L16" i="7"/>
  <c r="L17" i="7"/>
  <c r="L13" i="7"/>
  <c r="L14" i="7"/>
  <c r="L18" i="7"/>
  <c r="L15" i="7"/>
  <c r="L12" i="7"/>
  <c r="L10" i="7"/>
  <c r="L11" i="7"/>
  <c r="L9" i="7"/>
  <c r="L6" i="7"/>
  <c r="L7" i="7"/>
  <c r="L5" i="7"/>
  <c r="Z15" i="5" a="1"/>
  <c r="Z15" i="5"/>
  <c r="Y15" i="5"/>
  <c r="W30" i="5"/>
  <c r="V29" i="5"/>
  <c r="U28" i="5"/>
  <c r="T27" i="5"/>
  <c r="S26" i="5"/>
  <c r="R25" i="5"/>
  <c r="Q24" i="5"/>
  <c r="P23" i="5"/>
  <c r="O22" i="5"/>
  <c r="N21" i="5"/>
  <c r="V4" i="4"/>
  <c r="W4" i="4"/>
  <c r="X4" i="4"/>
  <c r="Y4" i="4"/>
  <c r="Z4" i="4"/>
  <c r="AA4" i="4"/>
  <c r="V5" i="4"/>
  <c r="W5" i="4"/>
  <c r="X5" i="4"/>
  <c r="Y5" i="4"/>
  <c r="Z5" i="4"/>
  <c r="AA5" i="4"/>
  <c r="V6" i="4"/>
  <c r="W6" i="4"/>
  <c r="X6" i="4"/>
  <c r="Y6" i="4"/>
  <c r="Z6" i="4"/>
  <c r="AA6" i="4"/>
  <c r="V7" i="4"/>
  <c r="W7" i="4"/>
  <c r="X7" i="4"/>
  <c r="Y7" i="4"/>
  <c r="Z7" i="4"/>
  <c r="AA7" i="4"/>
  <c r="V8" i="4"/>
  <c r="W8" i="4"/>
  <c r="X8" i="4"/>
  <c r="Y8" i="4"/>
  <c r="Z8" i="4"/>
  <c r="AA8" i="4"/>
  <c r="V9" i="4"/>
  <c r="W9" i="4"/>
  <c r="X9" i="4"/>
  <c r="Y9" i="4"/>
  <c r="Z9" i="4"/>
  <c r="AA9" i="4"/>
  <c r="V10" i="4"/>
  <c r="W10" i="4"/>
  <c r="X10" i="4"/>
  <c r="Y10" i="4"/>
  <c r="Z10" i="4"/>
  <c r="AA10" i="4"/>
  <c r="V11" i="4"/>
  <c r="W11" i="4"/>
  <c r="X11" i="4"/>
  <c r="Y11" i="4"/>
  <c r="Z11" i="4"/>
  <c r="AA11" i="4"/>
  <c r="V12" i="4"/>
  <c r="W12" i="4"/>
  <c r="X12" i="4"/>
  <c r="Y12" i="4"/>
  <c r="Z12" i="4"/>
  <c r="AA12" i="4"/>
  <c r="V13" i="4"/>
  <c r="W13" i="4"/>
  <c r="X13" i="4"/>
  <c r="Y13" i="4"/>
  <c r="Z13" i="4"/>
  <c r="AA13" i="4"/>
  <c r="V14" i="4"/>
  <c r="W14" i="4"/>
  <c r="X14" i="4"/>
  <c r="Y14" i="4"/>
  <c r="Z14" i="4"/>
  <c r="AA14" i="4"/>
  <c r="V15" i="4"/>
  <c r="W15" i="4"/>
  <c r="X15" i="4"/>
  <c r="Y15" i="4"/>
  <c r="Z15" i="4"/>
  <c r="AA15" i="4"/>
  <c r="V16" i="4"/>
  <c r="W16" i="4"/>
  <c r="X16" i="4"/>
  <c r="Y16" i="4"/>
  <c r="Z16" i="4"/>
  <c r="AA16" i="4"/>
  <c r="V17" i="4"/>
  <c r="W17" i="4"/>
  <c r="X17" i="4"/>
  <c r="Y17" i="4"/>
  <c r="Z17" i="4"/>
  <c r="AA17" i="4"/>
  <c r="V18" i="4"/>
  <c r="W18" i="4"/>
  <c r="X18" i="4"/>
  <c r="Y18" i="4"/>
  <c r="Z18" i="4"/>
  <c r="AA18" i="4"/>
  <c r="V19" i="4"/>
  <c r="W19" i="4"/>
  <c r="X19" i="4"/>
  <c r="Y19" i="4"/>
  <c r="Z19" i="4"/>
  <c r="AA19" i="4"/>
  <c r="V20" i="4"/>
  <c r="W20" i="4"/>
  <c r="X20" i="4"/>
  <c r="Y20" i="4"/>
  <c r="Z20" i="4"/>
  <c r="AA20" i="4"/>
  <c r="V21" i="4"/>
  <c r="W21" i="4"/>
  <c r="X21" i="4"/>
  <c r="Y21" i="4"/>
  <c r="Z21" i="4"/>
  <c r="AA21" i="4"/>
  <c r="V22" i="4"/>
  <c r="W22" i="4"/>
  <c r="X22" i="4"/>
  <c r="Y22" i="4"/>
  <c r="Z22" i="4"/>
  <c r="AA22" i="4"/>
  <c r="V23" i="4"/>
  <c r="W23" i="4"/>
  <c r="X23" i="4"/>
  <c r="Y23" i="4"/>
  <c r="Z23" i="4"/>
  <c r="AA23" i="4"/>
  <c r="V24" i="4"/>
  <c r="W24" i="4"/>
  <c r="X24" i="4"/>
  <c r="Y24" i="4"/>
  <c r="Z24" i="4"/>
  <c r="AA24" i="4"/>
  <c r="V25" i="4"/>
  <c r="W25" i="4"/>
  <c r="X25" i="4"/>
  <c r="Y25" i="4"/>
  <c r="Z25" i="4"/>
  <c r="AA25" i="4"/>
  <c r="V26" i="4"/>
  <c r="W26" i="4"/>
  <c r="X26" i="4"/>
  <c r="Y26" i="4"/>
  <c r="Z26" i="4"/>
  <c r="AA26" i="4"/>
  <c r="V27" i="4"/>
  <c r="W27" i="4"/>
  <c r="X27" i="4"/>
  <c r="Y27" i="4"/>
  <c r="Z27" i="4"/>
  <c r="AA27" i="4"/>
  <c r="V28" i="4"/>
  <c r="W28" i="4"/>
  <c r="X28" i="4"/>
  <c r="Y28" i="4"/>
  <c r="Z28" i="4"/>
  <c r="AA28" i="4"/>
  <c r="V29" i="4"/>
  <c r="W29" i="4"/>
  <c r="X29" i="4"/>
  <c r="Y29" i="4"/>
  <c r="Z29" i="4"/>
  <c r="AA29" i="4"/>
  <c r="V30" i="4"/>
  <c r="W30" i="4"/>
  <c r="X30" i="4"/>
  <c r="Y30" i="4"/>
  <c r="Z30" i="4"/>
  <c r="AA30" i="4"/>
  <c r="V31" i="4"/>
  <c r="W31" i="4"/>
  <c r="X31" i="4"/>
  <c r="Y31" i="4"/>
  <c r="Z31" i="4"/>
  <c r="AA31" i="4"/>
  <c r="V32" i="4"/>
  <c r="W32" i="4"/>
  <c r="X32" i="4"/>
  <c r="Y32" i="4"/>
  <c r="Z32" i="4"/>
  <c r="AA32" i="4"/>
  <c r="V33" i="4"/>
  <c r="W33" i="4"/>
  <c r="X33" i="4"/>
  <c r="Y33" i="4"/>
  <c r="Z33" i="4"/>
  <c r="AA33" i="4"/>
  <c r="V34" i="4"/>
  <c r="W34" i="4"/>
  <c r="X34" i="4"/>
  <c r="Y34" i="4"/>
  <c r="Z34" i="4"/>
  <c r="AA34" i="4"/>
  <c r="V35" i="4"/>
  <c r="W35" i="4"/>
  <c r="X35" i="4"/>
  <c r="Y35" i="4"/>
  <c r="Z35" i="4"/>
  <c r="AA35" i="4"/>
  <c r="V36" i="4"/>
  <c r="W36" i="4"/>
  <c r="X36" i="4"/>
  <c r="Y36" i="4"/>
  <c r="Z36" i="4"/>
  <c r="AA36" i="4"/>
  <c r="V37" i="4"/>
  <c r="W37" i="4"/>
  <c r="X37" i="4"/>
  <c r="Y37" i="4"/>
  <c r="Z37" i="4"/>
  <c r="AA37" i="4"/>
  <c r="V38" i="4"/>
  <c r="W38" i="4"/>
  <c r="X38" i="4"/>
  <c r="Y38" i="4"/>
  <c r="Z38" i="4"/>
  <c r="AA38" i="4"/>
  <c r="V39" i="4"/>
  <c r="W39" i="4"/>
  <c r="X39" i="4"/>
  <c r="Y39" i="4"/>
  <c r="Z39" i="4"/>
  <c r="AA39" i="4"/>
  <c r="V40" i="4"/>
  <c r="W40" i="4"/>
  <c r="X40" i="4"/>
  <c r="Y40" i="4"/>
  <c r="Z40" i="4"/>
  <c r="AA40" i="4"/>
  <c r="V41" i="4"/>
  <c r="W41" i="4"/>
  <c r="X41" i="4"/>
  <c r="Y41" i="4"/>
  <c r="Z41" i="4"/>
  <c r="AA41" i="4"/>
  <c r="V42" i="4"/>
  <c r="W42" i="4"/>
  <c r="X42" i="4"/>
  <c r="Y42" i="4"/>
  <c r="Z42" i="4"/>
  <c r="AA42" i="4"/>
  <c r="V43" i="4"/>
  <c r="W43" i="4"/>
  <c r="X43" i="4"/>
  <c r="Y43" i="4"/>
  <c r="Z43" i="4"/>
  <c r="AA43" i="4"/>
  <c r="V44" i="4"/>
  <c r="W44" i="4"/>
  <c r="X44" i="4"/>
  <c r="Y44" i="4"/>
  <c r="Z44" i="4"/>
  <c r="AA44" i="4"/>
  <c r="V45" i="4"/>
  <c r="W45" i="4"/>
  <c r="X45" i="4"/>
  <c r="Y45" i="4"/>
  <c r="Z45" i="4"/>
  <c r="AA45" i="4"/>
  <c r="V46" i="4"/>
  <c r="W46" i="4"/>
  <c r="X46" i="4"/>
  <c r="Y46" i="4"/>
  <c r="Z46" i="4"/>
  <c r="AA46" i="4"/>
  <c r="V47" i="4"/>
  <c r="W47" i="4"/>
  <c r="X47" i="4"/>
  <c r="Y47" i="4"/>
  <c r="Z47" i="4"/>
  <c r="AA47" i="4"/>
  <c r="V48" i="4"/>
  <c r="W48" i="4"/>
  <c r="X48" i="4"/>
  <c r="Y48" i="4"/>
  <c r="Z48" i="4"/>
  <c r="AA48" i="4"/>
  <c r="V49" i="4"/>
  <c r="W49" i="4"/>
  <c r="X49" i="4"/>
  <c r="Y49" i="4"/>
  <c r="Z49" i="4"/>
  <c r="AA49" i="4"/>
  <c r="V50" i="4"/>
  <c r="W50" i="4"/>
  <c r="X50" i="4"/>
  <c r="Y50" i="4"/>
  <c r="Z50" i="4"/>
  <c r="AA50" i="4"/>
  <c r="AA3" i="4"/>
  <c r="W3" i="4"/>
  <c r="X3" i="4"/>
  <c r="Y3" i="4"/>
  <c r="Z3" i="4"/>
  <c r="V3" i="4"/>
  <c r="O15" i="5"/>
  <c r="P15" i="5"/>
  <c r="Q15" i="5"/>
  <c r="R15" i="5"/>
  <c r="S15" i="5"/>
  <c r="T15" i="5"/>
  <c r="U15" i="5"/>
  <c r="V15" i="5"/>
  <c r="W15" i="5"/>
  <c r="N15" i="5"/>
  <c r="O17" i="5"/>
  <c r="P17" i="5"/>
  <c r="Q17" i="5"/>
  <c r="R17" i="5"/>
  <c r="S17" i="5"/>
  <c r="T17" i="5"/>
  <c r="U17" i="5"/>
  <c r="V17" i="5"/>
  <c r="W17" i="5"/>
  <c r="N17" i="5"/>
  <c r="W16" i="5"/>
  <c r="O16" i="5"/>
  <c r="P16" i="5"/>
  <c r="Q16" i="5"/>
  <c r="R16" i="5"/>
  <c r="S16" i="5"/>
  <c r="T16" i="5"/>
  <c r="U16" i="5"/>
  <c r="V16" i="5"/>
  <c r="N16" i="5"/>
  <c r="T3" i="4" l="1"/>
  <c r="C34" i="3"/>
  <c r="D34" i="3"/>
  <c r="B34" i="3"/>
  <c r="C31" i="3"/>
  <c r="D31" i="3"/>
  <c r="B31" i="3"/>
  <c r="C30" i="3"/>
  <c r="D30" i="3"/>
  <c r="B30" i="3"/>
  <c r="C29" i="3"/>
  <c r="D29" i="3"/>
  <c r="B29" i="3"/>
  <c r="N79" i="2"/>
  <c r="L79" i="2"/>
  <c r="M79" i="2"/>
  <c r="K79" i="2"/>
  <c r="N77" i="2"/>
  <c r="L77" i="2"/>
  <c r="M77" i="2"/>
  <c r="K77" i="2"/>
  <c r="M78" i="2"/>
  <c r="K76" i="2"/>
  <c r="J78" i="2"/>
  <c r="J76" i="2"/>
  <c r="D76" i="2"/>
  <c r="Q65" i="2"/>
  <c r="R65" i="2"/>
  <c r="P65" i="2"/>
  <c r="Q61" i="2"/>
  <c r="R61" i="2"/>
  <c r="P61" i="2"/>
  <c r="J49" i="2"/>
  <c r="I49" i="2"/>
  <c r="AE128" i="2"/>
  <c r="AD128" i="2"/>
  <c r="AE127" i="2"/>
  <c r="AD127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26" i="2"/>
  <c r="S61" i="2" l="1"/>
  <c r="R28" i="2"/>
  <c r="S20" i="2"/>
  <c r="T21" i="2" s="1"/>
  <c r="R20" i="2"/>
  <c r="R17" i="2"/>
  <c r="S17" i="2" s="1"/>
  <c r="T17" i="2" s="1"/>
  <c r="S65" i="2" l="1"/>
  <c r="R32" i="2"/>
  <c r="S32" i="2"/>
  <c r="T28" i="2"/>
  <c r="T32" i="2"/>
  <c r="S28" i="2"/>
  <c r="S18" i="2"/>
  <c r="T20" i="2"/>
  <c r="U28" i="2" l="1"/>
  <c r="U32" i="2"/>
  <c r="Z37" i="2" l="1"/>
  <c r="AE25" i="2"/>
  <c r="W37" i="2"/>
  <c r="AD25" i="2"/>
</calcChain>
</file>

<file path=xl/sharedStrings.xml><?xml version="1.0" encoding="utf-8"?>
<sst xmlns="http://schemas.openxmlformats.org/spreadsheetml/2006/main" count="277" uniqueCount="238">
  <si>
    <t>An integrated case in capital budgeting</t>
    <phoneticPr fontId="3" type="noConversion"/>
  </si>
  <si>
    <t>You would like to join at least one established franchise in the restaurant area, maybe two (if profitable).You have two project to consider: (1) Nobel Family Steak House: N, and (2) A-Kuan Fire Pan: A. The 3-year period net cash flows are shown below.  From the table, you can see, project N-B's cash flow start off high, but decrease later.A-K project provide you slow start in cash flow, but a fast growth later. Your choice depends on the capital budgeting criteria you have learned in your finance class.</t>
    <phoneticPr fontId="3" type="noConversion"/>
  </si>
  <si>
    <t>period</t>
    <phoneticPr fontId="5" type="noConversion"/>
  </si>
  <si>
    <t>Cash flow</t>
    <phoneticPr fontId="5" type="noConversion"/>
  </si>
  <si>
    <t>project N-B</t>
  </si>
  <si>
    <t>project A-K</t>
  </si>
  <si>
    <t>The above table shows the net cash flow.  Depreciation, working capital increment, tax, and  slave value are all included.</t>
  </si>
  <si>
    <t>Your required rate of return depends on the cost of funding, which is a random variable that follows a normal distribution with mean=7%, standard deviation=5%.</t>
    <phoneticPr fontId="5" type="noConversion"/>
  </si>
  <si>
    <t>You know the easiest way to evaluate a project is to use payback period approach.</t>
  </si>
  <si>
    <t>How soon can you recover the initial investment for each prject?</t>
    <phoneticPr fontId="3" type="noConversion"/>
  </si>
  <si>
    <t>If you wish to recover initial investment in two years, which project can you accept?</t>
  </si>
  <si>
    <t>If these projects are mutually exclusive project and based on the payback period criterion, which project may you select?</t>
  </si>
  <si>
    <t>You learned from the finance class that NPV is the best approach to evaluate a project.</t>
    <phoneticPr fontId="3" type="noConversion"/>
  </si>
  <si>
    <t>Assuming your required rate of return is mean=7%, please calculate NPV for each project.</t>
  </si>
  <si>
    <t>Based on your calculation, which project can you accept?</t>
    <phoneticPr fontId="3" type="noConversion"/>
  </si>
  <si>
    <t>If these projects are mutually exclusive project and based on the NPV, which project may you select?</t>
  </si>
  <si>
    <t>Do you have the same conclusions using NPV and payback period?</t>
    <phoneticPr fontId="3" type="noConversion"/>
  </si>
  <si>
    <t>You like to know how the discount rate may affect your decision.</t>
    <phoneticPr fontId="3" type="noConversion"/>
  </si>
  <si>
    <t>You conduct several analyses for this issue.</t>
    <phoneticPr fontId="3" type="noConversion"/>
  </si>
  <si>
    <t>You first make a table to see how interest rate change may affect NPV.</t>
    <phoneticPr fontId="3" type="noConversion"/>
  </si>
  <si>
    <t>You also like to draw NPV profiles for these two projects.</t>
    <phoneticPr fontId="3" type="noConversion"/>
  </si>
  <si>
    <t>You can also use scroll to adjust the discount rate based on: 0%~12% @ 0.5%</t>
    <phoneticPr fontId="3" type="noConversion"/>
  </si>
  <si>
    <t>When you adjust the scroll, you can see how NPV of each project changes, and make your comments on that.</t>
    <phoneticPr fontId="3" type="noConversion"/>
  </si>
  <si>
    <t>Based on the case description, we know that discount rate follows N(7%,5%)</t>
  </si>
  <si>
    <t>(If interest rate follows normal distribution, it says that interest rate could be negative.  So, other distribution assumption, like lognormal, is a better assumption.)</t>
    <phoneticPr fontId="3" type="noConversion"/>
  </si>
  <si>
    <t>Please generate 100 discount rate following the assumed normal distribution.</t>
    <phoneticPr fontId="3" type="noConversion"/>
  </si>
  <si>
    <t>(Here, let's just assume it follows a normal distribution.)</t>
    <phoneticPr fontId="3" type="noConversion"/>
  </si>
  <si>
    <t>Then, calculate NPVs for each project on each interest rate.</t>
    <phoneticPr fontId="3" type="noConversion"/>
  </si>
  <si>
    <t>Now you have 100 NPVs for project N-B, and 100 NPVs for project A-K.</t>
  </si>
  <si>
    <t>Calculate the mean and standard deviation of NPVs for each project.</t>
    <phoneticPr fontId="3" type="noConversion"/>
  </si>
  <si>
    <t>Give you comments on which project is more risky.</t>
  </si>
  <si>
    <t xml:space="preserve">IRR is another competitive criterion. </t>
    <phoneticPr fontId="3" type="noConversion"/>
  </si>
  <si>
    <t>Use IRR function to calculate IRR for each project.</t>
    <phoneticPr fontId="3" type="noConversion"/>
  </si>
  <si>
    <t>Based on the NPV profiles, can you indicate where the IRR is for each project?</t>
    <phoneticPr fontId="3" type="noConversion"/>
  </si>
  <si>
    <t>We can also use goal seek to find out IRRs.  Please illustrate how you can do this.</t>
    <phoneticPr fontId="3" type="noConversion"/>
  </si>
  <si>
    <t>IRR has several drawbacks.</t>
    <phoneticPr fontId="3" type="noConversion"/>
  </si>
  <si>
    <t>One of them is that it may have contradiction with NPV when we have mutually exclusive projects.</t>
    <phoneticPr fontId="3" type="noConversion"/>
  </si>
  <si>
    <t>Please draw a combined NPV profile for project N-B and project A-K.</t>
  </si>
  <si>
    <t>It means that you put two lines of NPV profile in the same graph.</t>
    <phoneticPr fontId="3" type="noConversion"/>
  </si>
  <si>
    <t>Then illustrate how the contradiction may happen.</t>
  </si>
  <si>
    <t>In your illustration, you might mention the "cross rate".</t>
    <phoneticPr fontId="3" type="noConversion"/>
  </si>
  <si>
    <t>The cross rate is the discount rate where two project's NPV lines are crossed.</t>
    <phoneticPr fontId="3" type="noConversion"/>
  </si>
  <si>
    <t>Please find out the cross rate for these two projects.</t>
  </si>
  <si>
    <t>The world is full of uncertainty.</t>
    <phoneticPr fontId="3" type="noConversion"/>
  </si>
  <si>
    <t>Not only the interest rate is a random variable, but also the initial cost, and cash flow can be changed.</t>
    <phoneticPr fontId="3" type="noConversion"/>
  </si>
  <si>
    <t>Assuming</t>
    <phoneticPr fontId="3" type="noConversion"/>
  </si>
  <si>
    <t>discount rate</t>
    <phoneticPr fontId="3" type="noConversion"/>
  </si>
  <si>
    <t>0%~12% @ 0.5%</t>
    <phoneticPr fontId="3" type="noConversion"/>
  </si>
  <si>
    <t>initial cost</t>
    <phoneticPr fontId="3" type="noConversion"/>
  </si>
  <si>
    <t>1500~2500 @ 100</t>
    <phoneticPr fontId="3" type="noConversion"/>
  </si>
  <si>
    <t>1st year cash flow for project N-B</t>
  </si>
  <si>
    <t>1000~1800 @ 50</t>
    <phoneticPr fontId="3" type="noConversion"/>
  </si>
  <si>
    <t>3rd year cash flow for project A-K</t>
  </si>
  <si>
    <t>1200~2200 @ 100</t>
    <phoneticPr fontId="3" type="noConversion"/>
  </si>
  <si>
    <t>Calculate NPV for each project.</t>
    <phoneticPr fontId="3" type="noConversion"/>
  </si>
  <si>
    <t>Try to adjust these scrolls and answer the following question.</t>
    <phoneticPr fontId="3" type="noConversion"/>
  </si>
  <si>
    <t>Given what condition, project N-B is better than project A-K.</t>
  </si>
  <si>
    <t>To answer the above questions, you may set up problems separately.</t>
    <phoneticPr fontId="3" type="noConversion"/>
  </si>
  <si>
    <t>Q1</t>
    <phoneticPr fontId="3" type="noConversion"/>
  </si>
  <si>
    <t>Q2</t>
    <phoneticPr fontId="3" type="noConversion"/>
  </si>
  <si>
    <t>Q3</t>
    <phoneticPr fontId="3" type="noConversion"/>
  </si>
  <si>
    <t>Q4</t>
    <phoneticPr fontId="3" type="noConversion"/>
  </si>
  <si>
    <t>Q1~Q4</t>
    <phoneticPr fontId="3" type="noConversion"/>
  </si>
  <si>
    <t>There are 10 questions in this test.</t>
    <phoneticPr fontId="3" type="noConversion"/>
  </si>
  <si>
    <t>It is a closed book test.</t>
    <phoneticPr fontId="3" type="noConversion"/>
  </si>
  <si>
    <t>Be honest.</t>
    <phoneticPr fontId="3" type="noConversion"/>
  </si>
  <si>
    <t>Use your name to save the file.</t>
    <phoneticPr fontId="3" type="noConversion"/>
  </si>
  <si>
    <t>Save file from time to time.</t>
    <phoneticPr fontId="3" type="noConversion"/>
  </si>
  <si>
    <t>Write down your comments.</t>
    <phoneticPr fontId="3" type="noConversion"/>
  </si>
  <si>
    <t>Be sure to upload your file to CEIBA before 17:00.  It is better do that before 16:55.</t>
    <phoneticPr fontId="3" type="noConversion"/>
  </si>
  <si>
    <t>a. construct the Pro Forma Income Statement</t>
    <phoneticPr fontId="3" type="noConversion"/>
  </si>
  <si>
    <t>Pro Forma Income Statements</t>
  </si>
  <si>
    <t>Sales</t>
  </si>
  <si>
    <t>Var. costs</t>
  </si>
  <si>
    <t>Fixed costs</t>
  </si>
  <si>
    <t>Depreciation</t>
  </si>
  <si>
    <t>EBIT</t>
  </si>
  <si>
    <t>Taxes (34%)</t>
  </si>
  <si>
    <t>Net income</t>
  </si>
  <si>
    <t>year 2</t>
    <phoneticPr fontId="3" type="noConversion"/>
  </si>
  <si>
    <t>year 1</t>
    <phoneticPr fontId="3" type="noConversion"/>
  </si>
  <si>
    <t>year 3</t>
    <phoneticPr fontId="3" type="noConversion"/>
  </si>
  <si>
    <t>b. OCF</t>
    <phoneticPr fontId="3" type="noConversion"/>
  </si>
  <si>
    <t>OCF= EBIT + Depreciation – Taxes</t>
  </si>
  <si>
    <t>c. cash flow table</t>
    <phoneticPr fontId="3" type="noConversion"/>
  </si>
  <si>
    <t>period</t>
    <phoneticPr fontId="3" type="noConversion"/>
  </si>
  <si>
    <t>OCF</t>
    <phoneticPr fontId="3" type="noConversion"/>
  </si>
  <si>
    <t>Net working capital</t>
    <phoneticPr fontId="3" type="noConversion"/>
  </si>
  <si>
    <t>capital expenditure</t>
    <phoneticPr fontId="3" type="noConversion"/>
  </si>
  <si>
    <t>cash flow</t>
    <phoneticPr fontId="3" type="noConversion"/>
  </si>
  <si>
    <t>d. Calculate the project’s Payback, NPV, and IRR</t>
  </si>
  <si>
    <t>Q5</t>
    <phoneticPr fontId="3" type="noConversion"/>
  </si>
  <si>
    <t>Pro Forma Statement and project evaluation(again)</t>
    <phoneticPr fontId="3" type="noConversion"/>
  </si>
  <si>
    <t xml:space="preserve">台泥         </t>
  </si>
  <si>
    <t xml:space="preserve">中和         </t>
  </si>
  <si>
    <t xml:space="preserve">櫻花建       </t>
  </si>
  <si>
    <t xml:space="preserve">大立光       </t>
  </si>
  <si>
    <t xml:space="preserve">潤泰材       </t>
  </si>
  <si>
    <t>rm</t>
    <phoneticPr fontId="3" type="noConversion"/>
  </si>
  <si>
    <t>market return</t>
    <phoneticPr fontId="3" type="noConversion"/>
  </si>
  <si>
    <r>
      <t>E(Ri)=Rf+</t>
    </r>
    <r>
      <rPr>
        <sz val="12"/>
        <rFont val="Symbol"/>
        <family val="1"/>
        <charset val="2"/>
      </rPr>
      <t>b</t>
    </r>
    <r>
      <rPr>
        <sz val="12"/>
        <color theme="1"/>
        <rFont val="新細明體"/>
        <family val="2"/>
        <charset val="136"/>
        <scheme val="minor"/>
      </rPr>
      <t>(E(Rm-Rf)</t>
    </r>
    <phoneticPr fontId="11" type="noConversion"/>
  </si>
  <si>
    <r>
      <t>E(Ri)=0.003+</t>
    </r>
    <r>
      <rPr>
        <sz val="12"/>
        <rFont val="Symbol"/>
        <family val="1"/>
        <charset val="2"/>
      </rPr>
      <t>b</t>
    </r>
    <r>
      <rPr>
        <sz val="12"/>
        <color theme="1"/>
        <rFont val="新細明體"/>
        <family val="2"/>
        <charset val="136"/>
        <scheme val="minor"/>
      </rPr>
      <t>(0.004-0.003)</t>
    </r>
    <phoneticPr fontId="11" type="noConversion"/>
  </si>
  <si>
    <t>Q6</t>
    <phoneticPr fontId="3" type="noConversion"/>
  </si>
  <si>
    <t>By applying CAPM, you like to know which stock to buy and which stock to sell.</t>
    <phoneticPr fontId="3" type="noConversion"/>
  </si>
  <si>
    <t>So, you first need to estimate beta for each stock.</t>
    <phoneticPr fontId="3" type="noConversion"/>
  </si>
  <si>
    <t>You run the following regression to estimate beta.</t>
    <phoneticPr fontId="3" type="noConversion"/>
  </si>
  <si>
    <r>
      <t>r</t>
    </r>
    <r>
      <rPr>
        <vertAlign val="subscript"/>
        <sz val="12"/>
        <color theme="1"/>
        <rFont val="新細明體"/>
        <family val="1"/>
        <charset val="136"/>
        <scheme val="minor"/>
      </rPr>
      <t>i</t>
    </r>
    <r>
      <rPr>
        <sz val="12"/>
        <color theme="1"/>
        <rFont val="新細明體"/>
        <family val="2"/>
        <charset val="136"/>
        <scheme val="minor"/>
      </rPr>
      <t>=a+br</t>
    </r>
    <r>
      <rPr>
        <vertAlign val="subscript"/>
        <sz val="12"/>
        <color theme="1"/>
        <rFont val="新細明體"/>
        <family val="1"/>
        <charset val="136"/>
        <scheme val="minor"/>
      </rPr>
      <t>m</t>
    </r>
    <r>
      <rPr>
        <sz val="12"/>
        <color theme="1"/>
        <rFont val="新細明體"/>
        <family val="2"/>
        <charset val="136"/>
        <scheme val="minor"/>
      </rPr>
      <t>+e</t>
    </r>
    <r>
      <rPr>
        <vertAlign val="subscript"/>
        <sz val="12"/>
        <color theme="1"/>
        <rFont val="新細明體"/>
        <family val="1"/>
        <charset val="136"/>
        <scheme val="minor"/>
      </rPr>
      <t>i</t>
    </r>
    <phoneticPr fontId="3" type="noConversion"/>
  </si>
  <si>
    <t>You calculate average return for each stock.</t>
    <phoneticPr fontId="3" type="noConversion"/>
  </si>
  <si>
    <t>You comare average return with E(ri) estimated from CAPM to make investment decision.</t>
    <phoneticPr fontId="3" type="noConversion"/>
  </si>
  <si>
    <t>Month</t>
    <phoneticPr fontId="3" type="noConversion"/>
  </si>
  <si>
    <t>market capitalization</t>
    <phoneticPr fontId="3" type="noConversion"/>
  </si>
  <si>
    <t>Q7</t>
    <phoneticPr fontId="3" type="noConversion"/>
  </si>
  <si>
    <t>I have a portfolio containging 10 stocks.</t>
    <phoneticPr fontId="3" type="noConversion"/>
  </si>
  <si>
    <t>a. Please calculate average returns and standard deviation of returns for each stock.</t>
    <phoneticPr fontId="3" type="noConversion"/>
  </si>
  <si>
    <t>b. I use the market capitalization of each stock as weight to form a portfolio.</t>
    <phoneticPr fontId="3" type="noConversion"/>
  </si>
  <si>
    <t xml:space="preserve">Please calculate the weighted average returns and standard deviation of my portfolio return. </t>
    <phoneticPr fontId="3" type="noConversion"/>
  </si>
  <si>
    <t>c. Which stock should invest more to improve my portfolio performance. (This is quite an open question.)</t>
    <phoneticPr fontId="3" type="noConversion"/>
  </si>
  <si>
    <t>returns (%)</t>
    <phoneticPr fontId="3" type="noConversion"/>
  </si>
  <si>
    <t>(in million)</t>
    <phoneticPr fontId="3" type="noConversion"/>
  </si>
  <si>
    <t>E(Rp)</t>
  </si>
  <si>
    <r>
      <t>S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</si>
  <si>
    <t>T-Bill rate</t>
  </si>
  <si>
    <t>Proportion in P</t>
  </si>
  <si>
    <t>Proportion in T-Bills</t>
  </si>
  <si>
    <t>Compostion of P</t>
  </si>
  <si>
    <t>stock A</t>
  </si>
  <si>
    <t>stock B</t>
  </si>
  <si>
    <t>Stock C</t>
  </si>
  <si>
    <t>Total</t>
  </si>
  <si>
    <t>b. Please draw the capital allocation line (CAL)</t>
  </si>
  <si>
    <t>d. if Bo's utility function is</t>
  </si>
  <si>
    <r>
      <t>U = E(r) - 3/2(s</t>
    </r>
    <r>
      <rPr>
        <vertAlign val="super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)</t>
    </r>
  </si>
  <si>
    <t>Q8</t>
    <phoneticPr fontId="3" type="noConversion"/>
  </si>
  <si>
    <t>Your client, Brian Smiths, holds a complete portfolio that consists of a portfolio of risky assets (P) and T-Bills. The information below refers to these assets.</t>
    <phoneticPr fontId="3" type="noConversion"/>
  </si>
  <si>
    <t>a. What is the expected return and standard deviation on Brian's complete portfolio? </t>
    <phoneticPr fontId="3" type="noConversion"/>
  </si>
  <si>
    <t>c. Please indicate Brian's portfolio on CAL.</t>
    <phoneticPr fontId="3" type="noConversion"/>
  </si>
  <si>
    <t>, is Brian's choice fitting his preference?</t>
    <phoneticPr fontId="3" type="noConversion"/>
  </si>
  <si>
    <t>Time value of money</t>
    <phoneticPr fontId="3" type="noConversion"/>
  </si>
  <si>
    <t>State of Economy</t>
  </si>
  <si>
    <t>Probability</t>
  </si>
  <si>
    <t>GE</t>
    <phoneticPr fontId="3" type="noConversion"/>
  </si>
  <si>
    <t>HP</t>
    <phoneticPr fontId="3" type="noConversion"/>
  </si>
  <si>
    <t>Pfizer</t>
    <phoneticPr fontId="3" type="noConversion"/>
  </si>
  <si>
    <t>Apple</t>
    <phoneticPr fontId="3" type="noConversion"/>
  </si>
  <si>
    <t>Ford</t>
    <phoneticPr fontId="3" type="noConversion"/>
  </si>
  <si>
    <t>Recession</t>
  </si>
  <si>
    <t>Below Average</t>
  </si>
  <si>
    <t>Average</t>
  </si>
  <si>
    <t>Above Average</t>
  </si>
  <si>
    <t>Boom</t>
  </si>
  <si>
    <t>Q10</t>
    <phoneticPr fontId="3" type="noConversion"/>
  </si>
  <si>
    <t>Q9</t>
    <phoneticPr fontId="3" type="noConversion"/>
  </si>
  <si>
    <t xml:space="preserve"> </t>
    <phoneticPr fontId="3" type="noConversion"/>
  </si>
  <si>
    <t>Q1-Payback Period</t>
    <phoneticPr fontId="3" type="noConversion"/>
  </si>
  <si>
    <t>NB</t>
    <phoneticPr fontId="3" type="noConversion"/>
  </si>
  <si>
    <t xml:space="preserve">rate </t>
    <phoneticPr fontId="3" type="noConversion"/>
  </si>
  <si>
    <r>
      <t>NB</t>
    </r>
    <r>
      <rPr>
        <sz val="12"/>
        <color rgb="FFFF0000"/>
        <rFont val="新細明體"/>
        <family val="1"/>
        <charset val="136"/>
      </rPr>
      <t>，因為從Payback Period的角度來看他回本較快</t>
    </r>
    <phoneticPr fontId="3" type="noConversion"/>
  </si>
  <si>
    <t>AK</t>
    <phoneticPr fontId="3" type="noConversion"/>
  </si>
  <si>
    <t>沒有</t>
    <phoneticPr fontId="3" type="noConversion"/>
  </si>
  <si>
    <t>rate</t>
    <phoneticPr fontId="3" type="noConversion"/>
  </si>
  <si>
    <t>NPV</t>
    <phoneticPr fontId="3" type="noConversion"/>
  </si>
  <si>
    <r>
      <t>rate</t>
    </r>
    <r>
      <rPr>
        <sz val="12"/>
        <color rgb="FFFF0000"/>
        <rFont val="新細明體"/>
        <family val="1"/>
        <charset val="136"/>
      </rPr>
      <t>越高</t>
    </r>
    <r>
      <rPr>
        <sz val="12"/>
        <color rgb="FFFF0000"/>
        <rFont val="Times New Roman"/>
        <family val="1"/>
      </rPr>
      <t>NB</t>
    </r>
    <r>
      <rPr>
        <sz val="12"/>
        <color rgb="FFFF0000"/>
        <rFont val="微軟正黑體"/>
        <family val="1"/>
        <charset val="136"/>
      </rPr>
      <t>跟</t>
    </r>
    <r>
      <rPr>
        <sz val="12"/>
        <color rgb="FFFF0000"/>
        <rFont val="Times New Roman"/>
        <family val="1"/>
      </rPr>
      <t>AK</t>
    </r>
    <r>
      <rPr>
        <sz val="12"/>
        <color rgb="FFFF0000"/>
        <rFont val="微軟正黑體"/>
        <family val="1"/>
        <charset val="136"/>
      </rPr>
      <t>的差距就沒那麼大了</t>
    </r>
    <phoneticPr fontId="3" type="noConversion"/>
  </si>
  <si>
    <t>No</t>
    <phoneticPr fontId="3" type="noConversion"/>
  </si>
  <si>
    <t>NPV_NB</t>
    <phoneticPr fontId="3" type="noConversion"/>
  </si>
  <si>
    <t>NPV_AK</t>
    <phoneticPr fontId="3" type="noConversion"/>
  </si>
  <si>
    <t>mean</t>
    <phoneticPr fontId="3" type="noConversion"/>
  </si>
  <si>
    <t>std</t>
    <phoneticPr fontId="3" type="noConversion"/>
  </si>
  <si>
    <r>
      <t xml:space="preserve">AK </t>
    </r>
    <r>
      <rPr>
        <sz val="12"/>
        <color rgb="FFFF0000"/>
        <rFont val="新細明體"/>
        <family val="1"/>
        <charset val="136"/>
      </rPr>
      <t>的</t>
    </r>
    <r>
      <rPr>
        <sz val="12"/>
        <color rgb="FFFF0000"/>
        <rFont val="Times New Roman"/>
        <family val="1"/>
      </rPr>
      <t>std</t>
    </r>
    <r>
      <rPr>
        <sz val="12"/>
        <color rgb="FFFF0000"/>
        <rFont val="新細明體"/>
        <family val="1"/>
        <charset val="136"/>
      </rPr>
      <t>比較大</t>
    </r>
    <phoneticPr fontId="3" type="noConversion"/>
  </si>
  <si>
    <t>N(7%,5%)</t>
    <phoneticPr fontId="3" type="noConversion"/>
  </si>
  <si>
    <t>無法，因為互斥</t>
    <phoneticPr fontId="3" type="noConversion"/>
  </si>
  <si>
    <r>
      <rPr>
        <sz val="12"/>
        <color rgb="FFFF0000"/>
        <rFont val="新細明體"/>
        <family val="1"/>
        <charset val="136"/>
      </rPr>
      <t>使</t>
    </r>
    <r>
      <rPr>
        <sz val="12"/>
        <color rgb="FFFF0000"/>
        <rFont val="Times New Roman"/>
        <family val="1"/>
      </rPr>
      <t>NPV=0</t>
    </r>
    <phoneticPr fontId="3" type="noConversion"/>
  </si>
  <si>
    <t>average return</t>
    <phoneticPr fontId="3" type="noConversion"/>
  </si>
  <si>
    <t>rf</t>
    <phoneticPr fontId="3" type="noConversion"/>
  </si>
  <si>
    <t>ri-rf</t>
    <phoneticPr fontId="3" type="noConversion"/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</si>
  <si>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</si>
  <si>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</si>
  <si>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</si>
  <si>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</si>
  <si>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</si>
  <si>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</si>
  <si>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</si>
  <si>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</si>
  <si>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</si>
  <si>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</si>
  <si>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</si>
  <si>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</si>
  <si>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</si>
  <si>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</si>
  <si>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</si>
  <si>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</si>
  <si>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</si>
  <si>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</si>
  <si>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</si>
  <si>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</si>
  <si>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</si>
  <si>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</si>
  <si>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</si>
  <si>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</si>
  <si>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我算一個而已 其他懶惰ㄌ</t>
    <phoneticPr fontId="3" type="noConversion"/>
  </si>
  <si>
    <t>(台泥)</t>
    <phoneticPr fontId="3" type="noConversion"/>
  </si>
  <si>
    <t>ri-rf(Y)</t>
    <phoneticPr fontId="3" type="noConversion"/>
  </si>
  <si>
    <t>rm-rf(X)</t>
    <phoneticPr fontId="3" type="noConversion"/>
  </si>
  <si>
    <t>beta</t>
    <phoneticPr fontId="3" type="noConversion"/>
  </si>
  <si>
    <t>Var</t>
    <phoneticPr fontId="3" type="noConversion"/>
  </si>
  <si>
    <t>E(r)</t>
    <phoneticPr fontId="3" type="noConversion"/>
  </si>
  <si>
    <t>weight</t>
    <phoneticPr fontId="3" type="noConversion"/>
  </si>
  <si>
    <t>a.</t>
    <phoneticPr fontId="3" type="noConversion"/>
  </si>
  <si>
    <t>principal</t>
    <phoneticPr fontId="3" type="noConversion"/>
  </si>
  <si>
    <t>b.</t>
    <phoneticPr fontId="3" type="noConversion"/>
  </si>
  <si>
    <t>quarterly</t>
    <phoneticPr fontId="3" type="noConversion"/>
  </si>
  <si>
    <t>monthly</t>
    <phoneticPr fontId="3" type="noConversion"/>
  </si>
  <si>
    <t>weekly</t>
    <phoneticPr fontId="3" type="noConversion"/>
  </si>
  <si>
    <t>daily</t>
    <phoneticPr fontId="3" type="noConversion"/>
  </si>
  <si>
    <t>d.</t>
    <phoneticPr fontId="3" type="noConversion"/>
  </si>
  <si>
    <t>first</t>
    <phoneticPr fontId="3" type="noConversion"/>
  </si>
  <si>
    <t>second</t>
    <phoneticPr fontId="3" type="noConversion"/>
  </si>
  <si>
    <t>Standard deviation of P</t>
    <phoneticPr fontId="3" type="noConversion"/>
  </si>
  <si>
    <t>IRR</t>
    <phoneticPr fontId="3" type="noConversion"/>
  </si>
  <si>
    <t>NPV</t>
    <phoneticPr fontId="3" type="noConversion"/>
  </si>
  <si>
    <t xml:space="preserve">average return </t>
    <phoneticPr fontId="3" type="noConversion"/>
  </si>
  <si>
    <t>ri-rf=a+b(rm-rf)</t>
    <phoneticPr fontId="3" type="noConversion"/>
  </si>
  <si>
    <t>alpha</t>
    <phoneticPr fontId="3" type="noConversion"/>
  </si>
  <si>
    <t>CAPM</t>
    <phoneticPr fontId="3" type="noConversion"/>
  </si>
  <si>
    <t>E(rp)</t>
  </si>
  <si>
    <t>W_tbill</t>
    <phoneticPr fontId="3" type="noConversion"/>
  </si>
  <si>
    <t>Var(p)</t>
  </si>
  <si>
    <t>stdev</t>
  </si>
  <si>
    <t>sum</t>
    <phoneticPr fontId="3" type="noConversion"/>
  </si>
  <si>
    <t>Wp</t>
    <phoneticPr fontId="3" type="noConversion"/>
  </si>
  <si>
    <t>U=y-3/2x^2</t>
    <phoneticPr fontId="3" type="noConversion"/>
  </si>
  <si>
    <t>m</t>
    <phoneticPr fontId="3" type="noConversion"/>
  </si>
  <si>
    <t>y=1.167x+0.036</t>
    <phoneticPr fontId="3" type="noConversion"/>
  </si>
  <si>
    <t>代入y</t>
    <phoneticPr fontId="3" type="noConversion"/>
  </si>
  <si>
    <t>x=-b/(2a)</t>
    <phoneticPr fontId="3" type="noConversion"/>
  </si>
  <si>
    <t>極值x</t>
    <phoneticPr fontId="3" type="noConversion"/>
  </si>
  <si>
    <t>x</t>
    <phoneticPr fontId="3" type="noConversion"/>
  </si>
  <si>
    <t>y</t>
    <phoneticPr fontId="3" type="noConversion"/>
  </si>
  <si>
    <t>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</si>
</sst>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176" formatCode="#,##0.00_ "/>
    <numFmt numFmtId="177" formatCode="0.0%"/>
    <numFmt numFmtId="178" formatCode="0.0000%"/>
  </numFmts>
  <fonts count="2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10"/>
      <name val="Arial"/>
      <family val="2"/>
    </font>
    <font>
      <b/>
      <sz val="16"/>
      <color rgb="FFFF000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Calibri"/>
      <family val="2"/>
    </font>
    <font>
      <b/>
      <sz val="12"/>
      <color rgb="FFFF0000"/>
      <name val="Calibri"/>
      <family val="2"/>
    </font>
    <font>
      <sz val="12"/>
      <name val="Symbol"/>
      <family val="1"/>
      <charset val="2"/>
    </font>
    <font>
      <sz val="9"/>
      <name val="新細明體"/>
      <family val="1"/>
      <charset val="136"/>
    </font>
    <font>
      <vertAlign val="subscript"/>
      <sz val="12"/>
      <color theme="1"/>
      <name val="新細明體"/>
      <family val="1"/>
      <charset val="136"/>
      <scheme val="minor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vertAlign val="superscript"/>
      <sz val="12"/>
      <color theme="1"/>
      <name val="新細明體"/>
      <family val="1"/>
      <charset val="136"/>
      <scheme val="minor"/>
    </font>
    <font>
      <b/>
      <sz val="10"/>
      <name val="Times New Roman"/>
      <family val="1"/>
    </font>
    <font>
      <b/>
      <sz val="12"/>
      <color rgb="FF0070C0"/>
      <name val="Calibri"/>
      <family val="2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1"/>
      <charset val="136"/>
    </font>
    <font>
      <sz val="12"/>
      <color rgb="FFFF0000"/>
      <name val="微軟正黑體"/>
      <family val="1"/>
      <charset val="136"/>
    </font>
    <font>
      <sz val="12"/>
      <color rgb="FFFF0000"/>
      <name val="Times New Roman"/>
      <family val="1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9" fontId="18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37" fontId="4" fillId="0" borderId="0" xfId="0" applyNumberFormat="1" applyFont="1" applyAlignment="1"/>
    <xf numFmtId="37" fontId="4" fillId="0" borderId="0" xfId="0" applyNumberFormat="1" applyFont="1" applyAlignment="1">
      <alignment vertical="center" wrapText="1"/>
    </xf>
    <xf numFmtId="9" fontId="2" fillId="0" borderId="0" xfId="0" applyNumberFormat="1" applyFont="1">
      <alignment vertical="center"/>
    </xf>
    <xf numFmtId="37" fontId="4" fillId="0" borderId="1" xfId="0" applyNumberFormat="1" applyFont="1" applyBorder="1" applyAlignment="1"/>
    <xf numFmtId="37" fontId="4" fillId="0" borderId="1" xfId="0" applyNumberFormat="1" applyFont="1" applyBorder="1" applyAlignment="1">
      <alignment vertical="center" wrapText="1"/>
    </xf>
    <xf numFmtId="176" fontId="2" fillId="0" borderId="0" xfId="0" applyNumberFormat="1" applyFont="1">
      <alignment vertical="center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37" fontId="4" fillId="0" borderId="0" xfId="0" applyNumberFormat="1" applyFont="1" applyFill="1" applyBorder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1" fillId="3" borderId="4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0" fontId="13" fillId="0" borderId="0" xfId="0" applyFon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6" fillId="4" borderId="5" xfId="1" applyFont="1" applyFill="1" applyBorder="1" applyAlignment="1">
      <alignment horizontal="center" wrapText="1"/>
    </xf>
    <xf numFmtId="0" fontId="16" fillId="4" borderId="6" xfId="1" applyFont="1" applyFill="1" applyBorder="1" applyAlignment="1">
      <alignment horizontal="center"/>
    </xf>
    <xf numFmtId="0" fontId="16" fillId="4" borderId="6" xfId="1" applyFont="1" applyFill="1" applyBorder="1" applyAlignment="1">
      <alignment wrapText="1"/>
    </xf>
    <xf numFmtId="0" fontId="16" fillId="4" borderId="7" xfId="1" applyFont="1" applyFill="1" applyBorder="1"/>
    <xf numFmtId="0" fontId="16" fillId="4" borderId="0" xfId="1" applyFont="1" applyFill="1" applyBorder="1" applyAlignment="1">
      <alignment horizontal="center"/>
    </xf>
    <xf numFmtId="10" fontId="16" fillId="4" borderId="0" xfId="1" applyNumberFormat="1" applyFont="1" applyFill="1" applyBorder="1" applyAlignment="1">
      <alignment horizontal="center"/>
    </xf>
    <xf numFmtId="0" fontId="16" fillId="4" borderId="8" xfId="1" applyFont="1" applyFill="1" applyBorder="1"/>
    <xf numFmtId="0" fontId="16" fillId="4" borderId="9" xfId="1" applyFont="1" applyFill="1" applyBorder="1" applyAlignment="1">
      <alignment horizontal="center"/>
    </xf>
    <xf numFmtId="10" fontId="16" fillId="4" borderId="9" xfId="1" applyNumberFormat="1" applyFont="1" applyFill="1" applyBorder="1" applyAlignment="1">
      <alignment horizontal="center"/>
    </xf>
    <xf numFmtId="0" fontId="17" fillId="2" borderId="0" xfId="0" applyFont="1" applyFill="1">
      <alignment vertical="center"/>
    </xf>
    <xf numFmtId="0" fontId="7" fillId="0" borderId="0" xfId="0" applyFont="1">
      <alignment vertical="center"/>
    </xf>
    <xf numFmtId="0" fontId="19" fillId="0" borderId="0" xfId="0" applyFont="1">
      <alignment vertical="center"/>
    </xf>
    <xf numFmtId="177" fontId="2" fillId="0" borderId="0" xfId="0" applyNumberFormat="1" applyFont="1">
      <alignment vertical="center"/>
    </xf>
    <xf numFmtId="0" fontId="21" fillId="0" borderId="0" xfId="0" applyFont="1">
      <alignment vertical="center"/>
    </xf>
    <xf numFmtId="10" fontId="7" fillId="0" borderId="0" xfId="0" applyNumberFormat="1" applyFont="1">
      <alignment vertical="center"/>
    </xf>
    <xf numFmtId="177" fontId="2" fillId="0" borderId="0" xfId="2" applyNumberFormat="1" applyFont="1">
      <alignment vertical="center"/>
    </xf>
    <xf numFmtId="0" fontId="0" fillId="0" borderId="0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Continuous"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8" fontId="0" fillId="0" borderId="0" xfId="0" applyNumberFormat="1">
      <alignment vertical="center"/>
    </xf>
    <xf numFmtId="8" fontId="22" fillId="0" borderId="0" xfId="0" applyNumberFormat="1" applyFont="1">
      <alignment vertical="center"/>
    </xf>
    <xf numFmtId="37" fontId="4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8" fontId="2" fillId="0" borderId="0" xfId="0" applyNumberFormat="1" applyFont="1">
      <alignment vertical="center"/>
    </xf>
    <xf numFmtId="178" fontId="0" fillId="0" borderId="0" xfId="0" applyNumberFormat="1">
      <alignment vertical="center"/>
    </xf>
    <xf numFmtId="177" fontId="0" fillId="0" borderId="0" xfId="2" applyNumberFormat="1" applyFont="1">
      <alignment vertical="center"/>
    </xf>
  </cellXfs>
  <cellStyles count="3">
    <cellStyle name="Normal" xfId="0" builtinId="0"/>
    <cellStyle name="Percent" xfId="2" builtinId="5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'Q1-Q4'!$W$37</c:f>
              <c:strCache>
                <c:ptCount val="1"/>
                <c:pt idx="0">
                  <c:v>519.0944089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'Q1-Q4'!$V$38:$V$47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xVal>
          <c:yVal>
            <c:numRef>
              <c:f>'Q1-Q4'!$W$38:$W$47</c:f>
              <c:numCache>
                <c:formatCode>General</c:formatCode>
                <c:ptCount val="10"/>
                <c:pt idx="0">
                  <c:v>618.30280665553073</c:v>
                </c:pt>
                <c:pt idx="1">
                  <c:v>577.77928549351282</c:v>
                </c:pt>
                <c:pt idx="2">
                  <c:v>538.38332904741992</c:v>
                </c:pt>
                <c:pt idx="3">
                  <c:v>500.07111970869391</c:v>
                </c:pt>
                <c:pt idx="4">
                  <c:v>462.80099341323785</c:v>
                </c:pt>
                <c:pt idx="5">
                  <c:v>426.53331273467347</c:v>
                </c:pt>
                <c:pt idx="6">
                  <c:v>391.23034864898591</c:v>
                </c:pt>
                <c:pt idx="7">
                  <c:v>356.85617029924288</c:v>
                </c:pt>
                <c:pt idx="8">
                  <c:v>323.37654214693248</c:v>
                </c:pt>
                <c:pt idx="9">
                  <c:v>290.75882794891049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A9-4857-B3CE-FF5B04349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204960"/>
        <c:axId val="998530464"/>
      </c:scatterChart>
      <c:valAx>
        <c:axId val="992204960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98530464"/>
        <c:crosses val="autoZero"/>
        <c:crossBetween val="midCat"/>
      </c:valAx>
      <c:valAx>
        <c:axId val="998530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92204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'Q1-Q4'!$Z$37</c:f>
              <c:strCache>
                <c:ptCount val="1"/>
                <c:pt idx="0">
                  <c:v>772.071299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'Q1-Q4'!$Y$38:$Y$47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xVal>
          <c:yVal>
            <c:numRef>
              <c:f>'Q1-Q4'!$Z$38:$Z$47</c:f>
              <c:numCache>
                <c:formatCode>General</c:formatCode>
                <c:ptCount val="10"/>
                <c:pt idx="0">
                  <c:v>945.95462879294519</c:v>
                </c:pt>
                <c:pt idx="1">
                  <c:v>874.53543508906841</c:v>
                </c:pt>
                <c:pt idx="2">
                  <c:v>805.62299641172967</c:v>
                </c:pt>
                <c:pt idx="3">
                  <c:v>739.10446062812935</c:v>
                </c:pt>
                <c:pt idx="4">
                  <c:v>674.87312385271525</c:v>
                </c:pt>
                <c:pt idx="5">
                  <c:v>612.82803925387998</c:v>
                </c:pt>
                <c:pt idx="6">
                  <c:v>552.87365423091251</c:v>
                </c:pt>
                <c:pt idx="7">
                  <c:v>494.91947365747092</c:v>
                </c:pt>
                <c:pt idx="8">
                  <c:v>438.87974709446644</c:v>
                </c:pt>
                <c:pt idx="9">
                  <c:v>384.67317806160736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60-4D09-A124-1D1BC9209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391680"/>
        <c:axId val="966405200"/>
      </c:scatterChart>
      <c:valAx>
        <c:axId val="773391680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66405200"/>
        <c:crosses val="autoZero"/>
        <c:crossBetween val="midCat"/>
      </c:valAx>
      <c:valAx>
        <c:axId val="966405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73391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'Q8'!$E$29:$E$34</c:f>
              <c:numCache>
                <c:formatCode>General</c:formatCode>
                <c:ptCount val="6"/>
                <c:pt idx="0">
                  <c:v>0</c:v>
                </c:pt>
                <c:pt idx="1">
                  <c:v>1.4400000000000001E-2</c:v>
                </c:pt>
                <c:pt idx="2">
                  <c:v>2.8800014583922704E-2</c:v>
                </c:pt>
                <c:pt idx="3">
                  <c:v>4.3200000000000266E-2</c:v>
                </c:pt>
                <c:pt idx="4">
                  <c:v>5.7600014553268991E-2</c:v>
                </c:pt>
                <c:pt idx="5">
                  <c:v>7.1999999999999995E-2</c:v>
                </c:pt>
              </c:numCache>
            </c:numRef>
          </c:xVal>
          <c:yVal>
            <c:numRef>
              <c:f>'Q8'!$F$29:$F$34</c:f>
              <c:numCache>
                <c:formatCode>General</c:formatCode>
                <c:ptCount val="6"/>
                <c:pt idx="0">
                  <c:v>3.5999999642372868E-2</c:v>
                </c:pt>
                <c:pt idx="1">
                  <c:v>5.2799999713898288E-2</c:v>
                </c:pt>
                <c:pt idx="2">
                  <c:v>6.9600016800000275E-2</c:v>
                </c:pt>
                <c:pt idx="3">
                  <c:v>8.6400000000000615E-2</c:v>
                </c:pt>
                <c:pt idx="4">
                  <c:v>0.10320001679999997</c:v>
                </c:pt>
                <c:pt idx="5">
                  <c:v>0.12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51-4D7D-8100-B12C1D99E89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'Q8'!$J$32:$J$40</c:f>
              <c:numCache>
                <c:formatCode>General</c:formatCode>
                <c:ptCount val="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</c:numCache>
            </c:numRef>
          </c:xVal>
          <c:yVal>
            <c:numRef>
              <c:f>'Q8'!$K$32:$K$40</c:f>
              <c:numCache>
                <c:formatCode>General</c:formatCode>
                <c:ptCount val="9"/>
                <c:pt idx="0">
                  <c:v>0.26300185378347957</c:v>
                </c:pt>
                <c:pt idx="1">
                  <c:v>0.26345185378347957</c:v>
                </c:pt>
                <c:pt idx="2">
                  <c:v>0.2642018537834796</c:v>
                </c:pt>
                <c:pt idx="3">
                  <c:v>0.2652518537834796</c:v>
                </c:pt>
                <c:pt idx="4">
                  <c:v>0.26660185378347956</c:v>
                </c:pt>
                <c:pt idx="5">
                  <c:v>0.2682518537834796</c:v>
                </c:pt>
                <c:pt idx="6">
                  <c:v>0.27020185378347961</c:v>
                </c:pt>
                <c:pt idx="7">
                  <c:v>0.27245185378347958</c:v>
                </c:pt>
                <c:pt idx="8">
                  <c:v>0.27500185378347958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51-4D7D-8100-B12C1D99E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272816"/>
        <c:axId val="768600736"/>
      </c:scatterChart>
      <c:valAx>
        <c:axId val="68627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68600736"/>
        <c:crosses val="autoZero"/>
        <c:crossBetween val="midCat"/>
      </c:valAx>
      <c:valAx>
        <c:axId val="76860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627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6" Type="http://schemas.openxmlformats.org/officeDocument/2006/relationships/image" Target="../media/image11.emf"/><Relationship Id="rId5" Type="http://schemas.openxmlformats.org/officeDocument/2006/relationships/image" Target="../media/image10.emf"/><Relationship Id="rId4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585787</xdr:colOff>
      <xdr:row>42</xdr:row>
      <xdr:rowOff>76200</xdr:rowOff>
    </xdr:from>
    <xdr:to>
      <xdr:col>18</xdr:col>
      <xdr:colOff>419100</xdr:colOff>
      <xdr:row>50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642937</xdr:colOff>
      <xdr:row>47</xdr:row>
      <xdr:rowOff>19050</xdr:rowOff>
    </xdr:from>
    <xdr:to>
      <xdr:col>22</xdr:col>
      <xdr:colOff>314325</xdr:colOff>
      <xdr:row>56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24</xdr:row>
          <xdr:rowOff>28575</xdr:rowOff>
        </xdr:from>
        <xdr:to>
          <xdr:col>19</xdr:col>
          <xdr:colOff>19050</xdr:colOff>
          <xdr:row>25</xdr:row>
          <xdr:rowOff>9525</xdr:rowOff>
        </xdr:to>
        <xdr:sp macro="" textlink="">
          <xdr:nvSpPr>
            <xdr:cNvPr id="9217" name="ScrollBar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1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75</xdr:row>
          <xdr:rowOff>19050</xdr:rowOff>
        </xdr:from>
        <xdr:to>
          <xdr:col>6</xdr:col>
          <xdr:colOff>19050</xdr:colOff>
          <xdr:row>76</xdr:row>
          <xdr:rowOff>28575</xdr:rowOff>
        </xdr:to>
        <xdr:sp macro="" textlink="">
          <xdr:nvSpPr>
            <xdr:cNvPr id="9218" name="ScrollBar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1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77</xdr:row>
          <xdr:rowOff>38100</xdr:rowOff>
        </xdr:from>
        <xdr:to>
          <xdr:col>6</xdr:col>
          <xdr:colOff>19050</xdr:colOff>
          <xdr:row>78</xdr:row>
          <xdr:rowOff>47625</xdr:rowOff>
        </xdr:to>
        <xdr:sp macro="" textlink="">
          <xdr:nvSpPr>
            <xdr:cNvPr id="9219" name="ScrollBar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1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78</xdr:row>
          <xdr:rowOff>180975</xdr:rowOff>
        </xdr:from>
        <xdr:to>
          <xdr:col>6</xdr:col>
          <xdr:colOff>38100</xdr:colOff>
          <xdr:row>79</xdr:row>
          <xdr:rowOff>190500</xdr:rowOff>
        </xdr:to>
        <xdr:sp macro="" textlink="">
          <xdr:nvSpPr>
            <xdr:cNvPr id="9220" name="ScrollBar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1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80</xdr:row>
          <xdr:rowOff>171450</xdr:rowOff>
        </xdr:from>
        <xdr:to>
          <xdr:col>6</xdr:col>
          <xdr:colOff>19050</xdr:colOff>
          <xdr:row>82</xdr:row>
          <xdr:rowOff>9525</xdr:rowOff>
        </xdr:to>
        <xdr:sp macro="" textlink="">
          <xdr:nvSpPr>
            <xdr:cNvPr id="9221" name="ScrollBar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1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2</xdr:row>
      <xdr:rowOff>95250</xdr:rowOff>
    </xdr:from>
    <xdr:to>
      <xdr:col>6</xdr:col>
      <xdr:colOff>495300</xdr:colOff>
      <xdr:row>20</xdr:row>
      <xdr:rowOff>47625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47650" y="514350"/>
          <a:ext cx="4362450" cy="3724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200">
              <a:latin typeface="Times New Roman" panose="02020603050405020304" pitchFamily="18" charset="0"/>
              <a:cs typeface="Times New Roman" panose="02020603050405020304" pitchFamily="18" charset="0"/>
            </a:rPr>
            <a:t>Project Analysis: Suppose we want to prepare a set of pro forma financial statements for a project for Norma Desmond Enterprises. In order to do so, we must have some background information. In this case, assume: </a:t>
          </a:r>
        </a:p>
        <a:p>
          <a:r>
            <a:rPr lang="en-US" altLang="zh-TW" sz="1200">
              <a:latin typeface="Times New Roman" panose="02020603050405020304" pitchFamily="18" charset="0"/>
              <a:cs typeface="Times New Roman" panose="02020603050405020304" pitchFamily="18" charset="0"/>
            </a:rPr>
            <a:t>a. Sales of 10,000 units/year @ $5/unit. </a:t>
          </a:r>
        </a:p>
        <a:p>
          <a:r>
            <a:rPr lang="en-US" altLang="zh-TW" sz="1200">
              <a:latin typeface="Times New Roman" panose="02020603050405020304" pitchFamily="18" charset="0"/>
              <a:cs typeface="Times New Roman" panose="02020603050405020304" pitchFamily="18" charset="0"/>
            </a:rPr>
            <a:t>b. Variable cost/unit is $3. Fixed costs are $5,000/year. </a:t>
          </a:r>
        </a:p>
        <a:p>
          <a:r>
            <a:rPr lang="en-US" altLang="zh-TW" sz="1200">
              <a:latin typeface="Times New Roman" panose="02020603050405020304" pitchFamily="18" charset="0"/>
              <a:cs typeface="Times New Roman" panose="02020603050405020304" pitchFamily="18" charset="0"/>
            </a:rPr>
            <a:t>c.Project has no salvage value. Project life is 3 years. </a:t>
          </a:r>
        </a:p>
        <a:p>
          <a:r>
            <a:rPr lang="en-US" altLang="zh-TW" sz="1200">
              <a:latin typeface="Times New Roman" panose="02020603050405020304" pitchFamily="18" charset="0"/>
              <a:cs typeface="Times New Roman" panose="02020603050405020304" pitchFamily="18" charset="0"/>
            </a:rPr>
            <a:t>d. Project cost is $21,000. Depreciation is $7,000/year. </a:t>
          </a:r>
          <a:r>
            <a:rPr lang="en-US" altLang="zh-TW" sz="1200"/>
            <a:t>The project is financed with retained earnings. (i.e.</a:t>
          </a:r>
          <a:r>
            <a:rPr lang="en-US" altLang="zh-TW" sz="1200" baseline="0"/>
            <a:t> no debts.)</a:t>
          </a:r>
          <a:endParaRPr lang="en-US" altLang="zh-TW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TW" sz="1200">
              <a:latin typeface="Times New Roman" panose="02020603050405020304" pitchFamily="18" charset="0"/>
              <a:cs typeface="Times New Roman" panose="02020603050405020304" pitchFamily="18" charset="0"/>
            </a:rPr>
            <a:t>e. Investment in net working capital is $10,000. The NWC investment occurs at the beginning of the project, and it is assumed that all of NWC is converted into cash at the end of the project. </a:t>
          </a:r>
        </a:p>
        <a:p>
          <a:r>
            <a:rPr lang="en-US" altLang="zh-TW" sz="1200">
              <a:latin typeface="Times New Roman" panose="02020603050405020304" pitchFamily="18" charset="0"/>
              <a:cs typeface="Times New Roman" panose="02020603050405020304" pitchFamily="18" charset="0"/>
            </a:rPr>
            <a:t>f. The firm’s required return is 20%. The tax rate is 34%.  </a:t>
          </a:r>
        </a:p>
        <a:p>
          <a:endParaRPr lang="en-US" altLang="zh-TW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TW" sz="1200">
              <a:latin typeface="Times New Roman" panose="02020603050405020304" pitchFamily="18" charset="0"/>
              <a:cs typeface="Times New Roman" panose="02020603050405020304" pitchFamily="18" charset="0"/>
            </a:rPr>
            <a:t>Questions</a:t>
          </a:r>
        </a:p>
        <a:p>
          <a:r>
            <a:rPr lang="en-US" altLang="zh-TW" sz="1200">
              <a:latin typeface="Times New Roman" panose="02020603050405020304" pitchFamily="18" charset="0"/>
              <a:cs typeface="Times New Roman" panose="02020603050405020304" pitchFamily="18" charset="0"/>
            </a:rPr>
            <a:t>a. Construct the Pro Forma Income Statement</a:t>
          </a:r>
        </a:p>
        <a:p>
          <a:r>
            <a:rPr lang="en-US" altLang="zh-TW" sz="1200">
              <a:latin typeface="Times New Roman" panose="02020603050405020304" pitchFamily="18" charset="0"/>
              <a:cs typeface="Times New Roman" panose="02020603050405020304" pitchFamily="18" charset="0"/>
            </a:rPr>
            <a:t>b. Calculate</a:t>
          </a:r>
          <a:r>
            <a:rPr lang="en-US" altLang="zh-TW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operating cash flow (OCF)</a:t>
          </a:r>
        </a:p>
        <a:p>
          <a:r>
            <a:rPr lang="en-US" altLang="zh-TW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c. complete cash flow table</a:t>
          </a:r>
          <a:endParaRPr lang="en-US" altLang="zh-TW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TW" sz="1200">
              <a:latin typeface="Times New Roman" panose="02020603050405020304" pitchFamily="18" charset="0"/>
              <a:cs typeface="Times New Roman" panose="02020603050405020304" pitchFamily="18" charset="0"/>
            </a:rPr>
            <a:t>d. Calculate the project’s Payback, NPV, and IRR. </a:t>
          </a:r>
          <a:endParaRPr lang="zh-TW" alt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233362</xdr:colOff>
      <xdr:row>23</xdr:row>
      <xdr:rowOff>95250</xdr:rowOff>
    </xdr:from>
    <xdr:to>
      <xdr:col>19</xdr:col>
      <xdr:colOff>4762</xdr:colOff>
      <xdr:row>36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4B792C-A7E7-4FDB-BE4B-0609C0CD3B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</xdr:row>
      <xdr:rowOff>85725</xdr:rowOff>
    </xdr:from>
    <xdr:to>
      <xdr:col>8</xdr:col>
      <xdr:colOff>104775</xdr:colOff>
      <xdr:row>16</xdr:row>
      <xdr:rowOff>95250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400050" y="295275"/>
          <a:ext cx="5191125" cy="3152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lvl="0"/>
          <a:r>
            <a:rPr lang="en-US" altLang="zh-TW" sz="120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Qing Lee makes a deposit of $15,000 in a bank account.  The deposit is to earn interest annually at the rate of 7 percent for ten years.</a:t>
          </a:r>
        </a:p>
        <a:p>
          <a:pPr lvl="0"/>
          <a:r>
            <a:rPr lang="en-US" altLang="zh-TW" sz="120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a.</a:t>
          </a:r>
          <a:r>
            <a:rPr lang="en-US" altLang="zh-TW" sz="1200" baseline="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 </a:t>
          </a:r>
          <a:r>
            <a:rPr lang="en-US" altLang="zh-TW" sz="120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How much will Qing have on deposit at the end of three years, seven years, nine years?</a:t>
          </a:r>
        </a:p>
        <a:p>
          <a:pPr lvl="0"/>
          <a:r>
            <a:rPr lang="en-US" altLang="zh-TW" sz="120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b. For (a),</a:t>
          </a:r>
          <a:r>
            <a:rPr lang="en-US" altLang="zh-TW" sz="1200" baseline="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what are the respective effective annual yields?  </a:t>
          </a:r>
          <a:endParaRPr lang="en-US" altLang="zh-TW" sz="1200">
            <a:solidFill>
              <a:schemeClr val="dk1"/>
            </a:solidFill>
            <a:latin typeface="+mn-lt"/>
            <a:ea typeface="+mn-ea"/>
            <a:cs typeface="Times New Roman" pitchFamily="18" charset="0"/>
          </a:endParaRPr>
        </a:p>
        <a:p>
          <a:pPr lvl="0"/>
          <a:r>
            <a:rPr lang="en-US" altLang="zh-TW" sz="120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c. Assuming the deposit earned a 7 percent rate of interest compounded quarterly, how much would he have at the end of seven years? compunded monthly?</a:t>
          </a:r>
          <a:r>
            <a:rPr lang="en-US" altLang="zh-TW" sz="1200" baseline="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 compounded weekly? compunded daily?</a:t>
          </a:r>
        </a:p>
        <a:p>
          <a:pPr lvl="0"/>
          <a:r>
            <a:rPr lang="en-US" altLang="zh-TW" sz="1200" baseline="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d. For </a:t>
          </a:r>
          <a:r>
            <a:rPr lang="en-US" altLang="zh-TW" sz="120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(c), what are the respective effective annual yields?  </a:t>
          </a:r>
        </a:p>
        <a:p>
          <a:pPr lvl="0"/>
          <a:r>
            <a:rPr lang="en-US" altLang="zh-TW" sz="120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e. You have two choices: 7 percent compounded annually, 6.7% compounded quarterly,</a:t>
          </a:r>
          <a:r>
            <a:rPr lang="en-US" altLang="zh-TW" sz="1200" baseline="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 for ten years, </a:t>
          </a:r>
          <a:r>
            <a:rPr lang="en-US" altLang="zh-TW" sz="120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Which alternative is better? Why?</a:t>
          </a:r>
        </a:p>
        <a:p>
          <a:pPr lvl="0"/>
          <a:endParaRPr lang="en-US" altLang="zh-TW" sz="1200">
            <a:solidFill>
              <a:schemeClr val="dk1"/>
            </a:solidFill>
            <a:latin typeface="+mn-lt"/>
            <a:ea typeface="+mn-ea"/>
            <a:cs typeface="Times New Roman" pitchFamily="18" charset="0"/>
          </a:endParaRPr>
        </a:p>
        <a:p>
          <a:pPr lvl="0"/>
          <a:endParaRPr lang="zh-TW" altLang="en-US" sz="1200">
            <a:latin typeface="+mn-lt"/>
            <a:cs typeface="Times New Roman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9</xdr:row>
      <xdr:rowOff>66675</xdr:rowOff>
    </xdr:from>
    <xdr:to>
      <xdr:col>8</xdr:col>
      <xdr:colOff>247650</xdr:colOff>
      <xdr:row>21</xdr:row>
      <xdr:rowOff>133350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57150" y="2095500"/>
          <a:ext cx="5886450" cy="2581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Understanding correlation will help you to know if your portfolios are properly diversified.</a:t>
          </a:r>
        </a:p>
        <a:p>
          <a:r>
            <a:rPr lang="en-US" altLang="zh-TW" sz="1200"/>
            <a:t>Lower correlation between two assets may have better diversification</a:t>
          </a:r>
          <a:r>
            <a:rPr lang="en-US" altLang="zh-TW" sz="1200" baseline="0"/>
            <a:t> effect.</a:t>
          </a:r>
        </a:p>
        <a:p>
          <a:r>
            <a:rPr lang="en-US" altLang="zh-TW" sz="1200" baseline="0"/>
            <a:t>In the above table, we have five assets.  We like to know which two assets can form a portfolio which has the best diversification effect.</a:t>
          </a:r>
        </a:p>
        <a:p>
          <a:r>
            <a:rPr lang="en-US" altLang="zh-TW" sz="1200" baseline="0"/>
            <a:t>Tasks:</a:t>
          </a:r>
        </a:p>
        <a:p>
          <a:r>
            <a:rPr lang="en-US" altLang="zh-TW" sz="1200" baseline="0"/>
            <a:t>1. calculate E(r), var(r) for each asset.</a:t>
          </a:r>
        </a:p>
        <a:p>
          <a:r>
            <a:rPr lang="en-US" altLang="zh-TW" sz="1200" baseline="0"/>
            <a:t>2. calculate correlaton of coefficient, r, for any two assets in the above table.</a:t>
          </a:r>
        </a:p>
        <a:p>
          <a:r>
            <a:rPr lang="en-US" altLang="zh-TW" sz="1200"/>
            <a:t>3. Please draw</a:t>
          </a:r>
          <a:r>
            <a:rPr lang="en-US" altLang="zh-TW" sz="1200" baseline="0"/>
            <a:t> two assets portfolio diagram for any two assets.</a:t>
          </a:r>
        </a:p>
        <a:p>
          <a:r>
            <a:rPr lang="en-US" altLang="zh-TW" sz="1200" baseline="0"/>
            <a:t>4. Prove the statement, "Lower corrleation between two assets may have better diversification effect", based on your answers in 1, 2, and 3.</a:t>
          </a:r>
        </a:p>
        <a:p>
          <a:endParaRPr lang="en-US" altLang="zh-TW" sz="1200" baseline="0"/>
        </a:p>
        <a:p>
          <a:r>
            <a:rPr lang="en-US" altLang="zh-TW" sz="1200" baseline="0"/>
            <a:t>Fromulas you may need are provided below:</a:t>
          </a:r>
          <a:endParaRPr lang="zh-TW" altLang="en-US" sz="12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314325</xdr:colOff>
          <xdr:row>23</xdr:row>
          <xdr:rowOff>19050</xdr:rowOff>
        </xdr:from>
        <xdr:to>
          <xdr:col>2</xdr:col>
          <xdr:colOff>76200</xdr:colOff>
          <xdr:row>25</xdr:row>
          <xdr:rowOff>0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7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114300</xdr:colOff>
          <xdr:row>29</xdr:row>
          <xdr:rowOff>85725</xdr:rowOff>
        </xdr:from>
        <xdr:to>
          <xdr:col>4</xdr:col>
          <xdr:colOff>66675</xdr:colOff>
          <xdr:row>32</xdr:row>
          <xdr:rowOff>0</xdr:rowOff>
        </xdr:to>
        <xdr:sp macro="" textlink="">
          <xdr:nvSpPr>
            <xdr:cNvPr id="8194" name="Object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7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26</xdr:row>
          <xdr:rowOff>9525</xdr:rowOff>
        </xdr:from>
        <xdr:to>
          <xdr:col>2</xdr:col>
          <xdr:colOff>142875</xdr:colOff>
          <xdr:row>28</xdr:row>
          <xdr:rowOff>95250</xdr:rowOff>
        </xdr:to>
        <xdr:sp macro="" textlink="">
          <xdr:nvSpPr>
            <xdr:cNvPr id="8195" name="Object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7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33</xdr:row>
          <xdr:rowOff>28575</xdr:rowOff>
        </xdr:from>
        <xdr:to>
          <xdr:col>3</xdr:col>
          <xdr:colOff>590550</xdr:colOff>
          <xdr:row>35</xdr:row>
          <xdr:rowOff>152400</xdr:rowOff>
        </xdr:to>
        <xdr:sp macro="" textlink="">
          <xdr:nvSpPr>
            <xdr:cNvPr id="8196" name="Object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7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266700</xdr:colOff>
          <xdr:row>36</xdr:row>
          <xdr:rowOff>142875</xdr:rowOff>
        </xdr:from>
        <xdr:to>
          <xdr:col>3</xdr:col>
          <xdr:colOff>76200</xdr:colOff>
          <xdr:row>38</xdr:row>
          <xdr:rowOff>66675</xdr:rowOff>
        </xdr:to>
        <xdr:sp macro="" textlink="">
          <xdr:nvSpPr>
            <xdr:cNvPr id="8197" name="Object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7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123825</xdr:colOff>
          <xdr:row>39</xdr:row>
          <xdr:rowOff>85725</xdr:rowOff>
        </xdr:from>
        <xdr:to>
          <xdr:col>7</xdr:col>
          <xdr:colOff>504825</xdr:colOff>
          <xdr:row>41</xdr:row>
          <xdr:rowOff>76200</xdr:rowOff>
        </xdr:to>
        <xdr:sp macro="" textlink="">
          <xdr:nvSpPr>
            <xdr:cNvPr id="8198" name="Object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7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5" Type="http://schemas.openxmlformats.org/officeDocument/2006/relationships/control" Target="../activeX/activeX2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oleObject" Target="../embeddings/oleObject6.bin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12" Type="http://schemas.openxmlformats.org/officeDocument/2006/relationships/image" Target="../media/image10.emf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Relationship Id="rId6" Type="http://schemas.openxmlformats.org/officeDocument/2006/relationships/image" Target="../media/image7.e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2.bin"/><Relationship Id="rId10" Type="http://schemas.openxmlformats.org/officeDocument/2006/relationships/image" Target="../media/image9.emf"/><Relationship Id="rId4" Type="http://schemas.openxmlformats.org/officeDocument/2006/relationships/image" Target="../media/image6.emf"/><Relationship Id="rId9" Type="http://schemas.openxmlformats.org/officeDocument/2006/relationships/oleObject" Target="../embeddings/oleObject4.bin"/><Relationship Id="rId14" Type="http://schemas.openxmlformats.org/officeDocument/2006/relationships/image" Target="../media/image1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11"/>
  <sheetViews>
    <sheetView workbookViewId="0">
      <selection activeCell="K20" sqref="K20"/>
    </sheetView>
  </sheetViews>
  <sheetFormatPr defaultRowHeight="16.5" x14ac:dyDescent="0.25"/>
  <sheetData>
    <row r="1" spans="1:1" x14ac:dyDescent="0.25">
      <c r="A1" s="11" t="s">
        <v>63</v>
      </c>
    </row>
    <row r="2" spans="1:1" x14ac:dyDescent="0.25">
      <c r="A2" s="11" t="s">
        <v>64</v>
      </c>
    </row>
    <row r="3" spans="1:1" x14ac:dyDescent="0.25">
      <c r="A3" s="33" t="s">
        <v>65</v>
      </c>
    </row>
    <row r="4" spans="1:1" x14ac:dyDescent="0.25">
      <c r="A4" s="11" t="s">
        <v>66</v>
      </c>
    </row>
    <row r="5" spans="1:1" x14ac:dyDescent="0.25">
      <c r="A5" s="11" t="s">
        <v>67</v>
      </c>
    </row>
    <row r="6" spans="1:1" x14ac:dyDescent="0.25">
      <c r="A6" s="11" t="s">
        <v>69</v>
      </c>
    </row>
    <row r="7" spans="1:1" x14ac:dyDescent="0.25">
      <c r="A7" s="11" t="s">
        <v>68</v>
      </c>
    </row>
    <row r="11" spans="1:1" x14ac:dyDescent="0.25">
      <c r="A11" s="12" t="s">
        <v>67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E128"/>
  <sheetViews>
    <sheetView topLeftCell="A43" zoomScale="87" zoomScaleNormal="87" workbookViewId="0">
      <selection activeCell="T21" sqref="T21"/>
    </sheetView>
  </sheetViews>
  <sheetFormatPr defaultColWidth="8.625" defaultRowHeight="15.75" x14ac:dyDescent="0.25"/>
  <cols>
    <col min="1" max="1" width="8.625" style="1"/>
    <col min="2" max="2" width="10.625" style="1" customWidth="1"/>
    <col min="3" max="6" width="8.75" style="1" bestFit="1" customWidth="1"/>
    <col min="7" max="13" width="8.625" style="1"/>
    <col min="14" max="14" width="11.125" style="1" bestFit="1" customWidth="1"/>
    <col min="15" max="15" width="8.75" style="1" bestFit="1" customWidth="1"/>
    <col min="16" max="16" width="11.125" style="1" bestFit="1" customWidth="1"/>
    <col min="17" max="17" width="8.5" style="1" customWidth="1"/>
    <col min="18" max="18" width="9" style="1" bestFit="1" customWidth="1"/>
    <col min="19" max="28" width="8.625" style="1"/>
    <col min="29" max="29" width="13.875" style="1" bestFit="1" customWidth="1"/>
    <col min="30" max="16384" width="8.625" style="1"/>
  </cols>
  <sheetData>
    <row r="1" spans="1:20" x14ac:dyDescent="0.25">
      <c r="A1" s="1" t="s">
        <v>62</v>
      </c>
    </row>
    <row r="2" spans="1:20" x14ac:dyDescent="0.25">
      <c r="A2" s="1" t="s">
        <v>0</v>
      </c>
    </row>
    <row r="3" spans="1:20" x14ac:dyDescent="0.25">
      <c r="A3" s="48" t="s">
        <v>1</v>
      </c>
      <c r="B3" s="48"/>
      <c r="C3" s="48"/>
      <c r="D3" s="48"/>
      <c r="E3" s="48"/>
      <c r="F3" s="48"/>
      <c r="G3" s="48"/>
      <c r="H3" s="48"/>
      <c r="I3" s="48"/>
      <c r="J3" s="2"/>
      <c r="K3" s="2"/>
      <c r="L3" s="2"/>
      <c r="M3" s="2"/>
      <c r="N3" s="2"/>
    </row>
    <row r="4" spans="1:20" x14ac:dyDescent="0.25">
      <c r="A4" s="48"/>
      <c r="B4" s="48"/>
      <c r="C4" s="48"/>
      <c r="D4" s="48"/>
      <c r="E4" s="48"/>
      <c r="F4" s="48"/>
      <c r="G4" s="48"/>
      <c r="H4" s="48"/>
      <c r="I4" s="48"/>
      <c r="J4" s="2"/>
      <c r="K4" s="2"/>
      <c r="L4" s="2"/>
      <c r="M4" s="2"/>
      <c r="N4" s="2"/>
    </row>
    <row r="5" spans="1:20" x14ac:dyDescent="0.25">
      <c r="A5" s="48"/>
      <c r="B5" s="48"/>
      <c r="C5" s="48"/>
      <c r="D5" s="48"/>
      <c r="E5" s="48"/>
      <c r="F5" s="48"/>
      <c r="G5" s="48"/>
      <c r="H5" s="48"/>
      <c r="I5" s="48"/>
      <c r="J5" s="2"/>
      <c r="K5" s="2"/>
      <c r="L5" s="2"/>
      <c r="M5" s="2"/>
      <c r="N5" s="2"/>
    </row>
    <row r="6" spans="1:20" x14ac:dyDescent="0.25">
      <c r="A6" s="48"/>
      <c r="B6" s="48"/>
      <c r="C6" s="48"/>
      <c r="D6" s="48"/>
      <c r="E6" s="48"/>
      <c r="F6" s="48"/>
      <c r="G6" s="48"/>
      <c r="H6" s="48"/>
      <c r="I6" s="48"/>
      <c r="J6" s="2"/>
      <c r="K6" s="2"/>
      <c r="L6" s="2"/>
      <c r="M6" s="2"/>
    </row>
    <row r="7" spans="1:20" x14ac:dyDescent="0.25">
      <c r="A7" s="48"/>
      <c r="B7" s="48"/>
      <c r="C7" s="48"/>
      <c r="D7" s="48"/>
      <c r="E7" s="48"/>
      <c r="F7" s="48"/>
      <c r="G7" s="48"/>
      <c r="H7" s="48"/>
      <c r="I7" s="48"/>
      <c r="J7" s="2"/>
      <c r="K7" s="2"/>
      <c r="L7" s="2"/>
      <c r="M7" s="2"/>
    </row>
    <row r="8" spans="1:20" x14ac:dyDescent="0.25">
      <c r="A8" s="48"/>
      <c r="B8" s="48"/>
      <c r="C8" s="48"/>
      <c r="D8" s="48"/>
      <c r="E8" s="48"/>
      <c r="F8" s="48"/>
      <c r="G8" s="48"/>
      <c r="H8" s="48"/>
      <c r="I8" s="48"/>
      <c r="J8" s="2"/>
      <c r="K8" s="2"/>
      <c r="L8" s="2"/>
      <c r="M8" s="2" t="s">
        <v>152</v>
      </c>
    </row>
    <row r="9" spans="1:20" x14ac:dyDescent="0.25">
      <c r="A9" s="48"/>
      <c r="B9" s="48"/>
      <c r="C9" s="48"/>
      <c r="D9" s="48"/>
      <c r="E9" s="48"/>
      <c r="F9" s="48"/>
      <c r="G9" s="48"/>
      <c r="H9" s="48"/>
      <c r="I9" s="48"/>
      <c r="J9" s="2"/>
      <c r="K9" s="2"/>
      <c r="L9" s="2"/>
      <c r="M9" s="2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</row>
    <row r="11" spans="1:20" x14ac:dyDescent="0.25">
      <c r="A11" s="2"/>
      <c r="B11" s="3"/>
      <c r="C11" s="3"/>
      <c r="D11" s="3"/>
      <c r="E11" s="3"/>
      <c r="F11" s="3"/>
      <c r="G11" s="3"/>
      <c r="H11" s="3"/>
      <c r="I11" s="3"/>
      <c r="J11" s="2"/>
      <c r="K11" s="2"/>
      <c r="L11" s="2"/>
      <c r="M11" s="2"/>
    </row>
    <row r="12" spans="1:20" x14ac:dyDescent="0.25">
      <c r="A12" s="5"/>
      <c r="B12" s="6" t="s">
        <v>2</v>
      </c>
      <c r="C12" s="6">
        <v>0</v>
      </c>
      <c r="D12" s="6">
        <v>1</v>
      </c>
      <c r="E12" s="6">
        <v>2</v>
      </c>
      <c r="F12" s="6">
        <v>3</v>
      </c>
      <c r="G12" s="3"/>
      <c r="H12" s="3"/>
      <c r="I12" s="3"/>
      <c r="J12" s="2"/>
      <c r="K12" s="2"/>
      <c r="L12" s="2"/>
      <c r="M12" s="2"/>
    </row>
    <row r="13" spans="1:20" x14ac:dyDescent="0.25">
      <c r="A13" s="5" t="s">
        <v>3</v>
      </c>
      <c r="B13" s="6" t="s">
        <v>4</v>
      </c>
      <c r="C13" s="6">
        <v>-2000</v>
      </c>
      <c r="D13" s="6">
        <v>1400</v>
      </c>
      <c r="E13" s="6">
        <v>950</v>
      </c>
      <c r="F13" s="6">
        <v>310</v>
      </c>
      <c r="G13" s="3"/>
      <c r="H13" s="3"/>
      <c r="I13" s="3"/>
      <c r="J13" s="3"/>
      <c r="K13" s="2"/>
      <c r="L13" s="2"/>
      <c r="M13" s="2"/>
    </row>
    <row r="14" spans="1:20" x14ac:dyDescent="0.25">
      <c r="A14" s="5" t="s">
        <v>3</v>
      </c>
      <c r="B14" s="6" t="s">
        <v>5</v>
      </c>
      <c r="C14" s="6">
        <v>-2000</v>
      </c>
      <c r="D14" s="6">
        <v>200</v>
      </c>
      <c r="E14" s="6">
        <v>1120</v>
      </c>
      <c r="F14" s="6">
        <v>1700</v>
      </c>
      <c r="G14" s="3"/>
      <c r="H14" s="3"/>
      <c r="I14" s="3"/>
      <c r="J14" s="3"/>
      <c r="K14" s="2"/>
      <c r="L14" s="2"/>
      <c r="M14" s="2"/>
      <c r="N14" s="2"/>
      <c r="P14" s="1" t="s">
        <v>153</v>
      </c>
    </row>
    <row r="15" spans="1:2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P15" s="2"/>
      <c r="Q15" s="1">
        <v>0</v>
      </c>
      <c r="R15" s="1">
        <v>1</v>
      </c>
      <c r="S15" s="1">
        <v>2</v>
      </c>
      <c r="T15" s="1">
        <v>3</v>
      </c>
    </row>
    <row r="16" spans="1:20" x14ac:dyDescent="0.25">
      <c r="A16" s="2" t="s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P16" s="2" t="s">
        <v>4</v>
      </c>
      <c r="Q16" s="1">
        <v>-2000</v>
      </c>
      <c r="R16" s="1">
        <v>1400</v>
      </c>
      <c r="S16" s="1">
        <v>950</v>
      </c>
      <c r="T16" s="1">
        <v>310</v>
      </c>
    </row>
    <row r="17" spans="1:31" x14ac:dyDescent="0.25">
      <c r="A17" s="2" t="s">
        <v>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R17" s="1">
        <f>Q16+R16</f>
        <v>-600</v>
      </c>
      <c r="S17" s="1">
        <f>R17+S16</f>
        <v>350</v>
      </c>
      <c r="T17" s="1">
        <f>S17+T16</f>
        <v>660</v>
      </c>
    </row>
    <row r="18" spans="1:31" ht="20.25" x14ac:dyDescent="0.25">
      <c r="A18" s="8" t="s">
        <v>58</v>
      </c>
      <c r="P18" s="2"/>
      <c r="S18" s="34">
        <f>R15+(-R17/S16)</f>
        <v>1.631578947368421</v>
      </c>
    </row>
    <row r="19" spans="1:31" x14ac:dyDescent="0.25">
      <c r="A19" s="9"/>
      <c r="P19" s="2" t="s">
        <v>5</v>
      </c>
      <c r="Q19" s="1">
        <v>-2000</v>
      </c>
      <c r="R19" s="1">
        <v>200</v>
      </c>
      <c r="S19" s="1">
        <v>1120</v>
      </c>
      <c r="T19" s="1">
        <v>1700</v>
      </c>
    </row>
    <row r="20" spans="1:31" x14ac:dyDescent="0.25">
      <c r="A20" s="10" t="s">
        <v>8</v>
      </c>
      <c r="P20" s="2"/>
      <c r="R20" s="1">
        <f>Q19+R19</f>
        <v>-1800</v>
      </c>
      <c r="S20" s="7">
        <f>R20+S19</f>
        <v>-680</v>
      </c>
      <c r="T20" s="7">
        <f>S20+T19</f>
        <v>1020</v>
      </c>
    </row>
    <row r="21" spans="1:31" x14ac:dyDescent="0.25">
      <c r="A21" s="1" t="s">
        <v>9</v>
      </c>
      <c r="P21" s="2"/>
      <c r="R21" s="4"/>
      <c r="T21" s="34">
        <f>S15+(-S20/T19)</f>
        <v>2.4</v>
      </c>
    </row>
    <row r="22" spans="1:31" x14ac:dyDescent="0.25">
      <c r="A22" s="1" t="s">
        <v>10</v>
      </c>
      <c r="I22" s="34" t="s">
        <v>154</v>
      </c>
      <c r="P22" s="4"/>
    </row>
    <row r="23" spans="1:31" ht="16.5" x14ac:dyDescent="0.25">
      <c r="A23" s="1" t="s">
        <v>11</v>
      </c>
      <c r="L23" s="34" t="s">
        <v>156</v>
      </c>
      <c r="P23" s="4"/>
    </row>
    <row r="24" spans="1:31" x14ac:dyDescent="0.25">
      <c r="A24" s="9"/>
      <c r="P24" s="4"/>
      <c r="R24" s="1">
        <v>7</v>
      </c>
      <c r="AD24" s="1" t="s">
        <v>163</v>
      </c>
      <c r="AE24" s="1" t="s">
        <v>164</v>
      </c>
    </row>
    <row r="25" spans="1:31" x14ac:dyDescent="0.25">
      <c r="A25" s="1" t="s">
        <v>12</v>
      </c>
      <c r="P25" s="4" t="s">
        <v>155</v>
      </c>
      <c r="Q25" s="36">
        <f>R24/200</f>
        <v>3.5000000000000003E-2</v>
      </c>
      <c r="AB25" s="1" t="s">
        <v>162</v>
      </c>
      <c r="AC25" s="1" t="s">
        <v>168</v>
      </c>
      <c r="AD25" s="1">
        <f>U28</f>
        <v>519.0944089360878</v>
      </c>
      <c r="AE25" s="1">
        <f>U32</f>
        <v>772.07129902185488</v>
      </c>
    </row>
    <row r="26" spans="1:31" x14ac:dyDescent="0.25">
      <c r="A26" s="1" t="s">
        <v>13</v>
      </c>
      <c r="P26" s="4"/>
      <c r="Q26" s="1">
        <v>0</v>
      </c>
      <c r="R26" s="1">
        <v>1</v>
      </c>
      <c r="S26" s="1">
        <v>2</v>
      </c>
      <c r="T26" s="1">
        <v>3</v>
      </c>
      <c r="AB26" s="1">
        <v>1</v>
      </c>
      <c r="AC26" s="1">
        <f ca="1">NORMINV(RAND(),0.07,0.05)</f>
        <v>8.0521111291826861E-2</v>
      </c>
      <c r="AD26" s="1">
        <f t="dataTable" ref="AD26:AE125" dt2D="0" dtr="0" r1="Q25" ca="1"/>
        <v>408.01565094609532</v>
      </c>
      <c r="AE26" s="1">
        <v>581.32529857237932</v>
      </c>
    </row>
    <row r="27" spans="1:31" x14ac:dyDescent="0.25">
      <c r="A27" s="1" t="s">
        <v>14</v>
      </c>
      <c r="P27" s="2" t="s">
        <v>4</v>
      </c>
      <c r="Q27" s="1">
        <v>-2000</v>
      </c>
      <c r="R27" s="1">
        <v>1400</v>
      </c>
      <c r="S27" s="1">
        <v>950</v>
      </c>
      <c r="T27" s="1">
        <v>310</v>
      </c>
      <c r="AB27" s="1">
        <v>2</v>
      </c>
      <c r="AC27" s="1">
        <f t="shared" ref="AC27:AC90" ca="1" si="0">NORMINV(RAND(),0.07,0.05)</f>
        <v>6.7315899835146673E-2</v>
      </c>
      <c r="AD27" s="1">
        <v>492.90904333378012</v>
      </c>
      <c r="AE27" s="1">
        <v>726.72455389957486</v>
      </c>
    </row>
    <row r="28" spans="1:31" x14ac:dyDescent="0.25">
      <c r="A28" s="1" t="s">
        <v>15</v>
      </c>
      <c r="J28" s="34" t="s">
        <v>157</v>
      </c>
      <c r="P28" s="4"/>
      <c r="R28" s="1">
        <f>R27/(1+$Q$25)^R26</f>
        <v>1352.6570048309179</v>
      </c>
      <c r="S28" s="1">
        <f t="shared" ref="S28" si="1">S27/(1+$Q$25)^S26</f>
        <v>886.83516534808291</v>
      </c>
      <c r="T28" s="1">
        <f>T27/(1+$Q$25)^T26</f>
        <v>279.60223875708692</v>
      </c>
      <c r="U28" s="1">
        <f>SUM(R28:T28)+Q27</f>
        <v>519.0944089360878</v>
      </c>
      <c r="AB28" s="1">
        <v>3</v>
      </c>
      <c r="AC28" s="1">
        <f t="shared" ca="1" si="0"/>
        <v>0.15463876844662486</v>
      </c>
      <c r="AD28" s="1">
        <v>257.28590129222812</v>
      </c>
      <c r="AE28" s="1">
        <v>329.45107834039709</v>
      </c>
    </row>
    <row r="29" spans="1:31" ht="16.5" x14ac:dyDescent="0.25">
      <c r="A29" s="1" t="s">
        <v>16</v>
      </c>
      <c r="I29" s="35" t="s">
        <v>158</v>
      </c>
      <c r="P29" s="4"/>
      <c r="AB29" s="1">
        <v>4</v>
      </c>
      <c r="AC29" s="1">
        <f t="shared" ca="1" si="0"/>
        <v>4.9501888452464088E-3</v>
      </c>
      <c r="AD29" s="1">
        <v>416.4095998436128</v>
      </c>
      <c r="AE29" s="1">
        <v>595.59044632097721</v>
      </c>
    </row>
    <row r="30" spans="1:31" ht="20.25" x14ac:dyDescent="0.25">
      <c r="A30" s="8" t="s">
        <v>59</v>
      </c>
      <c r="P30" s="4"/>
      <c r="AB30" s="1">
        <v>5</v>
      </c>
      <c r="AC30" s="1">
        <f t="shared" ca="1" si="0"/>
        <v>-2.929771019017112E-2</v>
      </c>
      <c r="AD30" s="1">
        <v>709.35424945510658</v>
      </c>
      <c r="AE30" s="1">
        <v>1108.3625844731246</v>
      </c>
    </row>
    <row r="31" spans="1:31" x14ac:dyDescent="0.25">
      <c r="A31" s="1" t="s">
        <v>17</v>
      </c>
      <c r="P31" s="2" t="s">
        <v>5</v>
      </c>
      <c r="Q31" s="1">
        <v>-2000</v>
      </c>
      <c r="R31" s="1">
        <v>200</v>
      </c>
      <c r="S31" s="1">
        <v>1120</v>
      </c>
      <c r="T31" s="1">
        <v>1700</v>
      </c>
      <c r="AB31" s="1">
        <v>6</v>
      </c>
      <c r="AC31" s="1">
        <f t="shared" ca="1" si="0"/>
        <v>2.3115574157800113E-2</v>
      </c>
      <c r="AD31" s="1">
        <v>183.08410337749547</v>
      </c>
      <c r="AE31" s="1">
        <v>208.52826107917417</v>
      </c>
    </row>
    <row r="32" spans="1:31" x14ac:dyDescent="0.25">
      <c r="A32" s="1" t="s">
        <v>18</v>
      </c>
      <c r="P32" s="4"/>
      <c r="R32" s="1">
        <f>R31/(1+$Q$25)^R26</f>
        <v>193.23671497584542</v>
      </c>
      <c r="S32" s="1">
        <f t="shared" ref="S32:T32" si="2">S31/(1+$Q$25)^S26</f>
        <v>1045.5319844103715</v>
      </c>
      <c r="T32" s="1">
        <f t="shared" si="2"/>
        <v>1533.302599635638</v>
      </c>
      <c r="U32" s="1">
        <f>SUM(R32:T32)+Q31</f>
        <v>772.07129902185488</v>
      </c>
      <c r="AB32" s="1">
        <v>7</v>
      </c>
      <c r="AC32" s="1">
        <f t="shared" ca="1" si="0"/>
        <v>4.153212239431768E-2</v>
      </c>
      <c r="AD32" s="1">
        <v>358.59826978530646</v>
      </c>
      <c r="AE32" s="1">
        <v>497.84649704327876</v>
      </c>
    </row>
    <row r="33" spans="1:31" x14ac:dyDescent="0.25">
      <c r="A33" s="9"/>
      <c r="P33" s="4"/>
      <c r="AB33" s="1">
        <v>8</v>
      </c>
      <c r="AC33" s="1">
        <f t="shared" ca="1" si="0"/>
        <v>7.7384758900936851E-2</v>
      </c>
      <c r="AD33" s="1">
        <v>585.98110032786917</v>
      </c>
      <c r="AE33" s="1">
        <v>888.94692584940185</v>
      </c>
    </row>
    <row r="34" spans="1:31" x14ac:dyDescent="0.25">
      <c r="A34" s="1" t="s">
        <v>19</v>
      </c>
      <c r="P34" s="4"/>
      <c r="AB34" s="1">
        <v>9</v>
      </c>
      <c r="AC34" s="1">
        <f t="shared" ca="1" si="0"/>
        <v>5.4491302675058494E-2</v>
      </c>
      <c r="AD34" s="1">
        <v>400.60918080509327</v>
      </c>
      <c r="AE34" s="1">
        <v>568.75886023657131</v>
      </c>
    </row>
    <row r="35" spans="1:31" x14ac:dyDescent="0.25">
      <c r="A35" s="1" t="s">
        <v>20</v>
      </c>
      <c r="P35" s="4"/>
      <c r="V35" s="1" t="s">
        <v>154</v>
      </c>
      <c r="Y35" s="1" t="s">
        <v>157</v>
      </c>
      <c r="AB35" s="1">
        <v>10</v>
      </c>
      <c r="AC35" s="1">
        <f t="shared" ca="1" si="0"/>
        <v>0.13467722233928953</v>
      </c>
      <c r="AD35" s="1">
        <v>320.52583455751846</v>
      </c>
      <c r="AE35" s="1">
        <v>434.12678874227504</v>
      </c>
    </row>
    <row r="36" spans="1:31" x14ac:dyDescent="0.25">
      <c r="A36" s="9"/>
      <c r="V36" s="1" t="s">
        <v>159</v>
      </c>
      <c r="W36" s="1" t="s">
        <v>160</v>
      </c>
      <c r="Y36" s="1" t="s">
        <v>159</v>
      </c>
      <c r="Z36" s="1" t="s">
        <v>160</v>
      </c>
      <c r="AB36" s="1">
        <v>11</v>
      </c>
      <c r="AC36" s="1">
        <f t="shared" ca="1" si="0"/>
        <v>6.2834644723301705E-2</v>
      </c>
      <c r="AD36" s="1">
        <v>609.51622206149023</v>
      </c>
      <c r="AE36" s="1">
        <v>930.42340609590428</v>
      </c>
    </row>
    <row r="37" spans="1:31" x14ac:dyDescent="0.25">
      <c r="A37" s="1" t="s">
        <v>21</v>
      </c>
      <c r="W37" s="1">
        <f>U28</f>
        <v>519.0944089360878</v>
      </c>
      <c r="Z37" s="1">
        <f>U32</f>
        <v>772.07129902185488</v>
      </c>
      <c r="AB37" s="1">
        <v>12</v>
      </c>
      <c r="AC37" s="1">
        <f t="shared" ca="1" si="0"/>
        <v>5.0189305200411254E-2</v>
      </c>
      <c r="AD37" s="1">
        <v>495.24867258918766</v>
      </c>
      <c r="AE37" s="1">
        <v>730.76677013293192</v>
      </c>
    </row>
    <row r="38" spans="1:31" ht="16.5" x14ac:dyDescent="0.25">
      <c r="A38" s="1" t="s">
        <v>22</v>
      </c>
      <c r="K38" s="34" t="s">
        <v>161</v>
      </c>
      <c r="V38" s="4">
        <v>0.01</v>
      </c>
      <c r="W38" s="1">
        <f t="dataTable" ref="W38:W47" dt2D="0" dtr="0" r1="Q25" ca="1"/>
        <v>618.30280665553073</v>
      </c>
      <c r="Y38" s="4">
        <v>0.01</v>
      </c>
      <c r="Z38" s="1">
        <f t="dataTable" ref="Z38:Z47" dt2D="0" dtr="0" r1="Q25" ca="1"/>
        <v>945.95462879294519</v>
      </c>
      <c r="AB38" s="1">
        <v>13</v>
      </c>
      <c r="AC38" s="1">
        <f t="shared" ca="1" si="0"/>
        <v>-2.1775204543803051E-2</v>
      </c>
      <c r="AD38" s="1">
        <v>152.91836955449753</v>
      </c>
      <c r="AE38" s="1">
        <v>159.967209926539</v>
      </c>
    </row>
    <row r="39" spans="1:31" x14ac:dyDescent="0.25">
      <c r="A39" s="9"/>
      <c r="V39" s="4">
        <v>0.02</v>
      </c>
      <c r="W39" s="1">
        <v>577.77928549351282</v>
      </c>
      <c r="Y39" s="4">
        <v>0.02</v>
      </c>
      <c r="Z39" s="1">
        <v>874.53543508906841</v>
      </c>
      <c r="AB39" s="1">
        <v>14</v>
      </c>
      <c r="AC39" s="1">
        <f t="shared" ca="1" si="0"/>
        <v>1.774973039719524E-2</v>
      </c>
      <c r="AD39" s="1">
        <v>259.47380886912924</v>
      </c>
      <c r="AE39" s="1">
        <v>333.04793194126614</v>
      </c>
    </row>
    <row r="40" spans="1:31" x14ac:dyDescent="0.25">
      <c r="A40" s="1" t="s">
        <v>23</v>
      </c>
      <c r="H40" s="1" t="s">
        <v>24</v>
      </c>
      <c r="V40" s="4">
        <v>0.03</v>
      </c>
      <c r="W40" s="1">
        <v>538.38332904741992</v>
      </c>
      <c r="Y40" s="4">
        <v>0.03</v>
      </c>
      <c r="Z40" s="1">
        <v>805.62299641172967</v>
      </c>
      <c r="AB40" s="1">
        <v>15</v>
      </c>
      <c r="AC40" s="1">
        <f t="shared" ca="1" si="0"/>
        <v>9.1584600666799923E-2</v>
      </c>
      <c r="AD40" s="1">
        <v>719.96639188036261</v>
      </c>
      <c r="AE40" s="1">
        <v>1127.4630526058281</v>
      </c>
    </row>
    <row r="41" spans="1:31" x14ac:dyDescent="0.25">
      <c r="A41" s="1" t="s">
        <v>25</v>
      </c>
      <c r="H41" s="1" t="s">
        <v>26</v>
      </c>
      <c r="V41" s="4">
        <v>0.04</v>
      </c>
      <c r="W41" s="1">
        <v>500.07111970869391</v>
      </c>
      <c r="Y41" s="4">
        <v>0.04</v>
      </c>
      <c r="Z41" s="1">
        <v>739.10446062812935</v>
      </c>
      <c r="AB41" s="1">
        <v>16</v>
      </c>
      <c r="AC41" s="1">
        <f t="shared" ca="1" si="0"/>
        <v>7.9145624940529527E-2</v>
      </c>
      <c r="AD41" s="1">
        <v>92.823939306679222</v>
      </c>
      <c r="AE41" s="1">
        <v>64.280294553756448</v>
      </c>
    </row>
    <row r="42" spans="1:31" x14ac:dyDescent="0.25">
      <c r="A42" s="1" t="s">
        <v>27</v>
      </c>
      <c r="V42" s="4">
        <v>0.05</v>
      </c>
      <c r="W42" s="1">
        <v>462.80099341323785</v>
      </c>
      <c r="Y42" s="4">
        <v>0.05</v>
      </c>
      <c r="Z42" s="1">
        <v>674.87312385271525</v>
      </c>
      <c r="AB42" s="1">
        <v>17</v>
      </c>
      <c r="AC42" s="1">
        <f t="shared" ca="1" si="0"/>
        <v>7.149094900683102E-2</v>
      </c>
      <c r="AD42" s="1">
        <v>188.72509005790971</v>
      </c>
      <c r="AE42" s="1">
        <v>217.64790877490032</v>
      </c>
    </row>
    <row r="43" spans="1:31" x14ac:dyDescent="0.25">
      <c r="A43" s="1" t="s">
        <v>28</v>
      </c>
      <c r="V43" s="4">
        <v>0.06</v>
      </c>
      <c r="W43" s="1">
        <v>426.53331273467347</v>
      </c>
      <c r="Y43" s="4">
        <v>0.06</v>
      </c>
      <c r="Z43" s="1">
        <v>612.82803925387998</v>
      </c>
      <c r="AB43" s="1">
        <v>18</v>
      </c>
      <c r="AC43" s="1">
        <f t="shared" ca="1" si="0"/>
        <v>2.9019682510185052E-2</v>
      </c>
      <c r="AD43" s="1">
        <v>556.60449300295568</v>
      </c>
      <c r="AE43" s="1">
        <v>837.4318047039842</v>
      </c>
    </row>
    <row r="44" spans="1:31" x14ac:dyDescent="0.25">
      <c r="A44" s="1" t="s">
        <v>29</v>
      </c>
      <c r="V44" s="4">
        <v>7.0000000000000007E-2</v>
      </c>
      <c r="W44" s="1">
        <v>391.23034864898591</v>
      </c>
      <c r="Y44" s="4">
        <v>7.0000000000000007E-2</v>
      </c>
      <c r="Z44" s="1">
        <v>552.87365423091251</v>
      </c>
      <c r="AB44" s="1">
        <v>19</v>
      </c>
      <c r="AC44" s="1">
        <f t="shared" ca="1" si="0"/>
        <v>0.15239897946570263</v>
      </c>
      <c r="AD44" s="1">
        <v>671.14340271569472</v>
      </c>
      <c r="AE44" s="1">
        <v>1039.8830654779986</v>
      </c>
    </row>
    <row r="45" spans="1:31" ht="16.5" x14ac:dyDescent="0.25">
      <c r="A45" s="1" t="s">
        <v>30</v>
      </c>
      <c r="G45" s="34" t="s">
        <v>167</v>
      </c>
      <c r="V45" s="4">
        <v>0.08</v>
      </c>
      <c r="W45" s="1">
        <v>356.85617029924288</v>
      </c>
      <c r="Y45" s="4">
        <v>0.08</v>
      </c>
      <c r="Z45" s="1">
        <v>494.91947365747092</v>
      </c>
      <c r="AB45" s="1">
        <v>20</v>
      </c>
      <c r="AC45" s="1">
        <f t="shared" ca="1" si="0"/>
        <v>0.17221971360584731</v>
      </c>
      <c r="AD45" s="1">
        <v>621.87149363327626</v>
      </c>
      <c r="AE45" s="1">
        <v>952.26984000905577</v>
      </c>
    </row>
    <row r="46" spans="1:31" ht="20.25" x14ac:dyDescent="0.25">
      <c r="A46" s="8" t="s">
        <v>60</v>
      </c>
      <c r="V46" s="4">
        <v>0.09</v>
      </c>
      <c r="W46" s="1">
        <v>323.37654214693248</v>
      </c>
      <c r="Y46" s="4">
        <v>0.09</v>
      </c>
      <c r="Z46" s="1">
        <v>438.87974709446644</v>
      </c>
      <c r="AB46" s="1">
        <v>21</v>
      </c>
      <c r="AC46" s="1">
        <f t="shared" ca="1" si="0"/>
        <v>0.17003608628841144</v>
      </c>
      <c r="AD46" s="1">
        <v>225.77786957538819</v>
      </c>
      <c r="AE46" s="1">
        <v>277.85077870292935</v>
      </c>
    </row>
    <row r="47" spans="1:31" x14ac:dyDescent="0.25">
      <c r="A47" s="9"/>
      <c r="V47" s="4">
        <v>0.1</v>
      </c>
      <c r="W47" s="1">
        <v>290.75882794891049</v>
      </c>
      <c r="Y47" s="4">
        <v>0.1</v>
      </c>
      <c r="Z47" s="1">
        <v>384.67317806160736</v>
      </c>
      <c r="AB47" s="1">
        <v>22</v>
      </c>
      <c r="AC47" s="1">
        <f t="shared" ca="1" si="0"/>
        <v>-3.2234094256460732E-2</v>
      </c>
      <c r="AD47" s="1">
        <v>576.71470323254471</v>
      </c>
      <c r="AE47" s="1">
        <v>872.66647351810798</v>
      </c>
    </row>
    <row r="48" spans="1:31" x14ac:dyDescent="0.25">
      <c r="A48" s="1" t="s">
        <v>31</v>
      </c>
      <c r="I48" s="34" t="s">
        <v>154</v>
      </c>
      <c r="J48" s="34" t="s">
        <v>157</v>
      </c>
      <c r="AB48" s="1">
        <v>23</v>
      </c>
      <c r="AC48" s="1">
        <f t="shared" ca="1" si="0"/>
        <v>0.11560740607814896</v>
      </c>
      <c r="AD48" s="1">
        <v>204.90021848323067</v>
      </c>
      <c r="AE48" s="1">
        <v>243.86507198112395</v>
      </c>
    </row>
    <row r="49" spans="1:31" x14ac:dyDescent="0.25">
      <c r="A49" s="1" t="s">
        <v>32</v>
      </c>
      <c r="I49" s="38">
        <f>IRR(Q27:T27)</f>
        <v>0.20230236270705038</v>
      </c>
      <c r="J49" s="38">
        <f>IRR(Q31:T31)</f>
        <v>0.18206828213395565</v>
      </c>
      <c r="AB49" s="1">
        <v>24</v>
      </c>
      <c r="AC49" s="1">
        <f t="shared" ca="1" si="0"/>
        <v>8.6288284773515814E-2</v>
      </c>
      <c r="AD49" s="1">
        <v>595.58757122461202</v>
      </c>
      <c r="AE49" s="1">
        <v>905.85469662723563</v>
      </c>
    </row>
    <row r="50" spans="1:31" ht="16.5" x14ac:dyDescent="0.25">
      <c r="A50" s="1" t="s">
        <v>33</v>
      </c>
      <c r="I50" s="35" t="s">
        <v>169</v>
      </c>
      <c r="AB50" s="1">
        <v>25</v>
      </c>
      <c r="AC50" s="1">
        <f t="shared" ca="1" si="0"/>
        <v>-5.7284997433294516E-3</v>
      </c>
      <c r="AD50" s="1">
        <v>432.1974759192758</v>
      </c>
      <c r="AE50" s="1">
        <v>622.4879738899549</v>
      </c>
    </row>
    <row r="51" spans="1:31" ht="16.5" x14ac:dyDescent="0.25">
      <c r="A51" s="1" t="s">
        <v>34</v>
      </c>
      <c r="I51" s="37" t="s">
        <v>170</v>
      </c>
      <c r="AB51" s="1">
        <v>26</v>
      </c>
      <c r="AC51" s="1">
        <f t="shared" ca="1" si="0"/>
        <v>0.22410549504911301</v>
      </c>
      <c r="AD51" s="1">
        <v>737.59736066733058</v>
      </c>
      <c r="AE51" s="1">
        <v>1159.2746369734741</v>
      </c>
    </row>
    <row r="52" spans="1:31" x14ac:dyDescent="0.25">
      <c r="A52" s="9"/>
      <c r="AB52" s="1">
        <v>27</v>
      </c>
      <c r="AC52" s="1">
        <f t="shared" ca="1" si="0"/>
        <v>7.6245995734443836E-2</v>
      </c>
      <c r="AD52" s="1">
        <v>233.2245145903471</v>
      </c>
      <c r="AE52" s="1">
        <v>290.01253410299159</v>
      </c>
    </row>
    <row r="53" spans="1:31" x14ac:dyDescent="0.25">
      <c r="A53" s="1" t="s">
        <v>35</v>
      </c>
      <c r="AB53" s="1">
        <v>28</v>
      </c>
      <c r="AC53" s="1">
        <f t="shared" ca="1" si="0"/>
        <v>0.11698485448972107</v>
      </c>
      <c r="AD53" s="1">
        <v>471.16087960388859</v>
      </c>
      <c r="AE53" s="1">
        <v>689.23921556960795</v>
      </c>
    </row>
    <row r="54" spans="1:31" x14ac:dyDescent="0.25">
      <c r="A54" s="1" t="s">
        <v>36</v>
      </c>
      <c r="AB54" s="1">
        <v>29</v>
      </c>
      <c r="AC54" s="1">
        <f t="shared" ca="1" si="0"/>
        <v>2.728236254757755E-2</v>
      </c>
      <c r="AD54" s="1">
        <v>295.23164283388724</v>
      </c>
      <c r="AE54" s="1">
        <v>392.08346170079949</v>
      </c>
    </row>
    <row r="55" spans="1:31" x14ac:dyDescent="0.25">
      <c r="A55" s="1" t="s">
        <v>37</v>
      </c>
      <c r="G55" s="1" t="s">
        <v>38</v>
      </c>
      <c r="AB55" s="1">
        <v>30</v>
      </c>
      <c r="AC55" s="1">
        <f t="shared" ca="1" si="0"/>
        <v>7.2606753055405551E-2</v>
      </c>
      <c r="AD55" s="1">
        <v>284.13707112652173</v>
      </c>
      <c r="AE55" s="1">
        <v>373.71613554199666</v>
      </c>
    </row>
    <row r="56" spans="1:31" x14ac:dyDescent="0.25">
      <c r="A56" s="1" t="s">
        <v>39</v>
      </c>
      <c r="AB56" s="1">
        <v>31</v>
      </c>
      <c r="AC56" s="1">
        <f t="shared" ca="1" si="0"/>
        <v>6.6724627215353383E-2</v>
      </c>
      <c r="AD56" s="1">
        <v>513.42568803218001</v>
      </c>
      <c r="AE56" s="1">
        <v>762.2347663807077</v>
      </c>
    </row>
    <row r="57" spans="1:31" x14ac:dyDescent="0.25">
      <c r="A57" s="1" t="s">
        <v>40</v>
      </c>
      <c r="AB57" s="1">
        <v>32</v>
      </c>
      <c r="AC57" s="1">
        <f t="shared" ca="1" si="0"/>
        <v>0.10972010447552948</v>
      </c>
      <c r="AD57" s="1">
        <v>19.633178382141296</v>
      </c>
      <c r="AE57" s="1">
        <v>-50.322833611950045</v>
      </c>
    </row>
    <row r="58" spans="1:31" x14ac:dyDescent="0.25">
      <c r="A58" s="1" t="s">
        <v>41</v>
      </c>
      <c r="N58" s="4" t="s">
        <v>155</v>
      </c>
      <c r="O58" s="38">
        <v>0.20230213300144947</v>
      </c>
      <c r="AB58" s="1">
        <v>33</v>
      </c>
      <c r="AC58" s="1">
        <f t="shared" ca="1" si="0"/>
        <v>3.4134702671283448E-2</v>
      </c>
      <c r="AD58" s="1">
        <v>375.11765017472044</v>
      </c>
      <c r="AE58" s="1">
        <v>525.65568408896343</v>
      </c>
    </row>
    <row r="59" spans="1:31" x14ac:dyDescent="0.25">
      <c r="A59" s="1" t="s">
        <v>42</v>
      </c>
      <c r="N59" s="4"/>
      <c r="O59" s="1">
        <v>0</v>
      </c>
      <c r="P59" s="1">
        <v>1</v>
      </c>
      <c r="Q59" s="1">
        <v>2</v>
      </c>
      <c r="R59" s="1">
        <v>3</v>
      </c>
      <c r="AB59" s="1">
        <v>34</v>
      </c>
      <c r="AC59" s="1">
        <f t="shared" ca="1" si="0"/>
        <v>5.0067602077809789E-2</v>
      </c>
      <c r="AD59" s="1">
        <v>560.74932454033569</v>
      </c>
      <c r="AE59" s="1">
        <v>844.68290431233254</v>
      </c>
    </row>
    <row r="60" spans="1:31" ht="20.25" x14ac:dyDescent="0.25">
      <c r="A60" s="8" t="s">
        <v>61</v>
      </c>
      <c r="N60" s="2" t="s">
        <v>4</v>
      </c>
      <c r="O60" s="1">
        <v>-2000</v>
      </c>
      <c r="P60" s="1">
        <v>1400</v>
      </c>
      <c r="Q60" s="1">
        <v>950</v>
      </c>
      <c r="R60" s="1">
        <v>310</v>
      </c>
      <c r="AB60" s="1">
        <v>35</v>
      </c>
      <c r="AC60" s="1">
        <f t="shared" ca="1" si="0"/>
        <v>5.9094053002104796E-2</v>
      </c>
      <c r="AD60" s="1">
        <v>663.85876658056759</v>
      </c>
      <c r="AE60" s="1">
        <v>1026.8806605980735</v>
      </c>
    </row>
    <row r="61" spans="1:31" x14ac:dyDescent="0.25">
      <c r="A61" s="1" t="s">
        <v>43</v>
      </c>
      <c r="N61" s="4"/>
      <c r="P61" s="1">
        <f>P60/(1+$O$58)^P59</f>
        <v>1164.4327674151371</v>
      </c>
      <c r="Q61" s="1">
        <f t="shared" ref="Q61:R61" si="3">Q60/(1+$O$58)^Q59</f>
        <v>657.19820731559753</v>
      </c>
      <c r="R61" s="1">
        <f t="shared" si="3"/>
        <v>178.36960109644974</v>
      </c>
      <c r="S61" s="1">
        <f>SUM(P61:R61)+O60</f>
        <v>5.7582718432058755E-4</v>
      </c>
      <c r="AB61" s="1">
        <v>36</v>
      </c>
      <c r="AC61" s="1">
        <f t="shared" ca="1" si="0"/>
        <v>0.12597179305332024</v>
      </c>
      <c r="AD61" s="1">
        <v>445.39582676185228</v>
      </c>
      <c r="AE61" s="1">
        <v>645.04033010451849</v>
      </c>
    </row>
    <row r="62" spans="1:31" x14ac:dyDescent="0.25">
      <c r="A62" s="1" t="s">
        <v>44</v>
      </c>
      <c r="N62" s="4"/>
      <c r="AB62" s="1">
        <v>37</v>
      </c>
      <c r="AC62" s="1">
        <f t="shared" ca="1" si="0"/>
        <v>5.2949671841986262E-2</v>
      </c>
      <c r="AD62" s="1">
        <v>369.39344700199354</v>
      </c>
      <c r="AE62" s="1">
        <v>516.0083933095575</v>
      </c>
    </row>
    <row r="63" spans="1:31" x14ac:dyDescent="0.25">
      <c r="A63" s="1" t="s">
        <v>45</v>
      </c>
      <c r="N63" s="4" t="s">
        <v>155</v>
      </c>
      <c r="O63" s="38">
        <v>0.18206827045721002</v>
      </c>
      <c r="AB63" s="1">
        <v>38</v>
      </c>
      <c r="AC63" s="1">
        <f t="shared" ca="1" si="0"/>
        <v>4.6100172310902132E-2</v>
      </c>
      <c r="AD63" s="1">
        <v>375.58826824935932</v>
      </c>
      <c r="AE63" s="1">
        <v>526.44935887676411</v>
      </c>
    </row>
    <row r="64" spans="1:31" x14ac:dyDescent="0.25">
      <c r="A64" s="1" t="s">
        <v>46</v>
      </c>
      <c r="D64" s="1" t="s">
        <v>47</v>
      </c>
      <c r="N64" s="2" t="s">
        <v>5</v>
      </c>
      <c r="O64" s="1">
        <v>-2000</v>
      </c>
      <c r="P64" s="1">
        <v>200</v>
      </c>
      <c r="Q64" s="1">
        <v>1120</v>
      </c>
      <c r="R64" s="1">
        <v>1700</v>
      </c>
      <c r="AB64" s="1">
        <v>39</v>
      </c>
      <c r="AC64" s="1">
        <f t="shared" ca="1" si="0"/>
        <v>7.1730390718176093E-2</v>
      </c>
      <c r="AD64" s="1">
        <v>525.08782229400504</v>
      </c>
      <c r="AE64" s="1">
        <v>782.48302555107966</v>
      </c>
    </row>
    <row r="65" spans="1:31" x14ac:dyDescent="0.25">
      <c r="A65" s="1" t="s">
        <v>48</v>
      </c>
      <c r="D65" s="1" t="s">
        <v>49</v>
      </c>
      <c r="N65" s="4"/>
      <c r="P65" s="1">
        <f>P64/(1+$O$63)^P59</f>
        <v>169.19496529810613</v>
      </c>
      <c r="Q65" s="1">
        <f t="shared" ref="Q65:R65" si="4">Q64/(1+$O$63)^Q59</f>
        <v>801.55421590236551</v>
      </c>
      <c r="R65" s="1">
        <f t="shared" si="4"/>
        <v>1029.2508668082919</v>
      </c>
      <c r="S65" s="1">
        <f>SUM(P65:R65)+O64</f>
        <v>4.8008763542384258E-5</v>
      </c>
      <c r="AB65" s="1">
        <v>40</v>
      </c>
      <c r="AC65" s="1">
        <f t="shared" ca="1" si="0"/>
        <v>3.9480694683205766E-2</v>
      </c>
      <c r="AD65" s="1">
        <v>357.28299353454759</v>
      </c>
      <c r="AE65" s="1">
        <v>495.63650889808787</v>
      </c>
    </row>
    <row r="66" spans="1:31" x14ac:dyDescent="0.25">
      <c r="A66" s="1" t="s">
        <v>50</v>
      </c>
      <c r="D66" s="1" t="s">
        <v>51</v>
      </c>
      <c r="AB66" s="1">
        <v>41</v>
      </c>
      <c r="AC66" s="1">
        <f t="shared" ca="1" si="0"/>
        <v>0.1827915403740964</v>
      </c>
      <c r="AD66" s="1">
        <v>406.97738872408581</v>
      </c>
      <c r="AE66" s="1">
        <v>579.56253438918611</v>
      </c>
    </row>
    <row r="67" spans="1:31" x14ac:dyDescent="0.25">
      <c r="A67" s="1" t="s">
        <v>52</v>
      </c>
      <c r="D67" s="1" t="s">
        <v>53</v>
      </c>
      <c r="AB67" s="1">
        <v>42</v>
      </c>
      <c r="AC67" s="1">
        <f t="shared" ca="1" si="0"/>
        <v>0.16654807506498226</v>
      </c>
      <c r="AD67" s="1">
        <v>348.88014484132827</v>
      </c>
      <c r="AE67" s="1">
        <v>481.53226834484849</v>
      </c>
    </row>
    <row r="68" spans="1:31" x14ac:dyDescent="0.25">
      <c r="AB68" s="1">
        <v>43</v>
      </c>
      <c r="AC68" s="1">
        <f t="shared" ca="1" si="0"/>
        <v>8.075449254012744E-2</v>
      </c>
      <c r="AD68" s="1">
        <v>154.10738229543267</v>
      </c>
      <c r="AE68" s="1">
        <v>161.87465438732488</v>
      </c>
    </row>
    <row r="69" spans="1:31" x14ac:dyDescent="0.25">
      <c r="A69" s="1" t="s">
        <v>54</v>
      </c>
      <c r="AB69" s="1">
        <v>44</v>
      </c>
      <c r="AC69" s="1">
        <f t="shared" ca="1" si="0"/>
        <v>6.9461303152184531E-2</v>
      </c>
      <c r="AD69" s="1">
        <v>602.47225315818741</v>
      </c>
      <c r="AE69" s="1">
        <v>917.99063515855869</v>
      </c>
    </row>
    <row r="70" spans="1:31" x14ac:dyDescent="0.25">
      <c r="A70" s="1" t="s">
        <v>55</v>
      </c>
      <c r="AB70" s="1">
        <v>45</v>
      </c>
      <c r="AC70" s="1">
        <f t="shared" ca="1" si="0"/>
        <v>2.3653229175204599E-2</v>
      </c>
      <c r="AD70" s="1">
        <v>282.39572257865848</v>
      </c>
      <c r="AE70" s="1">
        <v>370.8373960573299</v>
      </c>
    </row>
    <row r="71" spans="1:31" x14ac:dyDescent="0.25">
      <c r="A71" s="1" t="s">
        <v>56</v>
      </c>
      <c r="AB71" s="1">
        <v>46</v>
      </c>
      <c r="AC71" s="1">
        <f t="shared" ca="1" si="0"/>
        <v>0.10834927836567139</v>
      </c>
      <c r="AD71" s="1">
        <v>307.8881406814462</v>
      </c>
      <c r="AE71" s="1">
        <v>413.09161262085308</v>
      </c>
    </row>
    <row r="72" spans="1:31" x14ac:dyDescent="0.25">
      <c r="AB72" s="1">
        <v>47</v>
      </c>
      <c r="AC72" s="1">
        <f t="shared" ca="1" si="0"/>
        <v>4.7085128941080474E-2</v>
      </c>
      <c r="AD72" s="1">
        <v>369.18829873591358</v>
      </c>
      <c r="AE72" s="1">
        <v>515.66286288659148</v>
      </c>
    </row>
    <row r="73" spans="1:31" x14ac:dyDescent="0.25">
      <c r="AB73" s="1">
        <v>48</v>
      </c>
      <c r="AC73" s="1">
        <f t="shared" ca="1" si="0"/>
        <v>-4.3556300663202818E-5</v>
      </c>
      <c r="AD73" s="1">
        <v>236.96151588574367</v>
      </c>
      <c r="AE73" s="1">
        <v>296.12359083493766</v>
      </c>
    </row>
    <row r="74" spans="1:31" x14ac:dyDescent="0.25">
      <c r="A74" s="1" t="s">
        <v>57</v>
      </c>
      <c r="AB74" s="1">
        <v>49</v>
      </c>
      <c r="AC74" s="1">
        <f t="shared" ca="1" si="0"/>
        <v>0.17187093501057038</v>
      </c>
      <c r="AD74" s="1">
        <v>572.6603693492425</v>
      </c>
      <c r="AE74" s="1">
        <v>865.55218483365843</v>
      </c>
    </row>
    <row r="75" spans="1:31" x14ac:dyDescent="0.25">
      <c r="E75" s="1">
        <v>9</v>
      </c>
      <c r="J75" s="1">
        <v>0</v>
      </c>
      <c r="K75" s="1">
        <v>1</v>
      </c>
      <c r="L75" s="1">
        <v>2</v>
      </c>
      <c r="M75" s="1">
        <v>3</v>
      </c>
      <c r="AB75" s="1">
        <v>50</v>
      </c>
      <c r="AC75" s="1">
        <f t="shared" ca="1" si="0"/>
        <v>5.7206140126987576E-2</v>
      </c>
      <c r="AD75" s="1">
        <v>181.86512495640181</v>
      </c>
      <c r="AE75" s="1">
        <v>206.55916568648172</v>
      </c>
    </row>
    <row r="76" spans="1:31" x14ac:dyDescent="0.25">
      <c r="A76" s="1" t="s">
        <v>46</v>
      </c>
      <c r="D76" s="39">
        <f>E75/200</f>
        <v>4.4999999999999998E-2</v>
      </c>
      <c r="H76" s="2" t="s">
        <v>4</v>
      </c>
      <c r="J76" s="1">
        <f>-D78</f>
        <v>-1800</v>
      </c>
      <c r="K76" s="1">
        <f>D80</f>
        <v>1200</v>
      </c>
      <c r="L76" s="1">
        <v>950</v>
      </c>
      <c r="M76" s="1">
        <v>310</v>
      </c>
      <c r="AB76" s="1">
        <v>51</v>
      </c>
      <c r="AC76" s="1">
        <f t="shared" ca="1" si="0"/>
        <v>1.5946406193474649E-2</v>
      </c>
      <c r="AD76" s="1">
        <v>140.56907124902864</v>
      </c>
      <c r="AE76" s="1">
        <v>140.18854499470535</v>
      </c>
    </row>
    <row r="77" spans="1:31" x14ac:dyDescent="0.25">
      <c r="K77" s="1">
        <f>K76/(1+$D$76)^K75</f>
        <v>1148.3253588516748</v>
      </c>
      <c r="L77" s="1">
        <f t="shared" ref="L77:M77" si="5">L76/(1+$D$76)^L75</f>
        <v>869.94345367551125</v>
      </c>
      <c r="M77" s="1">
        <f t="shared" si="5"/>
        <v>271.6519472570219</v>
      </c>
      <c r="N77" s="1">
        <f>SUM(K77:M77)+J76</f>
        <v>489.9207597842078</v>
      </c>
      <c r="AB77" s="1">
        <v>52</v>
      </c>
      <c r="AC77" s="1">
        <f t="shared" ca="1" si="0"/>
        <v>2.6728366250641476E-2</v>
      </c>
      <c r="AD77" s="1">
        <v>90.244182099541376</v>
      </c>
      <c r="AE77" s="1">
        <v>60.204404717950638</v>
      </c>
    </row>
    <row r="78" spans="1:31" x14ac:dyDescent="0.25">
      <c r="A78" s="1" t="s">
        <v>48</v>
      </c>
      <c r="D78" s="1">
        <v>1800</v>
      </c>
      <c r="H78" s="2" t="s">
        <v>5</v>
      </c>
      <c r="J78" s="1">
        <f>-D78</f>
        <v>-1800</v>
      </c>
      <c r="K78" s="1">
        <v>200</v>
      </c>
      <c r="L78" s="1">
        <v>1120</v>
      </c>
      <c r="M78" s="1">
        <f>D82</f>
        <v>1400</v>
      </c>
      <c r="AB78" s="1">
        <v>53</v>
      </c>
      <c r="AC78" s="1">
        <f t="shared" ca="1" si="0"/>
        <v>0.11571616256617699</v>
      </c>
      <c r="AD78" s="1">
        <v>521.44709714650571</v>
      </c>
      <c r="AE78" s="1">
        <v>776.15693479805941</v>
      </c>
    </row>
    <row r="79" spans="1:31" x14ac:dyDescent="0.25">
      <c r="K79" s="1">
        <f>K78/(1+$D$76)^K75</f>
        <v>191.38755980861245</v>
      </c>
      <c r="L79" s="1">
        <f t="shared" ref="L79:M79" si="6">L78/(1+$D$76)^L75</f>
        <v>1025.6175453858659</v>
      </c>
      <c r="M79" s="1">
        <f t="shared" si="6"/>
        <v>1226.815245676873</v>
      </c>
      <c r="N79" s="1">
        <f>SUM(K79:M79)+J78</f>
        <v>643.82035087135137</v>
      </c>
      <c r="AB79" s="1">
        <v>54</v>
      </c>
      <c r="AC79" s="1">
        <f t="shared" ca="1" si="0"/>
        <v>0.12734820964670207</v>
      </c>
      <c r="AD79" s="1">
        <v>468.74837755331555</v>
      </c>
      <c r="AE79" s="1">
        <v>685.09097503490011</v>
      </c>
    </row>
    <row r="80" spans="1:31" x14ac:dyDescent="0.25">
      <c r="A80" s="1" t="s">
        <v>50</v>
      </c>
      <c r="D80" s="1">
        <v>1200</v>
      </c>
      <c r="AB80" s="1">
        <v>55</v>
      </c>
      <c r="AC80" s="1">
        <f t="shared" ca="1" si="0"/>
        <v>6.2592532239503285E-2</v>
      </c>
      <c r="AD80" s="1">
        <v>351.36233641784884</v>
      </c>
      <c r="AE80" s="1">
        <v>485.69601164063261</v>
      </c>
    </row>
    <row r="81" spans="1:31" x14ac:dyDescent="0.25">
      <c r="AB81" s="1">
        <v>56</v>
      </c>
      <c r="AC81" s="1">
        <f t="shared" ca="1" si="0"/>
        <v>2.9452970606979482E-2</v>
      </c>
      <c r="AD81" s="1">
        <v>487.13348809307445</v>
      </c>
      <c r="AE81" s="1">
        <v>716.75400776589549</v>
      </c>
    </row>
    <row r="82" spans="1:31" x14ac:dyDescent="0.25">
      <c r="A82" s="1" t="s">
        <v>52</v>
      </c>
      <c r="D82" s="1">
        <v>1400</v>
      </c>
      <c r="AB82" s="1">
        <v>57</v>
      </c>
      <c r="AC82" s="1">
        <f t="shared" ca="1" si="0"/>
        <v>0.19849869563085878</v>
      </c>
      <c r="AD82" s="1">
        <v>388.88648670241173</v>
      </c>
      <c r="AE82" s="1">
        <v>548.90863307972177</v>
      </c>
    </row>
    <row r="83" spans="1:31" x14ac:dyDescent="0.25">
      <c r="AB83" s="1">
        <v>58</v>
      </c>
      <c r="AC83" s="1">
        <f t="shared" ca="1" si="0"/>
        <v>1.4087056412677407E-2</v>
      </c>
      <c r="AD83" s="1">
        <v>215.52828396788391</v>
      </c>
      <c r="AE83" s="1">
        <v>261.14541544494296</v>
      </c>
    </row>
    <row r="84" spans="1:31" x14ac:dyDescent="0.25">
      <c r="AB84" s="1">
        <v>59</v>
      </c>
      <c r="AC84" s="1">
        <f t="shared" ca="1" si="0"/>
        <v>0.11835681186323932</v>
      </c>
      <c r="AD84" s="1">
        <v>440.31607901630332</v>
      </c>
      <c r="AE84" s="1">
        <v>636.35328274286076</v>
      </c>
    </row>
    <row r="85" spans="1:31" x14ac:dyDescent="0.25">
      <c r="AB85" s="1">
        <v>60</v>
      </c>
      <c r="AC85" s="1">
        <f t="shared" ca="1" si="0"/>
        <v>4.0952266547476593E-2</v>
      </c>
      <c r="AD85" s="1">
        <v>205.3637667939106</v>
      </c>
      <c r="AE85" s="1">
        <v>244.61787083273248</v>
      </c>
    </row>
    <row r="86" spans="1:31" x14ac:dyDescent="0.25">
      <c r="AB86" s="1">
        <v>61</v>
      </c>
      <c r="AC86" s="1">
        <f t="shared" ca="1" si="0"/>
        <v>0.15819944233493771</v>
      </c>
      <c r="AD86" s="1">
        <v>424.75410023230143</v>
      </c>
      <c r="AE86" s="1">
        <v>609.79599217174291</v>
      </c>
    </row>
    <row r="87" spans="1:31" x14ac:dyDescent="0.25">
      <c r="AB87" s="1">
        <v>62</v>
      </c>
      <c r="AC87" s="1">
        <f t="shared" ca="1" si="0"/>
        <v>5.2371277068646097E-2</v>
      </c>
      <c r="AD87" s="1">
        <v>640.79812802466449</v>
      </c>
      <c r="AE87" s="1">
        <v>985.83179936065289</v>
      </c>
    </row>
    <row r="88" spans="1:31" x14ac:dyDescent="0.25">
      <c r="AB88" s="1">
        <v>63</v>
      </c>
      <c r="AC88" s="1">
        <f t="shared" ca="1" si="0"/>
        <v>3.6895575389426179E-2</v>
      </c>
      <c r="AD88" s="1">
        <v>318.14227980122632</v>
      </c>
      <c r="AE88" s="1">
        <v>430.15497194207182</v>
      </c>
    </row>
    <row r="89" spans="1:31" x14ac:dyDescent="0.25">
      <c r="AB89" s="1">
        <v>64</v>
      </c>
      <c r="AC89" s="1">
        <f t="shared" ca="1" si="0"/>
        <v>8.859157866016161E-2</v>
      </c>
      <c r="AD89" s="1">
        <v>344.54318265913798</v>
      </c>
      <c r="AE89" s="1">
        <v>474.26255325250986</v>
      </c>
    </row>
    <row r="90" spans="1:31" x14ac:dyDescent="0.25">
      <c r="AB90" s="1">
        <v>65</v>
      </c>
      <c r="AC90" s="1">
        <f t="shared" ca="1" si="0"/>
        <v>6.9845101065271892E-2</v>
      </c>
      <c r="AD90" s="1">
        <v>294.56619782846155</v>
      </c>
      <c r="AE90" s="1">
        <v>390.9805293759191</v>
      </c>
    </row>
    <row r="91" spans="1:31" x14ac:dyDescent="0.25">
      <c r="AB91" s="1">
        <v>66</v>
      </c>
      <c r="AC91" s="1">
        <f t="shared" ref="AC91:AC125" ca="1" si="7">NORMINV(RAND(),0.07,0.05)</f>
        <v>3.4368408186642031E-2</v>
      </c>
      <c r="AD91" s="1">
        <v>733.29111580352946</v>
      </c>
      <c r="AE91" s="1">
        <v>1151.4958922430824</v>
      </c>
    </row>
    <row r="92" spans="1:31" x14ac:dyDescent="0.25">
      <c r="AB92" s="1">
        <v>67</v>
      </c>
      <c r="AC92" s="1">
        <f t="shared" ca="1" si="7"/>
        <v>0.11127095058135517</v>
      </c>
      <c r="AD92" s="1">
        <v>327.98885654158858</v>
      </c>
      <c r="AE92" s="1">
        <v>446.57604918020479</v>
      </c>
    </row>
    <row r="93" spans="1:31" x14ac:dyDescent="0.25">
      <c r="AB93" s="1">
        <v>68</v>
      </c>
      <c r="AC93" s="1">
        <f t="shared" ca="1" si="7"/>
        <v>8.9953220591435637E-2</v>
      </c>
      <c r="AD93" s="1">
        <v>422.03869101575356</v>
      </c>
      <c r="AE93" s="1">
        <v>605.17065304721291</v>
      </c>
    </row>
    <row r="94" spans="1:31" x14ac:dyDescent="0.25">
      <c r="AB94" s="1">
        <v>69</v>
      </c>
      <c r="AC94" s="1">
        <f t="shared" ca="1" si="7"/>
        <v>3.1374596560066886E-2</v>
      </c>
      <c r="AD94" s="1">
        <v>585.20706494857086</v>
      </c>
      <c r="AE94" s="1">
        <v>887.58591352570147</v>
      </c>
    </row>
    <row r="95" spans="1:31" x14ac:dyDescent="0.25">
      <c r="AB95" s="1">
        <v>70</v>
      </c>
      <c r="AC95" s="1">
        <f t="shared" ca="1" si="7"/>
        <v>3.3421754603414497E-2</v>
      </c>
      <c r="AD95" s="1">
        <v>489.06844909146457</v>
      </c>
      <c r="AE95" s="1">
        <v>720.09313402791668</v>
      </c>
    </row>
    <row r="96" spans="1:31" x14ac:dyDescent="0.25">
      <c r="AB96" s="1">
        <v>71</v>
      </c>
      <c r="AC96" s="1">
        <f t="shared" ca="1" si="7"/>
        <v>3.3411720332626481E-2</v>
      </c>
      <c r="AD96" s="1">
        <v>327.08970818268745</v>
      </c>
      <c r="AE96" s="1">
        <v>445.07508829063045</v>
      </c>
    </row>
    <row r="97" spans="28:31" x14ac:dyDescent="0.25">
      <c r="AB97" s="1">
        <v>72</v>
      </c>
      <c r="AC97" s="1">
        <f t="shared" ca="1" si="7"/>
        <v>9.1813748329592201E-2</v>
      </c>
      <c r="AD97" s="1">
        <v>366.50395444388823</v>
      </c>
      <c r="AE97" s="1">
        <v>511.14301355188218</v>
      </c>
    </row>
    <row r="98" spans="28:31" x14ac:dyDescent="0.25">
      <c r="AB98" s="1">
        <v>73</v>
      </c>
      <c r="AC98" s="1">
        <f t="shared" ca="1" si="7"/>
        <v>5.5995322145165831E-2</v>
      </c>
      <c r="AD98" s="1">
        <v>313.63148666683446</v>
      </c>
      <c r="AE98" s="1">
        <v>422.64409429466332</v>
      </c>
    </row>
    <row r="99" spans="28:31" x14ac:dyDescent="0.25">
      <c r="AB99" s="1">
        <v>74</v>
      </c>
      <c r="AC99" s="1">
        <f t="shared" ca="1" si="7"/>
        <v>0.12966171551701061</v>
      </c>
      <c r="AD99" s="1">
        <v>524.52807112414439</v>
      </c>
      <c r="AE99" s="1">
        <v>781.51011689795723</v>
      </c>
    </row>
    <row r="100" spans="28:31" x14ac:dyDescent="0.25">
      <c r="AB100" s="1">
        <v>75</v>
      </c>
      <c r="AC100" s="1">
        <f t="shared" ca="1" si="7"/>
        <v>3.9106609949042435E-2</v>
      </c>
      <c r="AD100" s="1">
        <v>364.08646582092524</v>
      </c>
      <c r="AE100" s="1">
        <v>507.07468870242019</v>
      </c>
    </row>
    <row r="101" spans="28:31" x14ac:dyDescent="0.25">
      <c r="AB101" s="1">
        <v>76</v>
      </c>
      <c r="AC101" s="1">
        <f t="shared" ca="1" si="7"/>
        <v>3.9665949199135297E-2</v>
      </c>
      <c r="AD101" s="1">
        <v>145.93309619443153</v>
      </c>
      <c r="AE101" s="1">
        <v>148.77231223051012</v>
      </c>
    </row>
    <row r="102" spans="28:31" x14ac:dyDescent="0.25">
      <c r="AB102" s="1">
        <v>77</v>
      </c>
      <c r="AC102" s="1">
        <f t="shared" ca="1" si="7"/>
        <v>-1.6593907146346232E-2</v>
      </c>
      <c r="AD102" s="1">
        <v>374.67562717780584</v>
      </c>
      <c r="AE102" s="1">
        <v>524.91030518506932</v>
      </c>
    </row>
    <row r="103" spans="28:31" x14ac:dyDescent="0.25">
      <c r="AB103" s="1">
        <v>78</v>
      </c>
      <c r="AC103" s="1">
        <f t="shared" ca="1" si="7"/>
        <v>0.10132609717631023</v>
      </c>
      <c r="AD103" s="1">
        <v>266.01127744771748</v>
      </c>
      <c r="AE103" s="1">
        <v>343.8059120197986</v>
      </c>
    </row>
    <row r="104" spans="28:31" x14ac:dyDescent="0.25">
      <c r="AB104" s="1">
        <v>79</v>
      </c>
      <c r="AC104" s="1">
        <f t="shared" ca="1" si="7"/>
        <v>5.4633488601863768E-2</v>
      </c>
      <c r="AD104" s="1">
        <v>394.15734851499565</v>
      </c>
      <c r="AE104" s="1">
        <v>557.82787128305245</v>
      </c>
    </row>
    <row r="105" spans="28:31" x14ac:dyDescent="0.25">
      <c r="AB105" s="1">
        <v>80</v>
      </c>
      <c r="AC105" s="1">
        <f t="shared" ca="1" si="7"/>
        <v>6.4088417637894649E-2</v>
      </c>
      <c r="AD105" s="1">
        <v>317.68974344912476</v>
      </c>
      <c r="AE105" s="1">
        <v>429.40112458312797</v>
      </c>
    </row>
    <row r="106" spans="28:31" x14ac:dyDescent="0.25">
      <c r="AB106" s="1">
        <v>81</v>
      </c>
      <c r="AC106" s="1">
        <f t="shared" ca="1" si="7"/>
        <v>0.10724220315360838</v>
      </c>
      <c r="AD106" s="1">
        <v>358.15261925580216</v>
      </c>
      <c r="AE106" s="1">
        <v>497.09762507600954</v>
      </c>
    </row>
    <row r="107" spans="28:31" x14ac:dyDescent="0.25">
      <c r="AB107" s="1">
        <v>82</v>
      </c>
      <c r="AC107" s="1">
        <f t="shared" ca="1" si="7"/>
        <v>4.7664581177998502E-2</v>
      </c>
      <c r="AD107" s="1">
        <v>136.62808777047394</v>
      </c>
      <c r="AE107" s="1">
        <v>133.88912435578141</v>
      </c>
    </row>
    <row r="108" spans="28:31" x14ac:dyDescent="0.25">
      <c r="AB108" s="1">
        <v>83</v>
      </c>
      <c r="AC108" s="1">
        <f t="shared" ca="1" si="7"/>
        <v>4.5465365070511236E-2</v>
      </c>
      <c r="AD108" s="1">
        <v>438.65842164823653</v>
      </c>
      <c r="AE108" s="1">
        <v>633.52040294417657</v>
      </c>
    </row>
    <row r="109" spans="28:31" x14ac:dyDescent="0.25">
      <c r="AB109" s="1">
        <v>84</v>
      </c>
      <c r="AC109" s="1">
        <f t="shared" ca="1" si="7"/>
        <v>0.10132086030553436</v>
      </c>
      <c r="AD109" s="1">
        <v>199.63623602534972</v>
      </c>
      <c r="AE109" s="1">
        <v>235.32212393791724</v>
      </c>
    </row>
    <row r="110" spans="28:31" x14ac:dyDescent="0.25">
      <c r="AB110" s="1">
        <v>85</v>
      </c>
      <c r="AC110" s="1">
        <f t="shared" ca="1" si="7"/>
        <v>9.3272462088767064E-2</v>
      </c>
      <c r="AD110" s="1">
        <v>428.47994018664349</v>
      </c>
      <c r="AE110" s="1">
        <v>616.14665072228718</v>
      </c>
    </row>
    <row r="111" spans="28:31" x14ac:dyDescent="0.25">
      <c r="AB111" s="1">
        <v>86</v>
      </c>
      <c r="AC111" s="1">
        <f t="shared" ca="1" si="7"/>
        <v>7.9689213052057895E-2</v>
      </c>
      <c r="AD111" s="1">
        <v>306.87361925828372</v>
      </c>
      <c r="AE111" s="1">
        <v>411.40548264322206</v>
      </c>
    </row>
    <row r="112" spans="28:31" x14ac:dyDescent="0.25">
      <c r="AB112" s="1">
        <v>87</v>
      </c>
      <c r="AC112" s="1">
        <f t="shared" ca="1" si="7"/>
        <v>4.5259134732030637E-2</v>
      </c>
      <c r="AD112" s="1">
        <v>473.07531955459081</v>
      </c>
      <c r="AE112" s="1">
        <v>692.53247042824796</v>
      </c>
    </row>
    <row r="113" spans="28:31" x14ac:dyDescent="0.25">
      <c r="AB113" s="1">
        <v>88</v>
      </c>
      <c r="AC113" s="1">
        <f t="shared" ca="1" si="7"/>
        <v>6.5436823957530726E-2</v>
      </c>
      <c r="AD113" s="1">
        <v>401.62261652036341</v>
      </c>
      <c r="AE113" s="1">
        <v>570.47720142575145</v>
      </c>
    </row>
    <row r="114" spans="28:31" x14ac:dyDescent="0.25">
      <c r="AB114" s="1">
        <v>89</v>
      </c>
      <c r="AC114" s="1">
        <f t="shared" ca="1" si="7"/>
        <v>0.1097948707156758</v>
      </c>
      <c r="AD114" s="1">
        <v>439.37291905662141</v>
      </c>
      <c r="AE114" s="1">
        <v>634.74133771082234</v>
      </c>
    </row>
    <row r="115" spans="28:31" x14ac:dyDescent="0.25">
      <c r="AB115" s="1">
        <v>90</v>
      </c>
      <c r="AC115" s="1">
        <f t="shared" ca="1" si="7"/>
        <v>6.3482732472901343E-3</v>
      </c>
      <c r="AD115" s="1">
        <v>399.85785976388934</v>
      </c>
      <c r="AE115" s="1">
        <v>567.48518353115196</v>
      </c>
    </row>
    <row r="116" spans="28:31" x14ac:dyDescent="0.25">
      <c r="AB116" s="1">
        <v>91</v>
      </c>
      <c r="AC116" s="1">
        <f t="shared" ca="1" si="7"/>
        <v>0.10849599087902323</v>
      </c>
      <c r="AD116" s="1">
        <v>394.05088284824069</v>
      </c>
      <c r="AE116" s="1">
        <v>557.64761534457011</v>
      </c>
    </row>
    <row r="117" spans="28:31" x14ac:dyDescent="0.25">
      <c r="AB117" s="1">
        <v>92</v>
      </c>
      <c r="AC117" s="1">
        <f t="shared" ca="1" si="7"/>
        <v>7.0715435188385828E-2</v>
      </c>
      <c r="AD117" s="1">
        <v>391.05531287978147</v>
      </c>
      <c r="AE117" s="1">
        <v>552.57748589797575</v>
      </c>
    </row>
    <row r="118" spans="28:31" x14ac:dyDescent="0.25">
      <c r="AB118" s="1">
        <v>93</v>
      </c>
      <c r="AC118" s="1">
        <f t="shared" ca="1" si="7"/>
        <v>5.3314483024130582E-2</v>
      </c>
      <c r="AD118" s="1">
        <v>315.19609640734052</v>
      </c>
      <c r="AE118" s="1">
        <v>425.24847338137533</v>
      </c>
    </row>
    <row r="119" spans="28:31" x14ac:dyDescent="0.25">
      <c r="AB119" s="1">
        <v>94</v>
      </c>
      <c r="AC119" s="1">
        <f t="shared" ca="1" si="7"/>
        <v>8.8692672340555265E-2</v>
      </c>
      <c r="AD119" s="1">
        <v>540.17401486744939</v>
      </c>
      <c r="AE119" s="1">
        <v>808.74409659242701</v>
      </c>
    </row>
    <row r="120" spans="28:31" x14ac:dyDescent="0.25">
      <c r="AB120" s="1">
        <v>95</v>
      </c>
      <c r="AC120" s="1">
        <f t="shared" ca="1" si="7"/>
        <v>7.6780291803433653E-2</v>
      </c>
      <c r="AD120" s="1">
        <v>434.21503864169472</v>
      </c>
      <c r="AE120" s="1">
        <v>625.93151844831436</v>
      </c>
    </row>
    <row r="121" spans="28:31" x14ac:dyDescent="0.25">
      <c r="AB121" s="1">
        <v>96</v>
      </c>
      <c r="AC121" s="1">
        <f t="shared" ca="1" si="7"/>
        <v>8.2442491339041829E-2</v>
      </c>
      <c r="AD121" s="1">
        <v>276.68711891638941</v>
      </c>
      <c r="AE121" s="1">
        <v>361.40795006757526</v>
      </c>
    </row>
    <row r="122" spans="28:31" x14ac:dyDescent="0.25">
      <c r="AB122" s="1">
        <v>97</v>
      </c>
      <c r="AC122" s="1">
        <f t="shared" ca="1" si="7"/>
        <v>8.3031237248387679E-2</v>
      </c>
      <c r="AD122" s="1">
        <v>592.33901429834532</v>
      </c>
      <c r="AE122" s="1">
        <v>900.13371512323056</v>
      </c>
    </row>
    <row r="123" spans="28:31" x14ac:dyDescent="0.25">
      <c r="AB123" s="1">
        <v>98</v>
      </c>
      <c r="AC123" s="1">
        <f t="shared" ca="1" si="7"/>
        <v>5.9596208306595989E-2</v>
      </c>
      <c r="AD123" s="1">
        <v>123.12068632614273</v>
      </c>
      <c r="AE123" s="1">
        <v>112.34432167324803</v>
      </c>
    </row>
    <row r="124" spans="28:31" x14ac:dyDescent="0.25">
      <c r="AB124" s="1">
        <v>99</v>
      </c>
      <c r="AC124" s="1">
        <f t="shared" ca="1" si="7"/>
        <v>3.9964529129983162E-2</v>
      </c>
      <c r="AD124" s="1">
        <v>336.30069146099595</v>
      </c>
      <c r="AE124" s="1">
        <v>460.46494045927193</v>
      </c>
    </row>
    <row r="125" spans="28:31" x14ac:dyDescent="0.25">
      <c r="AB125" s="1">
        <v>100</v>
      </c>
      <c r="AC125" s="1">
        <f t="shared" ca="1" si="7"/>
        <v>2.4237331654181481E-2</v>
      </c>
      <c r="AD125" s="1">
        <v>695.86865253016367</v>
      </c>
      <c r="AE125" s="1">
        <v>1084.1415172689262</v>
      </c>
    </row>
    <row r="127" spans="28:31" x14ac:dyDescent="0.25">
      <c r="AB127" s="1" t="s">
        <v>165</v>
      </c>
      <c r="AD127" s="1">
        <f>AVERAGE(AD26:AD125)</f>
        <v>391.92192593636338</v>
      </c>
      <c r="AE127" s="1">
        <f>AVERAGE(AE26:AE125)</f>
        <v>558.53916594346265</v>
      </c>
    </row>
    <row r="128" spans="28:31" x14ac:dyDescent="0.25">
      <c r="AB128" s="1" t="s">
        <v>166</v>
      </c>
      <c r="AD128" s="1">
        <f>_xlfn.STDEV.S(AD26:AD125)</f>
        <v>160.4922849311171</v>
      </c>
      <c r="AE128" s="1">
        <f>_xlfn.STDEV.S(AE26:AE125)</f>
        <v>272.040726090845</v>
      </c>
    </row>
  </sheetData>
  <mergeCells count="1">
    <mergeCell ref="A3:I9"/>
  </mergeCells>
  <phoneticPr fontId="3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9217" r:id="rId3" name="ScrollBar1">
          <controlPr defaultSize="0" autoLine="0" linkedCell="R24" r:id="rId4">
            <anchor moveWithCells="1">
              <from>
                <xdr:col>17</xdr:col>
                <xdr:colOff>19050</xdr:colOff>
                <xdr:row>24</xdr:row>
                <xdr:rowOff>28575</xdr:rowOff>
              </from>
              <to>
                <xdr:col>19</xdr:col>
                <xdr:colOff>19050</xdr:colOff>
                <xdr:row>25</xdr:row>
                <xdr:rowOff>19050</xdr:rowOff>
              </to>
            </anchor>
          </controlPr>
        </control>
      </mc:Choice>
      <mc:Fallback>
        <control shapeId="9217" r:id="rId3" name="ScrollBar1"/>
      </mc:Fallback>
    </mc:AlternateContent>
    <mc:AlternateContent xmlns:mc="http://schemas.openxmlformats.org/markup-compatibility/2006">
      <mc:Choice Requires="x14">
        <control shapeId="9218" r:id="rId5" name="ScrollBar2">
          <controlPr defaultSize="0" autoLine="0" linkedCell="E75" r:id="rId6">
            <anchor moveWithCells="1">
              <from>
                <xdr:col>4</xdr:col>
                <xdr:colOff>0</xdr:colOff>
                <xdr:row>75</xdr:row>
                <xdr:rowOff>19050</xdr:rowOff>
              </from>
              <to>
                <xdr:col>6</xdr:col>
                <xdr:colOff>19050</xdr:colOff>
                <xdr:row>76</xdr:row>
                <xdr:rowOff>38100</xdr:rowOff>
              </to>
            </anchor>
          </controlPr>
        </control>
      </mc:Choice>
      <mc:Fallback>
        <control shapeId="9218" r:id="rId5" name="ScrollBar2"/>
      </mc:Fallback>
    </mc:AlternateContent>
    <mc:AlternateContent xmlns:mc="http://schemas.openxmlformats.org/markup-compatibility/2006">
      <mc:Choice Requires="x14">
        <control shapeId="9219" r:id="rId7" name="ScrollBar3">
          <controlPr defaultSize="0" autoLine="0" linkedCell="D78" r:id="rId8">
            <anchor moveWithCells="1">
              <from>
                <xdr:col>4</xdr:col>
                <xdr:colOff>0</xdr:colOff>
                <xdr:row>77</xdr:row>
                <xdr:rowOff>38100</xdr:rowOff>
              </from>
              <to>
                <xdr:col>6</xdr:col>
                <xdr:colOff>19050</xdr:colOff>
                <xdr:row>78</xdr:row>
                <xdr:rowOff>57150</xdr:rowOff>
              </to>
            </anchor>
          </controlPr>
        </control>
      </mc:Choice>
      <mc:Fallback>
        <control shapeId="9219" r:id="rId7" name="ScrollBar3"/>
      </mc:Fallback>
    </mc:AlternateContent>
    <mc:AlternateContent xmlns:mc="http://schemas.openxmlformats.org/markup-compatibility/2006">
      <mc:Choice Requires="x14">
        <control shapeId="9220" r:id="rId9" name="ScrollBar4">
          <controlPr defaultSize="0" autoLine="0" linkedCell="D80" r:id="rId10">
            <anchor moveWithCells="1">
              <from>
                <xdr:col>4</xdr:col>
                <xdr:colOff>19050</xdr:colOff>
                <xdr:row>78</xdr:row>
                <xdr:rowOff>180975</xdr:rowOff>
              </from>
              <to>
                <xdr:col>6</xdr:col>
                <xdr:colOff>38100</xdr:colOff>
                <xdr:row>80</xdr:row>
                <xdr:rowOff>0</xdr:rowOff>
              </to>
            </anchor>
          </controlPr>
        </control>
      </mc:Choice>
      <mc:Fallback>
        <control shapeId="9220" r:id="rId9" name="ScrollBar4"/>
      </mc:Fallback>
    </mc:AlternateContent>
    <mc:AlternateContent xmlns:mc="http://schemas.openxmlformats.org/markup-compatibility/2006">
      <mc:Choice Requires="x14">
        <control shapeId="9221" r:id="rId11" name="ScrollBar5">
          <controlPr defaultSize="0" autoLine="0" linkedCell="D82" r:id="rId12">
            <anchor moveWithCells="1">
              <from>
                <xdr:col>4</xdr:col>
                <xdr:colOff>0</xdr:colOff>
                <xdr:row>80</xdr:row>
                <xdr:rowOff>171450</xdr:rowOff>
              </from>
              <to>
                <xdr:col>6</xdr:col>
                <xdr:colOff>19050</xdr:colOff>
                <xdr:row>82</xdr:row>
                <xdr:rowOff>19050</xdr:rowOff>
              </to>
            </anchor>
          </controlPr>
        </control>
      </mc:Choice>
      <mc:Fallback>
        <control shapeId="9221" r:id="rId11" name="ScrollBar5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47"/>
  <sheetViews>
    <sheetView topLeftCell="A16" workbookViewId="0">
      <selection activeCell="G43" sqref="G43"/>
    </sheetView>
  </sheetViews>
  <sheetFormatPr defaultRowHeight="15.75" x14ac:dyDescent="0.25"/>
  <cols>
    <col min="1" max="1" width="15.75" style="1" customWidth="1"/>
    <col min="2" max="16384" width="9" style="1"/>
  </cols>
  <sheetData>
    <row r="1" spans="1:1" x14ac:dyDescent="0.25">
      <c r="A1" s="1" t="s">
        <v>91</v>
      </c>
    </row>
    <row r="2" spans="1:1" x14ac:dyDescent="0.25">
      <c r="A2" s="1" t="s">
        <v>92</v>
      </c>
    </row>
    <row r="22" spans="1:4" x14ac:dyDescent="0.25">
      <c r="A22" s="1" t="s">
        <v>70</v>
      </c>
    </row>
    <row r="23" spans="1:4" x14ac:dyDescent="0.25">
      <c r="A23" s="1" t="s">
        <v>71</v>
      </c>
    </row>
    <row r="24" spans="1:4" x14ac:dyDescent="0.25">
      <c r="B24" s="1" t="s">
        <v>80</v>
      </c>
      <c r="C24" s="1" t="s">
        <v>79</v>
      </c>
      <c r="D24" s="1" t="s">
        <v>81</v>
      </c>
    </row>
    <row r="25" spans="1:4" x14ac:dyDescent="0.25">
      <c r="A25" s="1" t="s">
        <v>72</v>
      </c>
      <c r="B25" s="1">
        <v>50000</v>
      </c>
      <c r="C25" s="1">
        <v>50000</v>
      </c>
      <c r="D25" s="1">
        <v>50000</v>
      </c>
    </row>
    <row r="26" spans="1:4" x14ac:dyDescent="0.25">
      <c r="A26" s="1" t="s">
        <v>73</v>
      </c>
      <c r="B26" s="1">
        <v>30000</v>
      </c>
      <c r="C26" s="1">
        <v>30000</v>
      </c>
      <c r="D26" s="1">
        <v>30000</v>
      </c>
    </row>
    <row r="27" spans="1:4" x14ac:dyDescent="0.25">
      <c r="A27" s="1" t="s">
        <v>74</v>
      </c>
      <c r="B27" s="1">
        <v>5000</v>
      </c>
      <c r="C27" s="1">
        <v>5000</v>
      </c>
      <c r="D27" s="1">
        <v>5000</v>
      </c>
    </row>
    <row r="28" spans="1:4" x14ac:dyDescent="0.25">
      <c r="A28" s="1" t="s">
        <v>75</v>
      </c>
      <c r="B28" s="1">
        <v>7000</v>
      </c>
      <c r="C28" s="1">
        <v>7000</v>
      </c>
      <c r="D28" s="1">
        <v>7000</v>
      </c>
    </row>
    <row r="29" spans="1:4" x14ac:dyDescent="0.25">
      <c r="A29" s="1" t="s">
        <v>76</v>
      </c>
      <c r="B29" s="1">
        <f>B25-B26-B27-B28</f>
        <v>8000</v>
      </c>
      <c r="C29" s="1">
        <f t="shared" ref="C29:D29" si="0">C25-C26-C27-C28</f>
        <v>8000</v>
      </c>
      <c r="D29" s="1">
        <f t="shared" si="0"/>
        <v>8000</v>
      </c>
    </row>
    <row r="30" spans="1:4" x14ac:dyDescent="0.25">
      <c r="A30" s="1" t="s">
        <v>77</v>
      </c>
      <c r="B30" s="13">
        <f>B29*0.34</f>
        <v>2720</v>
      </c>
      <c r="C30" s="13">
        <f t="shared" ref="C30:D30" si="1">C29*0.34</f>
        <v>2720</v>
      </c>
      <c r="D30" s="13">
        <f t="shared" si="1"/>
        <v>2720</v>
      </c>
    </row>
    <row r="31" spans="1:4" ht="16.5" thickBot="1" x14ac:dyDescent="0.3">
      <c r="A31" s="1" t="s">
        <v>78</v>
      </c>
      <c r="B31" s="14">
        <f>B29-B30</f>
        <v>5280</v>
      </c>
      <c r="C31" s="14">
        <f t="shared" ref="C31:D31" si="2">C29-C30</f>
        <v>5280</v>
      </c>
      <c r="D31" s="14">
        <f t="shared" si="2"/>
        <v>5280</v>
      </c>
    </row>
    <row r="32" spans="1:4" ht="16.5" thickTop="1" x14ac:dyDescent="0.25"/>
    <row r="33" spans="1:7" x14ac:dyDescent="0.25">
      <c r="A33" s="1" t="s">
        <v>82</v>
      </c>
    </row>
    <row r="34" spans="1:7" x14ac:dyDescent="0.25">
      <c r="A34" s="1" t="s">
        <v>83</v>
      </c>
      <c r="B34" s="1">
        <f>B29+B28-B30</f>
        <v>12280</v>
      </c>
      <c r="C34" s="1">
        <f t="shared" ref="C34:D34" si="3">C29+C28-C30</f>
        <v>12280</v>
      </c>
      <c r="D34" s="1">
        <f t="shared" si="3"/>
        <v>12280</v>
      </c>
    </row>
    <row r="36" spans="1:7" x14ac:dyDescent="0.25">
      <c r="A36" s="1" t="s">
        <v>84</v>
      </c>
    </row>
    <row r="37" spans="1:7" x14ac:dyDescent="0.25">
      <c r="A37" s="1" t="s">
        <v>85</v>
      </c>
      <c r="B37" s="1">
        <v>0</v>
      </c>
      <c r="C37" s="1">
        <v>1</v>
      </c>
      <c r="D37" s="1">
        <v>2</v>
      </c>
      <c r="E37" s="1">
        <v>3</v>
      </c>
    </row>
    <row r="38" spans="1:7" x14ac:dyDescent="0.25">
      <c r="A38" s="1" t="s">
        <v>86</v>
      </c>
      <c r="C38" s="1">
        <v>12280</v>
      </c>
      <c r="D38" s="1">
        <v>12280</v>
      </c>
      <c r="E38" s="1">
        <v>12280</v>
      </c>
    </row>
    <row r="39" spans="1:7" x14ac:dyDescent="0.25">
      <c r="A39" s="1" t="s">
        <v>87</v>
      </c>
      <c r="B39" s="1">
        <v>-10000</v>
      </c>
      <c r="E39" s="1">
        <f>10000</f>
        <v>10000</v>
      </c>
    </row>
    <row r="40" spans="1:7" x14ac:dyDescent="0.25">
      <c r="A40" s="1" t="s">
        <v>88</v>
      </c>
      <c r="B40" s="1">
        <v>-21000</v>
      </c>
    </row>
    <row r="41" spans="1:7" x14ac:dyDescent="0.25">
      <c r="A41" s="1" t="s">
        <v>89</v>
      </c>
      <c r="B41" s="1">
        <f>SUM(B39:B40)</f>
        <v>-31000</v>
      </c>
      <c r="C41" s="1">
        <v>12280</v>
      </c>
      <c r="D41" s="1">
        <v>12280</v>
      </c>
      <c r="E41" s="1">
        <f>22280</f>
        <v>22280</v>
      </c>
    </row>
    <row r="42" spans="1:7" x14ac:dyDescent="0.25">
      <c r="C42" s="1">
        <f>B41+C41</f>
        <v>-18720</v>
      </c>
      <c r="D42" s="1">
        <f>C42+D41</f>
        <v>-6440</v>
      </c>
      <c r="E42" s="1">
        <f>D42+E41</f>
        <v>15840</v>
      </c>
      <c r="G42" s="1">
        <f>D37+D42/-E41</f>
        <v>2.289048473967684</v>
      </c>
    </row>
    <row r="43" spans="1:7" x14ac:dyDescent="0.25">
      <c r="C43" s="1">
        <f>C41/1.2^C37</f>
        <v>10233.333333333334</v>
      </c>
      <c r="D43" s="1">
        <f t="shared" ref="D43:E43" si="4">D41/1.2^D37</f>
        <v>8527.7777777777774</v>
      </c>
      <c r="E43" s="1">
        <f t="shared" si="4"/>
        <v>12893.518518518518</v>
      </c>
      <c r="F43" s="1">
        <f>SUM(C43:E43)+B41</f>
        <v>654.62962962962774</v>
      </c>
    </row>
    <row r="44" spans="1:7" x14ac:dyDescent="0.25">
      <c r="A44" s="1" t="s">
        <v>90</v>
      </c>
    </row>
    <row r="46" spans="1:7" x14ac:dyDescent="0.25">
      <c r="A46" s="1" t="s">
        <v>217</v>
      </c>
      <c r="B46" s="4">
        <f>IRR(B41:E41)</f>
        <v>0.2121144929638934</v>
      </c>
    </row>
    <row r="47" spans="1:7" x14ac:dyDescent="0.25">
      <c r="A47" s="1" t="s">
        <v>218</v>
      </c>
      <c r="B47" s="50">
        <f>NPV(0.2,C41:E41)+B41</f>
        <v>654.62962962963502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K50"/>
  <sheetViews>
    <sheetView topLeftCell="M1" workbookViewId="0">
      <selection activeCell="AE24" sqref="AE24"/>
    </sheetView>
  </sheetViews>
  <sheetFormatPr defaultRowHeight="16.5" x14ac:dyDescent="0.25"/>
  <sheetData>
    <row r="1" spans="1:34" x14ac:dyDescent="0.25">
      <c r="A1" t="s">
        <v>102</v>
      </c>
      <c r="M1" s="15"/>
      <c r="N1" s="15">
        <v>1101</v>
      </c>
      <c r="O1" s="15">
        <v>1439</v>
      </c>
      <c r="P1" s="15">
        <v>2539</v>
      </c>
      <c r="Q1" s="15">
        <v>3008</v>
      </c>
      <c r="R1" s="15">
        <v>8463</v>
      </c>
      <c r="S1" t="s">
        <v>98</v>
      </c>
      <c r="T1" t="s">
        <v>172</v>
      </c>
      <c r="V1" s="19" t="s">
        <v>93</v>
      </c>
      <c r="W1" s="19" t="s">
        <v>94</v>
      </c>
      <c r="X1" s="19" t="s">
        <v>95</v>
      </c>
      <c r="Y1" s="19" t="s">
        <v>96</v>
      </c>
      <c r="Z1" s="19" t="s">
        <v>97</v>
      </c>
    </row>
    <row r="2" spans="1:34" x14ac:dyDescent="0.25">
      <c r="A2" t="s">
        <v>103</v>
      </c>
      <c r="M2" s="16"/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99</v>
      </c>
      <c r="T2">
        <v>0.3</v>
      </c>
      <c r="V2" t="s">
        <v>200</v>
      </c>
      <c r="W2" s="19" t="s">
        <v>173</v>
      </c>
      <c r="X2" s="19" t="s">
        <v>173</v>
      </c>
      <c r="Y2" s="19" t="s">
        <v>173</v>
      </c>
      <c r="Z2" s="19" t="s">
        <v>173</v>
      </c>
      <c r="AA2" t="s">
        <v>201</v>
      </c>
    </row>
    <row r="3" spans="1:34" x14ac:dyDescent="0.25">
      <c r="A3" t="s">
        <v>100</v>
      </c>
      <c r="M3" s="17">
        <v>201511</v>
      </c>
      <c r="N3" s="18">
        <v>-18.6464</v>
      </c>
      <c r="O3" s="18">
        <v>-5.3638000000000003</v>
      </c>
      <c r="P3" s="18">
        <v>3.0975000000000001</v>
      </c>
      <c r="Q3" s="18">
        <v>-0.78900000000000003</v>
      </c>
      <c r="R3" s="18">
        <v>-7.2405999999999997</v>
      </c>
      <c r="S3">
        <v>-2.7296999999999998</v>
      </c>
      <c r="T3">
        <f>AVERAGE(S3:S50)</f>
        <v>0.9774999999999997</v>
      </c>
      <c r="V3">
        <f>N3-$T$2</f>
        <v>-18.946400000000001</v>
      </c>
      <c r="W3" s="19">
        <f t="shared" ref="W3:Z3" si="0">O3-$T$2</f>
        <v>-5.6638000000000002</v>
      </c>
      <c r="X3" s="19">
        <f t="shared" si="0"/>
        <v>2.7975000000000003</v>
      </c>
      <c r="Y3" s="19">
        <f t="shared" si="0"/>
        <v>-1.089</v>
      </c>
      <c r="Z3" s="19">
        <f t="shared" si="0"/>
        <v>-7.5405999999999995</v>
      </c>
      <c r="AA3" s="19">
        <f>S3-$T$2</f>
        <v>-3.0296999999999996</v>
      </c>
      <c r="AC3" t="s">
        <v>174</v>
      </c>
      <c r="AE3" t="s">
        <v>199</v>
      </c>
    </row>
    <row r="4" spans="1:34" ht="17.25" thickBot="1" x14ac:dyDescent="0.3">
      <c r="A4" t="s">
        <v>101</v>
      </c>
      <c r="M4" s="17">
        <v>201512</v>
      </c>
      <c r="N4" s="18">
        <v>-7.3003</v>
      </c>
      <c r="O4" s="18">
        <v>8.9072999999999993</v>
      </c>
      <c r="P4" s="18">
        <v>7.2961999999999998</v>
      </c>
      <c r="Q4" s="18">
        <v>-9.7416999999999998</v>
      </c>
      <c r="R4" s="18">
        <v>2.9535999999999998</v>
      </c>
      <c r="S4">
        <v>0.20960000000000001</v>
      </c>
      <c r="V4" s="19">
        <f t="shared" ref="V4:V50" si="1">N4-$T$2</f>
        <v>-7.6002999999999998</v>
      </c>
      <c r="W4" s="19">
        <f t="shared" ref="W4:W50" si="2">O4-$T$2</f>
        <v>8.6072999999999986</v>
      </c>
      <c r="X4" s="19">
        <f t="shared" ref="X4:X50" si="3">P4-$T$2</f>
        <v>6.9962</v>
      </c>
      <c r="Y4" s="19">
        <f t="shared" ref="Y4:Y50" si="4">Q4-$T$2</f>
        <v>-10.041700000000001</v>
      </c>
      <c r="Z4" s="19">
        <f t="shared" ref="Z4:Z50" si="5">R4-$T$2</f>
        <v>2.6536</v>
      </c>
      <c r="AA4" s="19">
        <f t="shared" ref="AA4:AA50" si="6">S4-$T$2</f>
        <v>-9.039999999999998E-2</v>
      </c>
    </row>
    <row r="5" spans="1:34" x14ac:dyDescent="0.25">
      <c r="A5" t="s">
        <v>104</v>
      </c>
      <c r="M5" s="17">
        <v>201601</v>
      </c>
      <c r="N5" s="18">
        <v>-2.0000000000000001E-4</v>
      </c>
      <c r="O5" s="18">
        <v>-1.1152</v>
      </c>
      <c r="P5" s="18">
        <v>-1</v>
      </c>
      <c r="Q5" s="18">
        <v>10.132300000000001</v>
      </c>
      <c r="R5" s="18">
        <v>-12.09</v>
      </c>
      <c r="S5">
        <v>-2.3129</v>
      </c>
      <c r="V5" s="19">
        <f t="shared" si="1"/>
        <v>-0.30019999999999997</v>
      </c>
      <c r="W5" s="19">
        <f t="shared" si="2"/>
        <v>-1.4152</v>
      </c>
      <c r="X5" s="19">
        <f t="shared" si="3"/>
        <v>-1.3</v>
      </c>
      <c r="Y5" s="19">
        <f t="shared" si="4"/>
        <v>9.8323</v>
      </c>
      <c r="Z5" s="19">
        <f t="shared" si="5"/>
        <v>-12.39</v>
      </c>
      <c r="AA5" s="19">
        <f t="shared" si="6"/>
        <v>-2.6128999999999998</v>
      </c>
      <c r="AC5" s="43" t="s">
        <v>175</v>
      </c>
      <c r="AD5" s="43"/>
    </row>
    <row r="6" spans="1:34" x14ac:dyDescent="0.25">
      <c r="A6" t="s">
        <v>105</v>
      </c>
      <c r="M6" s="17">
        <v>201602</v>
      </c>
      <c r="N6" s="18">
        <v>9.89</v>
      </c>
      <c r="O6" s="18">
        <v>-0.376</v>
      </c>
      <c r="P6" s="18">
        <v>-0.60609999999999997</v>
      </c>
      <c r="Q6" s="18">
        <v>1.4</v>
      </c>
      <c r="R6" s="18">
        <v>3.9628000000000001</v>
      </c>
      <c r="S6">
        <v>3.2650999999999999</v>
      </c>
      <c r="V6" s="19">
        <f t="shared" si="1"/>
        <v>9.59</v>
      </c>
      <c r="W6" s="19">
        <f t="shared" si="2"/>
        <v>-0.67599999999999993</v>
      </c>
      <c r="X6" s="19">
        <f t="shared" si="3"/>
        <v>-0.90609999999999991</v>
      </c>
      <c r="Y6" s="19">
        <f t="shared" si="4"/>
        <v>1.0999999999999999</v>
      </c>
      <c r="Z6" s="19">
        <f t="shared" si="5"/>
        <v>3.6628000000000003</v>
      </c>
      <c r="AA6" s="19">
        <f t="shared" si="6"/>
        <v>2.9651000000000001</v>
      </c>
      <c r="AC6" s="40" t="s">
        <v>176</v>
      </c>
      <c r="AD6" s="40">
        <v>0.48358923192467718</v>
      </c>
    </row>
    <row r="7" spans="1:34" ht="19.5" x14ac:dyDescent="0.25">
      <c r="A7" t="s">
        <v>106</v>
      </c>
      <c r="M7" s="17">
        <v>201603</v>
      </c>
      <c r="N7" s="18">
        <v>4.9997999999999996</v>
      </c>
      <c r="O7" s="18">
        <v>3.3963000000000001</v>
      </c>
      <c r="P7" s="18">
        <v>24.39</v>
      </c>
      <c r="Q7" s="18">
        <v>-1.5779000000000001</v>
      </c>
      <c r="R7" s="18">
        <v>-4.2603</v>
      </c>
      <c r="S7">
        <v>3.9670000000000001</v>
      </c>
      <c r="V7" s="19">
        <f t="shared" si="1"/>
        <v>4.6997999999999998</v>
      </c>
      <c r="W7" s="19">
        <f t="shared" si="2"/>
        <v>3.0963000000000003</v>
      </c>
      <c r="X7" s="19">
        <f t="shared" si="3"/>
        <v>24.09</v>
      </c>
      <c r="Y7" s="19">
        <f t="shared" si="4"/>
        <v>-1.8779000000000001</v>
      </c>
      <c r="Z7" s="19">
        <f t="shared" si="5"/>
        <v>-4.5602999999999998</v>
      </c>
      <c r="AA7" s="19">
        <f t="shared" si="6"/>
        <v>3.6670000000000003</v>
      </c>
      <c r="AC7" s="40" t="s">
        <v>177</v>
      </c>
      <c r="AD7" s="40">
        <v>0.23385854523349919</v>
      </c>
    </row>
    <row r="8" spans="1:34" x14ac:dyDescent="0.25">
      <c r="A8" t="s">
        <v>107</v>
      </c>
      <c r="M8" s="17">
        <v>201604</v>
      </c>
      <c r="N8" s="18">
        <v>4.4446000000000003</v>
      </c>
      <c r="O8" s="18">
        <v>-2.5548999999999999</v>
      </c>
      <c r="P8" s="18">
        <v>-5.8822999999999999</v>
      </c>
      <c r="Q8" s="18">
        <v>-9.0178999999999991</v>
      </c>
      <c r="R8" s="18">
        <v>-4.4497</v>
      </c>
      <c r="S8">
        <v>-4.1959999999999997</v>
      </c>
      <c r="V8" s="19">
        <f t="shared" si="1"/>
        <v>4.1446000000000005</v>
      </c>
      <c r="W8" s="19">
        <f t="shared" si="2"/>
        <v>-2.8548999999999998</v>
      </c>
      <c r="X8" s="19">
        <f t="shared" si="3"/>
        <v>-6.1822999999999997</v>
      </c>
      <c r="Y8" s="19">
        <f t="shared" si="4"/>
        <v>-9.3178999999999998</v>
      </c>
      <c r="Z8" s="19">
        <f t="shared" si="5"/>
        <v>-4.7496999999999998</v>
      </c>
      <c r="AA8" s="19">
        <f t="shared" si="6"/>
        <v>-4.4959999999999996</v>
      </c>
      <c r="AC8" s="40" t="s">
        <v>178</v>
      </c>
      <c r="AD8" s="40">
        <v>0.21720329621683612</v>
      </c>
    </row>
    <row r="9" spans="1:34" x14ac:dyDescent="0.25">
      <c r="A9" t="s">
        <v>108</v>
      </c>
      <c r="M9" s="17">
        <v>201605</v>
      </c>
      <c r="N9" s="18">
        <v>-8.6625999999999994</v>
      </c>
      <c r="O9" s="18">
        <v>-1.1238999999999999</v>
      </c>
      <c r="P9" s="18">
        <v>2.7776999999999998</v>
      </c>
      <c r="Q9" s="18">
        <v>19.823799999999999</v>
      </c>
      <c r="R9" s="18">
        <v>-8.3335000000000008</v>
      </c>
      <c r="S9">
        <v>1.8888</v>
      </c>
      <c r="V9" s="19">
        <f t="shared" si="1"/>
        <v>-8.9626000000000001</v>
      </c>
      <c r="W9" s="19">
        <f t="shared" si="2"/>
        <v>-1.4238999999999999</v>
      </c>
      <c r="X9" s="19">
        <f t="shared" si="3"/>
        <v>2.4777</v>
      </c>
      <c r="Y9" s="19">
        <f t="shared" si="4"/>
        <v>19.523799999999998</v>
      </c>
      <c r="Z9" s="19">
        <f t="shared" si="5"/>
        <v>-8.6335000000000015</v>
      </c>
      <c r="AA9" s="19">
        <f t="shared" si="6"/>
        <v>1.5888</v>
      </c>
      <c r="AC9" s="40" t="s">
        <v>179</v>
      </c>
      <c r="AD9" s="40">
        <v>5.3454378911939049</v>
      </c>
      <c r="AF9" t="s">
        <v>220</v>
      </c>
    </row>
    <row r="10" spans="1:34" ht="17.25" thickBot="1" x14ac:dyDescent="0.3">
      <c r="M10" s="17">
        <v>201606</v>
      </c>
      <c r="N10" s="18">
        <v>6.6553000000000004</v>
      </c>
      <c r="O10" s="18">
        <v>-1.5149999999999999</v>
      </c>
      <c r="P10" s="18">
        <v>-0.67569999999999997</v>
      </c>
      <c r="Q10" s="18">
        <v>8.2719000000000005</v>
      </c>
      <c r="R10" s="18">
        <v>1.6043000000000001</v>
      </c>
      <c r="S10">
        <v>2.6476999999999999</v>
      </c>
      <c r="V10" s="19">
        <f t="shared" si="1"/>
        <v>6.3553000000000006</v>
      </c>
      <c r="W10" s="19">
        <f t="shared" si="2"/>
        <v>-1.8149999999999999</v>
      </c>
      <c r="X10" s="19">
        <f t="shared" si="3"/>
        <v>-0.97570000000000001</v>
      </c>
      <c r="Y10" s="19">
        <f t="shared" si="4"/>
        <v>7.9719000000000007</v>
      </c>
      <c r="Z10" s="19">
        <f t="shared" si="5"/>
        <v>1.3043</v>
      </c>
      <c r="AA10" s="19">
        <f t="shared" si="6"/>
        <v>2.3477000000000001</v>
      </c>
      <c r="AC10" s="41" t="s">
        <v>180</v>
      </c>
      <c r="AD10" s="41">
        <v>48</v>
      </c>
    </row>
    <row r="11" spans="1:34" x14ac:dyDescent="0.25">
      <c r="A11" s="44" t="s">
        <v>198</v>
      </c>
      <c r="M11" s="17">
        <v>201607</v>
      </c>
      <c r="N11" s="18">
        <v>9.8977000000000004</v>
      </c>
      <c r="O11" s="18">
        <v>17.3279</v>
      </c>
      <c r="P11" s="18">
        <v>2.3811</v>
      </c>
      <c r="Q11" s="18">
        <v>16.129200000000001</v>
      </c>
      <c r="R11" s="18">
        <v>-0.27779999999999999</v>
      </c>
      <c r="S11">
        <v>5.4287000000000001</v>
      </c>
      <c r="V11" s="19">
        <f t="shared" si="1"/>
        <v>9.5976999999999997</v>
      </c>
      <c r="W11" s="19">
        <f t="shared" si="2"/>
        <v>17.027899999999999</v>
      </c>
      <c r="X11" s="19">
        <f t="shared" si="3"/>
        <v>2.0811000000000002</v>
      </c>
      <c r="Y11" s="19">
        <f t="shared" si="4"/>
        <v>15.8292</v>
      </c>
      <c r="Z11" s="19">
        <f t="shared" si="5"/>
        <v>-0.57779999999999998</v>
      </c>
      <c r="AA11" s="19">
        <f t="shared" si="6"/>
        <v>5.1287000000000003</v>
      </c>
    </row>
    <row r="12" spans="1:34" ht="17.25" thickBot="1" x14ac:dyDescent="0.3">
      <c r="M12" s="17">
        <v>201608</v>
      </c>
      <c r="N12" s="18">
        <v>6.9321000000000002</v>
      </c>
      <c r="O12" s="18">
        <v>0.68030000000000002</v>
      </c>
      <c r="P12" s="18">
        <v>3.7503000000000002</v>
      </c>
      <c r="Q12" s="18">
        <v>5.9020999999999999</v>
      </c>
      <c r="R12" s="18">
        <v>-2.7856999999999998</v>
      </c>
      <c r="S12">
        <v>1.8928</v>
      </c>
      <c r="V12" s="19">
        <f t="shared" si="1"/>
        <v>6.6321000000000003</v>
      </c>
      <c r="W12" s="19">
        <f t="shared" si="2"/>
        <v>0.38030000000000003</v>
      </c>
      <c r="X12" s="19">
        <f t="shared" si="3"/>
        <v>3.4503000000000004</v>
      </c>
      <c r="Y12" s="19">
        <f t="shared" si="4"/>
        <v>5.6021000000000001</v>
      </c>
      <c r="Z12" s="19">
        <f t="shared" si="5"/>
        <v>-3.0856999999999997</v>
      </c>
      <c r="AA12" s="19">
        <f t="shared" si="6"/>
        <v>1.5928</v>
      </c>
      <c r="AC12" t="s">
        <v>181</v>
      </c>
    </row>
    <row r="13" spans="1:34" x14ac:dyDescent="0.25">
      <c r="M13" s="17">
        <v>201609</v>
      </c>
      <c r="N13" s="18">
        <v>-1.6551</v>
      </c>
      <c r="O13" s="18">
        <v>29.729600000000001</v>
      </c>
      <c r="P13" s="18">
        <v>-0.79679999999999995</v>
      </c>
      <c r="Q13" s="18">
        <v>6.1797000000000004</v>
      </c>
      <c r="R13" s="18">
        <v>1.7193000000000001</v>
      </c>
      <c r="S13">
        <v>1.4149</v>
      </c>
      <c r="V13" s="19">
        <f t="shared" si="1"/>
        <v>-1.9551000000000001</v>
      </c>
      <c r="W13" s="19">
        <f t="shared" si="2"/>
        <v>29.429600000000001</v>
      </c>
      <c r="X13" s="19">
        <f t="shared" si="3"/>
        <v>-1.0968</v>
      </c>
      <c r="Y13" s="19">
        <f t="shared" si="4"/>
        <v>5.8797000000000006</v>
      </c>
      <c r="Z13" s="19">
        <f t="shared" si="5"/>
        <v>1.4193</v>
      </c>
      <c r="AA13" s="19">
        <f t="shared" si="6"/>
        <v>1.1149</v>
      </c>
      <c r="AC13" s="42"/>
      <c r="AD13" s="42" t="s">
        <v>185</v>
      </c>
      <c r="AE13" s="42" t="s">
        <v>186</v>
      </c>
      <c r="AF13" s="42" t="s">
        <v>187</v>
      </c>
      <c r="AG13" s="42" t="s">
        <v>188</v>
      </c>
      <c r="AH13" s="42" t="s">
        <v>189</v>
      </c>
    </row>
    <row r="14" spans="1:34" x14ac:dyDescent="0.25">
      <c r="M14" s="17">
        <v>201610</v>
      </c>
      <c r="N14" s="18">
        <v>6.1711999999999998</v>
      </c>
      <c r="O14" s="18">
        <v>-14.0626</v>
      </c>
      <c r="P14" s="18">
        <v>-0.20080000000000001</v>
      </c>
      <c r="Q14" s="18">
        <v>-1.1902999999999999</v>
      </c>
      <c r="R14" s="18">
        <v>-6.4790000000000001</v>
      </c>
      <c r="S14">
        <v>1.3533999999999999</v>
      </c>
      <c r="V14" s="19">
        <f t="shared" si="1"/>
        <v>5.8712</v>
      </c>
      <c r="W14" s="19">
        <f t="shared" si="2"/>
        <v>-14.3626</v>
      </c>
      <c r="X14" s="19">
        <f t="shared" si="3"/>
        <v>-0.50080000000000002</v>
      </c>
      <c r="Y14" s="19">
        <f t="shared" si="4"/>
        <v>-1.4903</v>
      </c>
      <c r="Z14" s="19">
        <f t="shared" si="5"/>
        <v>-6.7789999999999999</v>
      </c>
      <c r="AA14" s="19">
        <f t="shared" si="6"/>
        <v>1.0533999999999999</v>
      </c>
      <c r="AC14" s="40" t="s">
        <v>182</v>
      </c>
      <c r="AD14" s="40">
        <v>1</v>
      </c>
      <c r="AE14" s="40">
        <v>401.20717309866109</v>
      </c>
      <c r="AF14" s="40">
        <v>401.20717309866109</v>
      </c>
      <c r="AG14" s="40">
        <v>14.041131717666364</v>
      </c>
      <c r="AH14" s="40">
        <v>4.9767409708544421E-4</v>
      </c>
    </row>
    <row r="15" spans="1:34" x14ac:dyDescent="0.25">
      <c r="M15" s="17">
        <v>201611</v>
      </c>
      <c r="N15" s="18">
        <v>-2.6419999999999999</v>
      </c>
      <c r="O15" s="18">
        <v>3.0301</v>
      </c>
      <c r="P15" s="18">
        <v>0.60370000000000001</v>
      </c>
      <c r="Q15" s="18">
        <v>-1.2048000000000001</v>
      </c>
      <c r="R15" s="18">
        <v>8.4338999999999995</v>
      </c>
      <c r="S15">
        <v>-0.5212</v>
      </c>
      <c r="V15" s="19">
        <f t="shared" si="1"/>
        <v>-2.9419999999999997</v>
      </c>
      <c r="W15" s="19">
        <f t="shared" si="2"/>
        <v>2.7301000000000002</v>
      </c>
      <c r="X15" s="19">
        <f t="shared" si="3"/>
        <v>0.30370000000000003</v>
      </c>
      <c r="Y15" s="19">
        <f t="shared" si="4"/>
        <v>-1.5048000000000001</v>
      </c>
      <c r="Z15" s="19">
        <f t="shared" si="5"/>
        <v>8.1338999999999988</v>
      </c>
      <c r="AA15" s="19">
        <f t="shared" si="6"/>
        <v>-0.82119999999999993</v>
      </c>
      <c r="AC15" s="40" t="s">
        <v>183</v>
      </c>
      <c r="AD15" s="40">
        <v>46</v>
      </c>
      <c r="AE15" s="40">
        <v>1314.390487436131</v>
      </c>
      <c r="AF15" s="40">
        <v>28.573706248611543</v>
      </c>
      <c r="AG15" s="40"/>
      <c r="AH15" s="40"/>
    </row>
    <row r="16" spans="1:34" ht="17.25" thickBot="1" x14ac:dyDescent="0.3">
      <c r="M16" s="17">
        <v>201612</v>
      </c>
      <c r="N16" s="18">
        <v>-4.6134000000000004</v>
      </c>
      <c r="O16" s="18">
        <v>-7.3525999999999998</v>
      </c>
      <c r="P16" s="18">
        <v>0.8</v>
      </c>
      <c r="Q16" s="18">
        <v>2.7099000000000002</v>
      </c>
      <c r="R16" s="18">
        <v>-3.8887999999999998</v>
      </c>
      <c r="S16">
        <v>0.1384</v>
      </c>
      <c r="V16" s="19">
        <f t="shared" si="1"/>
        <v>-4.9134000000000002</v>
      </c>
      <c r="W16" s="19">
        <f t="shared" si="2"/>
        <v>-7.6525999999999996</v>
      </c>
      <c r="X16" s="19">
        <f t="shared" si="3"/>
        <v>0.5</v>
      </c>
      <c r="Y16" s="19">
        <f t="shared" si="4"/>
        <v>2.4099000000000004</v>
      </c>
      <c r="Z16" s="19">
        <f t="shared" si="5"/>
        <v>-4.1887999999999996</v>
      </c>
      <c r="AA16" s="19">
        <f t="shared" si="6"/>
        <v>-0.16159999999999999</v>
      </c>
      <c r="AC16" s="41" t="s">
        <v>128</v>
      </c>
      <c r="AD16" s="41">
        <v>47</v>
      </c>
      <c r="AE16" s="41">
        <v>1715.5976605347921</v>
      </c>
      <c r="AF16" s="41"/>
      <c r="AG16" s="41"/>
      <c r="AH16" s="41"/>
    </row>
    <row r="17" spans="13:37" ht="17.25" thickBot="1" x14ac:dyDescent="0.3">
      <c r="M17" s="17">
        <v>201701</v>
      </c>
      <c r="N17" s="18">
        <v>0.71120000000000005</v>
      </c>
      <c r="O17" s="18">
        <v>21.2697</v>
      </c>
      <c r="P17" s="18">
        <v>1.1901999999999999</v>
      </c>
      <c r="Q17" s="18">
        <v>17.414100000000001</v>
      </c>
      <c r="R17" s="18">
        <v>0.57789999999999997</v>
      </c>
      <c r="S17">
        <v>2.1013999999999999</v>
      </c>
      <c r="V17" s="19">
        <f t="shared" si="1"/>
        <v>0.41120000000000007</v>
      </c>
      <c r="W17" s="19">
        <f t="shared" si="2"/>
        <v>20.9697</v>
      </c>
      <c r="X17" s="19">
        <f t="shared" si="3"/>
        <v>0.89019999999999988</v>
      </c>
      <c r="Y17" s="19">
        <f t="shared" si="4"/>
        <v>17.114100000000001</v>
      </c>
      <c r="Z17" s="19">
        <f t="shared" si="5"/>
        <v>0.27789999999999998</v>
      </c>
      <c r="AA17" s="19">
        <f t="shared" si="6"/>
        <v>1.8013999999999999</v>
      </c>
    </row>
    <row r="18" spans="13:37" x14ac:dyDescent="0.25">
      <c r="M18" s="17">
        <v>201702</v>
      </c>
      <c r="N18" s="18">
        <v>6.3559999999999999</v>
      </c>
      <c r="O18" s="18">
        <v>28.272300000000001</v>
      </c>
      <c r="P18" s="18">
        <v>6.6665000000000001</v>
      </c>
      <c r="Q18" s="18">
        <v>2.472</v>
      </c>
      <c r="R18" s="18">
        <v>4.5978000000000003</v>
      </c>
      <c r="S18">
        <v>3.2019000000000002</v>
      </c>
      <c r="V18" s="19">
        <f t="shared" si="1"/>
        <v>6.056</v>
      </c>
      <c r="W18" s="19">
        <f t="shared" si="2"/>
        <v>27.972300000000001</v>
      </c>
      <c r="X18" s="19">
        <f t="shared" si="3"/>
        <v>6.3665000000000003</v>
      </c>
      <c r="Y18" s="19">
        <f t="shared" si="4"/>
        <v>2.1720000000000002</v>
      </c>
      <c r="Z18" s="19">
        <f t="shared" si="5"/>
        <v>4.2978000000000005</v>
      </c>
      <c r="AA18" s="19">
        <f t="shared" si="6"/>
        <v>2.9019000000000004</v>
      </c>
      <c r="AC18" s="42"/>
      <c r="AD18" s="42" t="s">
        <v>190</v>
      </c>
      <c r="AE18" s="42" t="s">
        <v>179</v>
      </c>
      <c r="AF18" s="42" t="s">
        <v>191</v>
      </c>
      <c r="AG18" s="42" t="s">
        <v>192</v>
      </c>
      <c r="AH18" s="42" t="s">
        <v>193</v>
      </c>
      <c r="AI18" s="42" t="s">
        <v>194</v>
      </c>
      <c r="AJ18" s="42" t="s">
        <v>195</v>
      </c>
      <c r="AK18" s="42" t="s">
        <v>196</v>
      </c>
    </row>
    <row r="19" spans="13:37" x14ac:dyDescent="0.25">
      <c r="M19" s="17">
        <v>201703</v>
      </c>
      <c r="N19" s="18">
        <v>-3.5857000000000001</v>
      </c>
      <c r="O19" s="18">
        <v>-15.9184</v>
      </c>
      <c r="P19" s="18">
        <v>4.2279</v>
      </c>
      <c r="Q19" s="18">
        <v>4.8247</v>
      </c>
      <c r="R19" s="18">
        <v>14.8353</v>
      </c>
      <c r="S19">
        <v>0.62619999999999998</v>
      </c>
      <c r="V19" s="19">
        <f t="shared" si="1"/>
        <v>-3.8856999999999999</v>
      </c>
      <c r="W19" s="19">
        <f t="shared" si="2"/>
        <v>-16.218399999999999</v>
      </c>
      <c r="X19" s="19">
        <f t="shared" si="3"/>
        <v>3.9279000000000002</v>
      </c>
      <c r="Y19" s="19">
        <f t="shared" si="4"/>
        <v>4.5247000000000002</v>
      </c>
      <c r="Z19" s="19">
        <f t="shared" si="5"/>
        <v>14.535299999999999</v>
      </c>
      <c r="AA19" s="19">
        <f t="shared" si="6"/>
        <v>0.32619999999999999</v>
      </c>
      <c r="AC19" s="40" t="s">
        <v>184</v>
      </c>
      <c r="AD19" s="40">
        <v>0.19986514203077144</v>
      </c>
      <c r="AE19" s="40">
        <v>0.79146251708788073</v>
      </c>
      <c r="AF19" s="40">
        <v>0.25252635180521027</v>
      </c>
      <c r="AG19" s="40">
        <v>0.80175926607702253</v>
      </c>
      <c r="AH19" s="40">
        <v>-1.3932662753251179</v>
      </c>
      <c r="AI19" s="40">
        <v>1.7929965593866606</v>
      </c>
      <c r="AJ19" s="40">
        <v>-1.3932662753251179</v>
      </c>
      <c r="AK19" s="40">
        <v>1.7929965593866606</v>
      </c>
    </row>
    <row r="20" spans="13:37" ht="17.25" thickBot="1" x14ac:dyDescent="0.3">
      <c r="M20" s="17">
        <v>201704</v>
      </c>
      <c r="N20" s="18">
        <v>-3.3058999999999998</v>
      </c>
      <c r="O20" s="18">
        <v>-4.3691000000000004</v>
      </c>
      <c r="P20" s="18">
        <v>-3.1745000000000001</v>
      </c>
      <c r="Q20" s="18">
        <v>4.9162999999999997</v>
      </c>
      <c r="R20" s="18">
        <v>-8.3732000000000006</v>
      </c>
      <c r="S20">
        <v>0.61639999999999995</v>
      </c>
      <c r="V20" s="19">
        <f t="shared" si="1"/>
        <v>-3.6058999999999997</v>
      </c>
      <c r="W20" s="19">
        <f t="shared" si="2"/>
        <v>-4.6691000000000003</v>
      </c>
      <c r="X20" s="19">
        <f t="shared" si="3"/>
        <v>-3.4744999999999999</v>
      </c>
      <c r="Y20" s="19">
        <f t="shared" si="4"/>
        <v>4.6162999999999998</v>
      </c>
      <c r="Z20" s="19">
        <f t="shared" si="5"/>
        <v>-8.6732000000000014</v>
      </c>
      <c r="AA20" s="19">
        <f t="shared" si="6"/>
        <v>0.31639999999999996</v>
      </c>
      <c r="AC20" s="41" t="s">
        <v>197</v>
      </c>
      <c r="AD20" s="41">
        <v>0.97580483341091551</v>
      </c>
      <c r="AE20" s="41">
        <v>0.26041254879740366</v>
      </c>
      <c r="AF20" s="41">
        <v>3.7471498125463776</v>
      </c>
      <c r="AG20" s="41">
        <v>4.9767409708544497E-4</v>
      </c>
      <c r="AH20" s="41">
        <v>0.4516215600332304</v>
      </c>
      <c r="AI20" s="41">
        <v>1.4999881067886007</v>
      </c>
      <c r="AJ20" s="41">
        <v>0.4516215600332304</v>
      </c>
      <c r="AK20" s="41">
        <v>1.4999881067886007</v>
      </c>
    </row>
    <row r="21" spans="13:37" x14ac:dyDescent="0.25">
      <c r="M21" s="17">
        <v>201705</v>
      </c>
      <c r="N21" s="18">
        <v>-1.9943</v>
      </c>
      <c r="O21" s="18">
        <v>20.812100000000001</v>
      </c>
      <c r="P21" s="18">
        <v>4.0073999999999996</v>
      </c>
      <c r="Q21" s="18">
        <v>-5.2842000000000002</v>
      </c>
      <c r="R21" s="18">
        <v>-0.7833</v>
      </c>
      <c r="S21">
        <v>1.7134</v>
      </c>
      <c r="V21" s="19">
        <f t="shared" si="1"/>
        <v>-2.2942999999999998</v>
      </c>
      <c r="W21" s="19">
        <f t="shared" si="2"/>
        <v>20.5121</v>
      </c>
      <c r="X21" s="19">
        <f t="shared" si="3"/>
        <v>3.7073999999999998</v>
      </c>
      <c r="Y21" s="19">
        <f t="shared" si="4"/>
        <v>-5.5842000000000001</v>
      </c>
      <c r="Z21" s="19">
        <f t="shared" si="5"/>
        <v>-1.0832999999999999</v>
      </c>
      <c r="AA21" s="19">
        <f t="shared" si="6"/>
        <v>1.4134</v>
      </c>
    </row>
    <row r="22" spans="13:37" x14ac:dyDescent="0.25">
      <c r="M22" s="17">
        <v>201706</v>
      </c>
      <c r="N22" s="18">
        <v>2.3256000000000001</v>
      </c>
      <c r="O22" s="18">
        <v>-5.4623999999999997</v>
      </c>
      <c r="P22" s="18">
        <v>2.1013000000000002</v>
      </c>
      <c r="Q22" s="18">
        <v>2.1053999999999999</v>
      </c>
      <c r="R22" s="18">
        <v>1.0527</v>
      </c>
      <c r="S22">
        <v>4.4901</v>
      </c>
      <c r="V22" s="19">
        <f t="shared" si="1"/>
        <v>2.0256000000000003</v>
      </c>
      <c r="W22" s="19">
        <f t="shared" si="2"/>
        <v>-5.7623999999999995</v>
      </c>
      <c r="X22" s="19">
        <f t="shared" si="3"/>
        <v>1.8013000000000001</v>
      </c>
      <c r="Y22" s="19">
        <f t="shared" si="4"/>
        <v>1.8053999999999999</v>
      </c>
      <c r="Z22" s="19">
        <f t="shared" si="5"/>
        <v>0.75269999999999992</v>
      </c>
      <c r="AA22" s="19">
        <f t="shared" si="6"/>
        <v>4.1901000000000002</v>
      </c>
      <c r="AC22" s="44" t="s">
        <v>202</v>
      </c>
      <c r="AD22" s="45">
        <v>0.97580483341091551</v>
      </c>
    </row>
    <row r="23" spans="13:37" x14ac:dyDescent="0.25">
      <c r="M23" s="17">
        <v>201707</v>
      </c>
      <c r="N23" s="18">
        <v>3.6049000000000002</v>
      </c>
      <c r="O23" s="18">
        <v>3.1817000000000002</v>
      </c>
      <c r="P23" s="18">
        <v>3.9449999999999998</v>
      </c>
      <c r="Q23" s="18">
        <v>13.6082</v>
      </c>
      <c r="R23" s="18">
        <v>-0.61470000000000002</v>
      </c>
      <c r="S23">
        <v>2.3089</v>
      </c>
      <c r="V23" s="19">
        <f t="shared" si="1"/>
        <v>3.3049000000000004</v>
      </c>
      <c r="W23" s="19">
        <f t="shared" si="2"/>
        <v>2.8817000000000004</v>
      </c>
      <c r="X23" s="19">
        <f t="shared" si="3"/>
        <v>3.645</v>
      </c>
      <c r="Y23" s="19">
        <f t="shared" si="4"/>
        <v>13.308199999999999</v>
      </c>
      <c r="Z23" s="19">
        <f t="shared" si="5"/>
        <v>-0.91470000000000007</v>
      </c>
      <c r="AA23" s="19">
        <f t="shared" si="6"/>
        <v>2.0089000000000001</v>
      </c>
      <c r="AC23" t="s">
        <v>219</v>
      </c>
      <c r="AD23">
        <f>AVERAGE(N3:N50)</f>
        <v>1.1609729166666674</v>
      </c>
    </row>
    <row r="24" spans="13:37" x14ac:dyDescent="0.25">
      <c r="M24" s="17">
        <v>201708</v>
      </c>
      <c r="N24" s="18">
        <v>-0.42870000000000003</v>
      </c>
      <c r="O24" s="18">
        <v>-7.9295</v>
      </c>
      <c r="P24" s="18">
        <v>4.2390999999999996</v>
      </c>
      <c r="Q24" s="18">
        <v>7.0202999999999998</v>
      </c>
      <c r="R24" s="18">
        <v>-1.1109</v>
      </c>
      <c r="S24">
        <v>2.3820999999999999</v>
      </c>
      <c r="V24" s="19">
        <f t="shared" si="1"/>
        <v>-0.72870000000000001</v>
      </c>
      <c r="W24" s="19">
        <f t="shared" si="2"/>
        <v>-8.2294999999999998</v>
      </c>
      <c r="X24" s="19">
        <f t="shared" si="3"/>
        <v>3.9390999999999998</v>
      </c>
      <c r="Y24" s="19">
        <f t="shared" si="4"/>
        <v>6.7202999999999999</v>
      </c>
      <c r="Z24" s="19">
        <f t="shared" si="5"/>
        <v>-1.4109</v>
      </c>
      <c r="AA24" s="19">
        <f t="shared" si="6"/>
        <v>2.0821000000000001</v>
      </c>
      <c r="AC24" t="s">
        <v>221</v>
      </c>
      <c r="AD24">
        <f>AD23-AD22*T3</f>
        <v>0.2071236920074977</v>
      </c>
    </row>
    <row r="25" spans="13:37" x14ac:dyDescent="0.25">
      <c r="M25" s="17">
        <v>201709</v>
      </c>
      <c r="N25" s="18">
        <v>-3.0131000000000001</v>
      </c>
      <c r="O25" s="18">
        <v>-3.8277999999999999</v>
      </c>
      <c r="P25" s="18">
        <v>0.18329999999999999</v>
      </c>
      <c r="Q25" s="18">
        <v>-7.8045999999999998</v>
      </c>
      <c r="R25" s="18">
        <v>-4.7750000000000004</v>
      </c>
      <c r="S25">
        <v>-1.82</v>
      </c>
      <c r="V25" s="19">
        <f t="shared" si="1"/>
        <v>-3.3130999999999999</v>
      </c>
      <c r="W25" s="19">
        <f t="shared" si="2"/>
        <v>-4.1277999999999997</v>
      </c>
      <c r="X25" s="19">
        <f t="shared" si="3"/>
        <v>-0.1167</v>
      </c>
      <c r="Y25" s="19">
        <f t="shared" si="4"/>
        <v>-8.1045999999999996</v>
      </c>
      <c r="Z25" s="19">
        <f t="shared" si="5"/>
        <v>-5.0750000000000002</v>
      </c>
      <c r="AA25" s="19">
        <f t="shared" si="6"/>
        <v>-2.12</v>
      </c>
      <c r="AC25" t="s">
        <v>222</v>
      </c>
      <c r="AD25">
        <f>AD22*(T3-T2)+T2</f>
        <v>0.96110777463589492</v>
      </c>
    </row>
    <row r="26" spans="13:37" x14ac:dyDescent="0.25">
      <c r="M26" s="17">
        <v>201710</v>
      </c>
      <c r="N26" s="18">
        <v>-0.88759999999999994</v>
      </c>
      <c r="O26" s="18">
        <v>-1.2438</v>
      </c>
      <c r="P26" s="18">
        <v>3.1078000000000001</v>
      </c>
      <c r="Q26" s="18">
        <v>6.3258000000000001</v>
      </c>
      <c r="R26" s="18">
        <v>6.1947999999999999</v>
      </c>
      <c r="S26">
        <v>3.9542000000000002</v>
      </c>
      <c r="V26" s="19">
        <f t="shared" si="1"/>
        <v>-1.1876</v>
      </c>
      <c r="W26" s="19">
        <f t="shared" si="2"/>
        <v>-1.5438000000000001</v>
      </c>
      <c r="X26" s="19">
        <f t="shared" si="3"/>
        <v>2.8078000000000003</v>
      </c>
      <c r="Y26" s="19">
        <f t="shared" si="4"/>
        <v>6.0258000000000003</v>
      </c>
      <c r="Z26" s="19">
        <f t="shared" si="5"/>
        <v>5.8948</v>
      </c>
      <c r="AA26" s="19">
        <f t="shared" si="6"/>
        <v>3.6542000000000003</v>
      </c>
    </row>
    <row r="27" spans="13:37" x14ac:dyDescent="0.25">
      <c r="M27" s="17">
        <v>201711</v>
      </c>
      <c r="N27" s="18">
        <v>0.14929999999999999</v>
      </c>
      <c r="O27" s="18">
        <v>-2.2669999999999999</v>
      </c>
      <c r="P27" s="18">
        <v>2.4824000000000002</v>
      </c>
      <c r="Q27" s="18">
        <v>-10.061199999999999</v>
      </c>
      <c r="R27" s="18">
        <v>-2.2222</v>
      </c>
      <c r="S27">
        <v>-2.1604999999999999</v>
      </c>
      <c r="V27" s="19">
        <f t="shared" si="1"/>
        <v>-0.1507</v>
      </c>
      <c r="W27" s="19">
        <f t="shared" si="2"/>
        <v>-2.5669999999999997</v>
      </c>
      <c r="X27" s="19">
        <f t="shared" si="3"/>
        <v>2.1824000000000003</v>
      </c>
      <c r="Y27" s="19">
        <f t="shared" si="4"/>
        <v>-10.3612</v>
      </c>
      <c r="Z27" s="19">
        <f t="shared" si="5"/>
        <v>-2.5221999999999998</v>
      </c>
      <c r="AA27" s="19">
        <f t="shared" si="6"/>
        <v>-2.4604999999999997</v>
      </c>
    </row>
    <row r="28" spans="13:37" x14ac:dyDescent="0.25">
      <c r="M28" s="17">
        <v>201712</v>
      </c>
      <c r="N28" s="18">
        <v>8.6439000000000004</v>
      </c>
      <c r="O28" s="18">
        <v>6.4433999999999996</v>
      </c>
      <c r="P28" s="18">
        <v>-2.7682000000000002</v>
      </c>
      <c r="Q28" s="18">
        <v>-21.789899999999999</v>
      </c>
      <c r="R28" s="18">
        <v>-0.56830000000000003</v>
      </c>
      <c r="S28">
        <v>0.78220000000000001</v>
      </c>
      <c r="V28" s="19">
        <f t="shared" si="1"/>
        <v>8.3438999999999997</v>
      </c>
      <c r="W28" s="19">
        <f t="shared" si="2"/>
        <v>6.1433999999999997</v>
      </c>
      <c r="X28" s="19">
        <f t="shared" si="3"/>
        <v>-3.0682</v>
      </c>
      <c r="Y28" s="19">
        <f t="shared" si="4"/>
        <v>-22.0899</v>
      </c>
      <c r="Z28" s="19">
        <f t="shared" si="5"/>
        <v>-0.86830000000000007</v>
      </c>
      <c r="AA28" s="19">
        <f t="shared" si="6"/>
        <v>0.48220000000000002</v>
      </c>
    </row>
    <row r="29" spans="13:37" x14ac:dyDescent="0.25">
      <c r="M29" s="17">
        <v>201801</v>
      </c>
      <c r="N29" s="18">
        <v>3.2921999999999998</v>
      </c>
      <c r="O29" s="18">
        <v>-1.9371</v>
      </c>
      <c r="P29" s="18">
        <v>0.88970000000000005</v>
      </c>
      <c r="Q29" s="18">
        <v>-0.373</v>
      </c>
      <c r="R29" s="18">
        <v>1.7141999999999999</v>
      </c>
      <c r="S29">
        <v>4.3308</v>
      </c>
      <c r="V29" s="19">
        <f t="shared" si="1"/>
        <v>2.9922</v>
      </c>
      <c r="W29" s="19">
        <f t="shared" si="2"/>
        <v>-2.2370999999999999</v>
      </c>
      <c r="X29" s="19">
        <f t="shared" si="3"/>
        <v>0.58970000000000011</v>
      </c>
      <c r="Y29" s="19">
        <f t="shared" si="4"/>
        <v>-0.67300000000000004</v>
      </c>
      <c r="Z29" s="19">
        <f t="shared" si="5"/>
        <v>1.4141999999999999</v>
      </c>
      <c r="AA29" s="19">
        <f t="shared" si="6"/>
        <v>4.0308000000000002</v>
      </c>
    </row>
    <row r="30" spans="13:37" x14ac:dyDescent="0.25">
      <c r="M30" s="17">
        <v>201802</v>
      </c>
      <c r="N30" s="18">
        <v>-1.7265999999999999</v>
      </c>
      <c r="O30" s="18">
        <v>16.543299999999999</v>
      </c>
      <c r="P30" s="18">
        <v>-0.52910000000000001</v>
      </c>
      <c r="Q30" s="18">
        <v>-7.7401999999999997</v>
      </c>
      <c r="R30" s="18">
        <v>-0.28079999999999999</v>
      </c>
      <c r="S30">
        <v>-2.5964999999999998</v>
      </c>
      <c r="V30" s="19">
        <f t="shared" si="1"/>
        <v>-2.0265999999999997</v>
      </c>
      <c r="W30" s="19">
        <f t="shared" si="2"/>
        <v>16.243299999999998</v>
      </c>
      <c r="X30" s="19">
        <f t="shared" si="3"/>
        <v>-0.82909999999999995</v>
      </c>
      <c r="Y30" s="19">
        <f t="shared" si="4"/>
        <v>-8.0402000000000005</v>
      </c>
      <c r="Z30" s="19">
        <f t="shared" si="5"/>
        <v>-0.58079999999999998</v>
      </c>
      <c r="AA30" s="19">
        <f t="shared" si="6"/>
        <v>-2.8964999999999996</v>
      </c>
    </row>
    <row r="31" spans="13:37" x14ac:dyDescent="0.25">
      <c r="M31" s="17">
        <v>201803</v>
      </c>
      <c r="N31" s="18">
        <v>-1.2161</v>
      </c>
      <c r="O31" s="18">
        <v>19.279699999999998</v>
      </c>
      <c r="P31" s="18">
        <v>3.9007999999999998</v>
      </c>
      <c r="Q31" s="18">
        <v>-9.3369999999999997</v>
      </c>
      <c r="R31" s="18">
        <v>1.4085000000000001</v>
      </c>
      <c r="S31">
        <v>0.9617</v>
      </c>
      <c r="V31" s="19">
        <f t="shared" si="1"/>
        <v>-1.5161</v>
      </c>
      <c r="W31" s="19">
        <f t="shared" si="2"/>
        <v>18.979699999999998</v>
      </c>
      <c r="X31" s="19">
        <f t="shared" si="3"/>
        <v>3.6008</v>
      </c>
      <c r="Y31" s="19">
        <f t="shared" si="4"/>
        <v>-9.6370000000000005</v>
      </c>
      <c r="Z31" s="19">
        <f t="shared" si="5"/>
        <v>1.1085</v>
      </c>
      <c r="AA31" s="19">
        <f t="shared" si="6"/>
        <v>0.66169999999999995</v>
      </c>
    </row>
    <row r="32" spans="13:37" x14ac:dyDescent="0.25">
      <c r="M32" s="17">
        <v>201804</v>
      </c>
      <c r="N32" s="18">
        <v>11.764900000000001</v>
      </c>
      <c r="O32" s="18">
        <v>76.731800000000007</v>
      </c>
      <c r="P32" s="18">
        <v>-0.5121</v>
      </c>
      <c r="Q32" s="18">
        <v>3.8805999999999998</v>
      </c>
      <c r="R32" s="18">
        <v>32.777799999999999</v>
      </c>
      <c r="S32">
        <v>-2.3957999999999999</v>
      </c>
      <c r="V32" s="19">
        <f t="shared" si="1"/>
        <v>11.4649</v>
      </c>
      <c r="W32" s="19">
        <f t="shared" si="2"/>
        <v>76.43180000000001</v>
      </c>
      <c r="X32" s="19">
        <f t="shared" si="3"/>
        <v>-0.81210000000000004</v>
      </c>
      <c r="Y32" s="19">
        <f t="shared" si="4"/>
        <v>3.5806</v>
      </c>
      <c r="Z32" s="19">
        <f t="shared" si="5"/>
        <v>32.477800000000002</v>
      </c>
      <c r="AA32" s="19">
        <f t="shared" si="6"/>
        <v>-2.6957999999999998</v>
      </c>
    </row>
    <row r="33" spans="13:27" x14ac:dyDescent="0.25">
      <c r="M33" s="17">
        <v>201805</v>
      </c>
      <c r="N33" s="18">
        <v>6.7317999999999998</v>
      </c>
      <c r="O33" s="18">
        <v>-24.522600000000001</v>
      </c>
      <c r="P33" s="18">
        <v>0.85750000000000004</v>
      </c>
      <c r="Q33" s="18">
        <v>17.815999999999999</v>
      </c>
      <c r="R33" s="18">
        <v>15.899800000000001</v>
      </c>
      <c r="S33">
        <v>2.0392999999999999</v>
      </c>
      <c r="V33" s="19">
        <f t="shared" si="1"/>
        <v>6.4318</v>
      </c>
      <c r="W33" s="19">
        <f t="shared" si="2"/>
        <v>-24.822600000000001</v>
      </c>
      <c r="X33" s="19">
        <f t="shared" si="3"/>
        <v>0.55750000000000011</v>
      </c>
      <c r="Y33" s="19">
        <f t="shared" si="4"/>
        <v>17.515999999999998</v>
      </c>
      <c r="Z33" s="19">
        <f t="shared" si="5"/>
        <v>15.5998</v>
      </c>
      <c r="AA33" s="19">
        <f t="shared" si="6"/>
        <v>1.7392999999999998</v>
      </c>
    </row>
    <row r="34" spans="13:27" x14ac:dyDescent="0.25">
      <c r="M34" s="17">
        <v>201806</v>
      </c>
      <c r="N34" s="18">
        <v>-2.8668</v>
      </c>
      <c r="O34" s="18">
        <v>5.7256999999999998</v>
      </c>
      <c r="P34" s="18">
        <v>1.7005999999999999</v>
      </c>
      <c r="Q34" s="18">
        <v>9.5120000000000005</v>
      </c>
      <c r="R34" s="18">
        <v>3.6099000000000001</v>
      </c>
      <c r="S34">
        <v>0.59930000000000005</v>
      </c>
      <c r="V34" s="19">
        <f t="shared" si="1"/>
        <v>-3.1667999999999998</v>
      </c>
      <c r="W34" s="19">
        <f t="shared" si="2"/>
        <v>5.4257</v>
      </c>
      <c r="X34" s="19">
        <f t="shared" si="3"/>
        <v>1.4005999999999998</v>
      </c>
      <c r="Y34" s="19">
        <f t="shared" si="4"/>
        <v>9.2119999999999997</v>
      </c>
      <c r="Z34" s="19">
        <f t="shared" si="5"/>
        <v>3.3099000000000003</v>
      </c>
      <c r="AA34" s="19">
        <f t="shared" si="6"/>
        <v>0.29930000000000007</v>
      </c>
    </row>
    <row r="35" spans="13:27" x14ac:dyDescent="0.25">
      <c r="M35" s="17">
        <v>201807</v>
      </c>
      <c r="N35" s="18">
        <v>5.6489000000000003</v>
      </c>
      <c r="O35" s="18">
        <v>-22.5441</v>
      </c>
      <c r="P35" s="18">
        <v>-0.50160000000000005</v>
      </c>
      <c r="Q35" s="18">
        <v>14.6991</v>
      </c>
      <c r="R35" s="18">
        <v>6.9678000000000004</v>
      </c>
      <c r="S35">
        <v>4.3113999999999999</v>
      </c>
      <c r="V35" s="19">
        <f t="shared" si="1"/>
        <v>5.3489000000000004</v>
      </c>
      <c r="W35" s="19">
        <f t="shared" si="2"/>
        <v>-22.844100000000001</v>
      </c>
      <c r="X35" s="19">
        <f t="shared" si="3"/>
        <v>-0.80160000000000009</v>
      </c>
      <c r="Y35" s="19">
        <f t="shared" si="4"/>
        <v>14.399099999999999</v>
      </c>
      <c r="Z35" s="19">
        <f t="shared" si="5"/>
        <v>6.6678000000000006</v>
      </c>
      <c r="AA35" s="19">
        <f t="shared" si="6"/>
        <v>4.0114000000000001</v>
      </c>
    </row>
    <row r="36" spans="13:27" x14ac:dyDescent="0.25">
      <c r="M36" s="17">
        <v>201808</v>
      </c>
      <c r="N36" s="18">
        <v>7.6238000000000001</v>
      </c>
      <c r="O36" s="18">
        <v>-11.5448</v>
      </c>
      <c r="P36" s="18">
        <v>3.5293999999999999</v>
      </c>
      <c r="Q36" s="18">
        <v>-7.1756000000000002</v>
      </c>
      <c r="R36" s="18">
        <v>-10.588100000000001</v>
      </c>
      <c r="S36">
        <v>0.83840000000000003</v>
      </c>
      <c r="V36" s="19">
        <f t="shared" si="1"/>
        <v>7.3238000000000003</v>
      </c>
      <c r="W36" s="19">
        <f t="shared" si="2"/>
        <v>-11.844800000000001</v>
      </c>
      <c r="X36" s="19">
        <f t="shared" si="3"/>
        <v>3.2294</v>
      </c>
      <c r="Y36" s="19">
        <f t="shared" si="4"/>
        <v>-7.4756</v>
      </c>
      <c r="Z36" s="19">
        <f t="shared" si="5"/>
        <v>-10.888100000000001</v>
      </c>
      <c r="AA36" s="19">
        <f t="shared" si="6"/>
        <v>0.53839999999999999</v>
      </c>
    </row>
    <row r="37" spans="13:27" x14ac:dyDescent="0.25">
      <c r="M37" s="17">
        <v>201809</v>
      </c>
      <c r="N37" s="18">
        <v>-2.9516</v>
      </c>
      <c r="O37" s="18">
        <v>11.3971</v>
      </c>
      <c r="P37" s="18">
        <v>2.3157999999999999</v>
      </c>
      <c r="Q37" s="18">
        <v>-22.741800000000001</v>
      </c>
      <c r="R37" s="18">
        <v>20.300599999999999</v>
      </c>
      <c r="S37">
        <v>-0.41560000000000002</v>
      </c>
      <c r="V37" s="19">
        <f t="shared" si="1"/>
        <v>-3.2515999999999998</v>
      </c>
      <c r="W37" s="19">
        <f t="shared" si="2"/>
        <v>11.097099999999999</v>
      </c>
      <c r="X37" s="19">
        <f t="shared" si="3"/>
        <v>2.0158</v>
      </c>
      <c r="Y37" s="19">
        <f t="shared" si="4"/>
        <v>-23.041800000000002</v>
      </c>
      <c r="Z37" s="19">
        <f t="shared" si="5"/>
        <v>20.000599999999999</v>
      </c>
      <c r="AA37" s="19">
        <f t="shared" si="6"/>
        <v>-0.71560000000000001</v>
      </c>
    </row>
    <row r="38" spans="13:27" x14ac:dyDescent="0.25">
      <c r="M38" s="17">
        <v>201810</v>
      </c>
      <c r="N38" s="18">
        <v>-15.571899999999999</v>
      </c>
      <c r="O38" s="18">
        <v>6.7659000000000002</v>
      </c>
      <c r="P38" s="18">
        <v>-3.0575999999999999</v>
      </c>
      <c r="Q38" s="18">
        <v>-7.8403999999999998</v>
      </c>
      <c r="R38" s="18">
        <v>-5.3125999999999998</v>
      </c>
      <c r="S38">
        <v>-10.938800000000001</v>
      </c>
      <c r="V38" s="19">
        <f t="shared" si="1"/>
        <v>-15.8719</v>
      </c>
      <c r="W38" s="19">
        <f t="shared" si="2"/>
        <v>6.4659000000000004</v>
      </c>
      <c r="X38" s="19">
        <f t="shared" si="3"/>
        <v>-3.3575999999999997</v>
      </c>
      <c r="Y38" s="19">
        <f t="shared" si="4"/>
        <v>-8.1403999999999996</v>
      </c>
      <c r="Z38" s="19">
        <f t="shared" si="5"/>
        <v>-5.6125999999999996</v>
      </c>
      <c r="AA38" s="19">
        <f t="shared" si="6"/>
        <v>-11.238800000000001</v>
      </c>
    </row>
    <row r="39" spans="13:27" x14ac:dyDescent="0.25">
      <c r="M39" s="17">
        <v>201811</v>
      </c>
      <c r="N39" s="18">
        <v>-0.57630000000000003</v>
      </c>
      <c r="O39" s="18">
        <v>3.7094999999999998</v>
      </c>
      <c r="P39" s="18">
        <v>0.74229999999999996</v>
      </c>
      <c r="Q39" s="18">
        <v>0.59709999999999996</v>
      </c>
      <c r="R39" s="18">
        <v>-10.5608</v>
      </c>
      <c r="S39">
        <v>0.8821</v>
      </c>
      <c r="V39" s="19">
        <f t="shared" si="1"/>
        <v>-0.87630000000000008</v>
      </c>
      <c r="W39" s="19">
        <f t="shared" si="2"/>
        <v>3.4095</v>
      </c>
      <c r="X39" s="19">
        <f t="shared" si="3"/>
        <v>0.44229999999999997</v>
      </c>
      <c r="Y39" s="19">
        <f t="shared" si="4"/>
        <v>0.29709999999999998</v>
      </c>
      <c r="Z39" s="19">
        <f t="shared" si="5"/>
        <v>-10.860800000000001</v>
      </c>
      <c r="AA39" s="19">
        <f t="shared" si="6"/>
        <v>0.58210000000000006</v>
      </c>
    </row>
    <row r="40" spans="13:27" x14ac:dyDescent="0.25">
      <c r="M40" s="17">
        <v>201812</v>
      </c>
      <c r="N40" s="18">
        <v>3.1884999999999999</v>
      </c>
      <c r="O40" s="18">
        <v>1E-4</v>
      </c>
      <c r="P40" s="18">
        <v>-0.55249999999999999</v>
      </c>
      <c r="Q40" s="18">
        <v>-4.5994999999999999</v>
      </c>
      <c r="R40" s="18">
        <v>-2.9521000000000002</v>
      </c>
      <c r="S40">
        <v>-1.6244000000000001</v>
      </c>
      <c r="V40" s="19">
        <f t="shared" si="1"/>
        <v>2.8885000000000001</v>
      </c>
      <c r="W40" s="19">
        <f t="shared" si="2"/>
        <v>-0.2999</v>
      </c>
      <c r="X40" s="19">
        <f t="shared" si="3"/>
        <v>-0.85250000000000004</v>
      </c>
      <c r="Y40" s="19">
        <f t="shared" si="4"/>
        <v>-4.8994999999999997</v>
      </c>
      <c r="Z40" s="19">
        <f t="shared" si="5"/>
        <v>-3.2521</v>
      </c>
      <c r="AA40" s="19">
        <f t="shared" si="6"/>
        <v>-1.9244000000000001</v>
      </c>
    </row>
    <row r="41" spans="13:27" x14ac:dyDescent="0.25">
      <c r="M41" s="17">
        <v>201901</v>
      </c>
      <c r="N41" s="18">
        <v>4.9158999999999997</v>
      </c>
      <c r="O41" s="18">
        <v>-2.5335000000000001</v>
      </c>
      <c r="P41" s="18">
        <v>1E-4</v>
      </c>
      <c r="Q41" s="18">
        <v>17.573699999999999</v>
      </c>
      <c r="R41" s="18">
        <v>-0.76049999999999995</v>
      </c>
      <c r="S41">
        <v>2.1059999999999999</v>
      </c>
      <c r="V41" s="19">
        <f t="shared" si="1"/>
        <v>4.6158999999999999</v>
      </c>
      <c r="W41" s="19">
        <f t="shared" si="2"/>
        <v>-2.8334999999999999</v>
      </c>
      <c r="X41" s="19">
        <f t="shared" si="3"/>
        <v>-0.2999</v>
      </c>
      <c r="Y41" s="19">
        <f t="shared" si="4"/>
        <v>17.273699999999998</v>
      </c>
      <c r="Z41" s="19">
        <f t="shared" si="5"/>
        <v>-1.0605</v>
      </c>
      <c r="AA41" s="19">
        <f t="shared" si="6"/>
        <v>1.8059999999999998</v>
      </c>
    </row>
    <row r="42" spans="13:27" x14ac:dyDescent="0.25">
      <c r="M42" s="17">
        <v>201902</v>
      </c>
      <c r="N42" s="18">
        <v>2.8113000000000001</v>
      </c>
      <c r="O42" s="18">
        <v>-5.8106</v>
      </c>
      <c r="P42" s="18">
        <v>2.4075000000000002</v>
      </c>
      <c r="Q42" s="18">
        <v>15.3437</v>
      </c>
      <c r="R42" s="18">
        <v>3.0651999999999999</v>
      </c>
      <c r="S42">
        <v>4.6002000000000001</v>
      </c>
      <c r="V42" s="19">
        <f t="shared" si="1"/>
        <v>2.5113000000000003</v>
      </c>
      <c r="W42" s="19">
        <f t="shared" si="2"/>
        <v>-6.1105999999999998</v>
      </c>
      <c r="X42" s="19">
        <f t="shared" si="3"/>
        <v>2.1075000000000004</v>
      </c>
      <c r="Y42" s="19">
        <f t="shared" si="4"/>
        <v>15.043699999999999</v>
      </c>
      <c r="Z42" s="19">
        <f t="shared" si="5"/>
        <v>2.7652000000000001</v>
      </c>
      <c r="AA42" s="19">
        <f t="shared" si="6"/>
        <v>4.3002000000000002</v>
      </c>
    </row>
    <row r="43" spans="13:27" x14ac:dyDescent="0.25">
      <c r="M43" s="17">
        <v>201903</v>
      </c>
      <c r="N43" s="18">
        <v>7.4218999999999999</v>
      </c>
      <c r="O43" s="18">
        <v>2.9220999999999999</v>
      </c>
      <c r="P43" s="18">
        <v>2.5316000000000001</v>
      </c>
      <c r="Q43" s="18">
        <v>5.5045999999999999</v>
      </c>
      <c r="R43" s="18">
        <v>-2.9999999999999997E-4</v>
      </c>
      <c r="S43">
        <v>2.4243999999999999</v>
      </c>
      <c r="V43" s="19">
        <f t="shared" si="1"/>
        <v>7.1219000000000001</v>
      </c>
      <c r="W43" s="19">
        <f t="shared" si="2"/>
        <v>2.6221000000000001</v>
      </c>
      <c r="X43" s="19">
        <f t="shared" si="3"/>
        <v>2.2316000000000003</v>
      </c>
      <c r="Y43" s="19">
        <f t="shared" si="4"/>
        <v>5.2046000000000001</v>
      </c>
      <c r="Z43" s="19">
        <f t="shared" si="5"/>
        <v>-0.30030000000000001</v>
      </c>
      <c r="AA43" s="19">
        <f t="shared" si="6"/>
        <v>2.1244000000000001</v>
      </c>
    </row>
    <row r="44" spans="13:27" x14ac:dyDescent="0.25">
      <c r="M44" s="17">
        <v>201904</v>
      </c>
      <c r="N44" s="18">
        <v>1.8180000000000001</v>
      </c>
      <c r="O44" s="18">
        <v>6.9402999999999997</v>
      </c>
      <c r="P44" s="18">
        <v>2.8216999999999999</v>
      </c>
      <c r="Q44" s="18">
        <v>1.087</v>
      </c>
      <c r="R44" s="18">
        <v>-1.8585</v>
      </c>
      <c r="S44">
        <v>3.0701000000000001</v>
      </c>
      <c r="V44" s="19">
        <f t="shared" si="1"/>
        <v>1.518</v>
      </c>
      <c r="W44" s="19">
        <f t="shared" si="2"/>
        <v>6.6402999999999999</v>
      </c>
      <c r="X44" s="19">
        <f t="shared" si="3"/>
        <v>2.5217000000000001</v>
      </c>
      <c r="Y44" s="19">
        <f t="shared" si="4"/>
        <v>0.78699999999999992</v>
      </c>
      <c r="Z44" s="19">
        <f t="shared" si="5"/>
        <v>-2.1585000000000001</v>
      </c>
      <c r="AA44" s="19">
        <f t="shared" si="6"/>
        <v>2.7701000000000002</v>
      </c>
    </row>
    <row r="45" spans="13:27" x14ac:dyDescent="0.25">
      <c r="M45" s="17">
        <v>201905</v>
      </c>
      <c r="N45" s="18">
        <v>2.1427</v>
      </c>
      <c r="O45" s="18">
        <v>-9.7346000000000004</v>
      </c>
      <c r="P45" s="18">
        <v>1.5439000000000001</v>
      </c>
      <c r="Q45" s="18">
        <v>-18.924900000000001</v>
      </c>
      <c r="R45" s="18">
        <v>-5.3029999999999999</v>
      </c>
      <c r="S45">
        <v>-4.2747999999999999</v>
      </c>
      <c r="V45" s="19">
        <f t="shared" si="1"/>
        <v>1.8427</v>
      </c>
      <c r="W45" s="19">
        <f t="shared" si="2"/>
        <v>-10.034600000000001</v>
      </c>
      <c r="X45" s="19">
        <f t="shared" si="3"/>
        <v>1.2439</v>
      </c>
      <c r="Y45" s="19">
        <f t="shared" si="4"/>
        <v>-19.224900000000002</v>
      </c>
      <c r="Z45" s="19">
        <f t="shared" si="5"/>
        <v>-5.6029999999999998</v>
      </c>
      <c r="AA45" s="19">
        <f t="shared" si="6"/>
        <v>-4.5747999999999998</v>
      </c>
    </row>
    <row r="46" spans="13:27" x14ac:dyDescent="0.25">
      <c r="M46" s="17">
        <v>201906</v>
      </c>
      <c r="N46" s="18">
        <v>7.3428000000000004</v>
      </c>
      <c r="O46" s="18">
        <v>2.7776000000000001</v>
      </c>
      <c r="P46" s="18">
        <v>1.5205</v>
      </c>
      <c r="Q46" s="18">
        <v>2.2545999999999999</v>
      </c>
      <c r="R46" s="18">
        <v>0.2</v>
      </c>
      <c r="S46">
        <v>3.2389999999999999</v>
      </c>
      <c r="V46" s="19">
        <f t="shared" si="1"/>
        <v>7.0428000000000006</v>
      </c>
      <c r="W46" s="19">
        <f t="shared" si="2"/>
        <v>2.4776000000000002</v>
      </c>
      <c r="X46" s="19">
        <f t="shared" si="3"/>
        <v>1.2204999999999999</v>
      </c>
      <c r="Y46" s="19">
        <f t="shared" si="4"/>
        <v>1.9545999999999999</v>
      </c>
      <c r="Z46" s="19">
        <f t="shared" si="5"/>
        <v>-9.9999999999999978E-2</v>
      </c>
      <c r="AA46" s="19">
        <f t="shared" si="6"/>
        <v>2.9390000000000001</v>
      </c>
    </row>
    <row r="47" spans="13:27" x14ac:dyDescent="0.25">
      <c r="M47" s="17">
        <v>201907</v>
      </c>
      <c r="N47" s="18">
        <v>-2.9315000000000002</v>
      </c>
      <c r="O47" s="18">
        <v>-11.287800000000001</v>
      </c>
      <c r="P47" s="18">
        <v>2.3296000000000001</v>
      </c>
      <c r="Q47" s="18">
        <v>10.246499999999999</v>
      </c>
      <c r="R47" s="18">
        <v>0.99239999999999995</v>
      </c>
      <c r="S47">
        <v>3.1061000000000001</v>
      </c>
      <c r="V47" s="19">
        <f t="shared" si="1"/>
        <v>-3.2315</v>
      </c>
      <c r="W47" s="19">
        <f t="shared" si="2"/>
        <v>-11.587800000000001</v>
      </c>
      <c r="X47" s="19">
        <f t="shared" si="3"/>
        <v>2.0296000000000003</v>
      </c>
      <c r="Y47" s="19">
        <f t="shared" si="4"/>
        <v>9.9464999999999986</v>
      </c>
      <c r="Z47" s="19">
        <f t="shared" si="5"/>
        <v>0.6923999999999999</v>
      </c>
      <c r="AA47" s="19">
        <f t="shared" si="6"/>
        <v>2.8061000000000003</v>
      </c>
    </row>
    <row r="48" spans="13:27" x14ac:dyDescent="0.25">
      <c r="M48" s="17">
        <v>201908</v>
      </c>
      <c r="N48" s="18">
        <v>-0.31990000000000002</v>
      </c>
      <c r="O48" s="18">
        <v>4.6595000000000004</v>
      </c>
      <c r="P48" s="18">
        <v>6.5067000000000004</v>
      </c>
      <c r="Q48" s="18">
        <v>-6.8432000000000004</v>
      </c>
      <c r="R48" s="18">
        <v>1.6261000000000001</v>
      </c>
      <c r="S48">
        <v>-1.1231</v>
      </c>
      <c r="V48" s="19">
        <f t="shared" si="1"/>
        <v>-0.61990000000000001</v>
      </c>
      <c r="W48" s="19">
        <f t="shared" si="2"/>
        <v>4.3595000000000006</v>
      </c>
      <c r="X48" s="19">
        <f t="shared" si="3"/>
        <v>6.2067000000000005</v>
      </c>
      <c r="Y48" s="19">
        <f t="shared" si="4"/>
        <v>-7.1432000000000002</v>
      </c>
      <c r="Z48" s="19">
        <f t="shared" si="5"/>
        <v>1.3261000000000001</v>
      </c>
      <c r="AA48" s="19">
        <f t="shared" si="6"/>
        <v>-1.4231</v>
      </c>
    </row>
    <row r="49" spans="13:27" x14ac:dyDescent="0.25">
      <c r="M49" s="17">
        <v>201909</v>
      </c>
      <c r="N49" s="18">
        <v>3.1208</v>
      </c>
      <c r="O49" s="18">
        <v>0.34250000000000003</v>
      </c>
      <c r="P49" s="18">
        <v>0.52080000000000004</v>
      </c>
      <c r="Q49" s="18">
        <v>14.3962</v>
      </c>
      <c r="R49" s="18">
        <v>23.1999</v>
      </c>
      <c r="S49">
        <v>2.2315</v>
      </c>
      <c r="V49" s="19">
        <f t="shared" si="1"/>
        <v>2.8208000000000002</v>
      </c>
      <c r="W49" s="19">
        <f t="shared" si="2"/>
        <v>4.2500000000000038E-2</v>
      </c>
      <c r="X49" s="19">
        <f t="shared" si="3"/>
        <v>0.22080000000000005</v>
      </c>
      <c r="Y49" s="19">
        <f t="shared" si="4"/>
        <v>14.0962</v>
      </c>
      <c r="Z49" s="19">
        <f t="shared" si="5"/>
        <v>22.899899999999999</v>
      </c>
      <c r="AA49" s="19">
        <f t="shared" si="6"/>
        <v>1.9315</v>
      </c>
    </row>
    <row r="50" spans="13:27" x14ac:dyDescent="0.25">
      <c r="M50" s="17">
        <v>201910</v>
      </c>
      <c r="N50" s="18">
        <v>2.0175999999999998</v>
      </c>
      <c r="O50" s="18">
        <v>-1.877</v>
      </c>
      <c r="P50" s="18">
        <v>0.69069999999999998</v>
      </c>
      <c r="Q50" s="18">
        <v>0.44929999999999998</v>
      </c>
      <c r="R50" s="18">
        <v>47.4024</v>
      </c>
      <c r="S50">
        <v>4.9058000000000002</v>
      </c>
      <c r="V50" s="19">
        <f t="shared" si="1"/>
        <v>1.7175999999999998</v>
      </c>
      <c r="W50" s="19">
        <f t="shared" si="2"/>
        <v>-2.177</v>
      </c>
      <c r="X50" s="19">
        <f t="shared" si="3"/>
        <v>0.39069999999999999</v>
      </c>
      <c r="Y50" s="19">
        <f t="shared" si="4"/>
        <v>0.14929999999999999</v>
      </c>
      <c r="Z50" s="19">
        <f t="shared" si="5"/>
        <v>47.102400000000003</v>
      </c>
      <c r="AA50" s="19">
        <f t="shared" si="6"/>
        <v>4.6058000000000003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42"/>
  <sheetViews>
    <sheetView topLeftCell="C1" workbookViewId="0">
      <selection activeCell="X15" sqref="X15"/>
    </sheetView>
  </sheetViews>
  <sheetFormatPr defaultRowHeight="16.5" x14ac:dyDescent="0.25"/>
  <cols>
    <col min="13" max="13" width="16.75" customWidth="1"/>
  </cols>
  <sheetData>
    <row r="1" spans="1:26" x14ac:dyDescent="0.25">
      <c r="A1" t="s">
        <v>111</v>
      </c>
      <c r="M1" s="15" t="s">
        <v>109</v>
      </c>
      <c r="N1" s="15">
        <v>1210</v>
      </c>
      <c r="O1" s="15">
        <v>1215</v>
      </c>
      <c r="P1" s="15">
        <v>1307</v>
      </c>
      <c r="Q1" s="15">
        <v>1316</v>
      </c>
      <c r="R1" s="15">
        <v>1445</v>
      </c>
      <c r="S1" s="15">
        <v>1472</v>
      </c>
      <c r="T1" s="15">
        <v>1503</v>
      </c>
      <c r="U1" s="15">
        <v>1614</v>
      </c>
      <c r="V1" s="15">
        <v>1615</v>
      </c>
      <c r="W1" s="15">
        <v>1721</v>
      </c>
    </row>
    <row r="2" spans="1:26" x14ac:dyDescent="0.25">
      <c r="L2" s="49" t="s">
        <v>117</v>
      </c>
      <c r="M2" s="17">
        <v>201501</v>
      </c>
      <c r="N2" s="18">
        <v>1.4519</v>
      </c>
      <c r="O2" s="18">
        <v>8.9110999999999994</v>
      </c>
      <c r="P2" s="18">
        <v>12.333399999999999</v>
      </c>
      <c r="Q2" s="18">
        <v>-8.8802000000000003</v>
      </c>
      <c r="R2" s="18">
        <v>-1.8478000000000001</v>
      </c>
      <c r="S2" s="18">
        <v>-10.192399999999999</v>
      </c>
      <c r="T2" s="18">
        <v>0.50649999999999995</v>
      </c>
      <c r="U2" s="18">
        <v>-1.6232</v>
      </c>
      <c r="V2" s="18">
        <v>0.43109999999999998</v>
      </c>
      <c r="W2" s="18">
        <v>9.5238999999999994</v>
      </c>
    </row>
    <row r="3" spans="1:26" x14ac:dyDescent="0.25">
      <c r="A3" t="s">
        <v>112</v>
      </c>
      <c r="L3" s="49"/>
      <c r="M3" s="17">
        <v>201502</v>
      </c>
      <c r="N3" s="18">
        <v>-1.61</v>
      </c>
      <c r="O3" s="18">
        <v>2.5453999999999999</v>
      </c>
      <c r="P3" s="18">
        <v>17.5075</v>
      </c>
      <c r="Q3" s="18">
        <v>7.3048000000000002</v>
      </c>
      <c r="R3" s="18">
        <v>1.1072</v>
      </c>
      <c r="S3" s="18">
        <v>-8.5653000000000006</v>
      </c>
      <c r="T3" s="18">
        <v>0.50380000000000003</v>
      </c>
      <c r="U3" s="18">
        <v>-1.155</v>
      </c>
      <c r="V3" s="18">
        <v>-1.7168000000000001</v>
      </c>
      <c r="W3" s="18">
        <v>-1.3044</v>
      </c>
    </row>
    <row r="4" spans="1:26" x14ac:dyDescent="0.25">
      <c r="A4" t="s">
        <v>113</v>
      </c>
      <c r="L4" s="49"/>
      <c r="M4" s="17">
        <v>201503</v>
      </c>
      <c r="N4" s="18">
        <v>-4.5456000000000003</v>
      </c>
      <c r="O4" s="18">
        <v>2.6596000000000002</v>
      </c>
      <c r="P4" s="18">
        <v>0.88390000000000002</v>
      </c>
      <c r="Q4" s="18">
        <v>-4.8780999999999999</v>
      </c>
      <c r="R4" s="18">
        <v>0.98570000000000002</v>
      </c>
      <c r="S4" s="18">
        <v>1.171</v>
      </c>
      <c r="T4" s="18">
        <v>0.1255</v>
      </c>
      <c r="U4" s="18">
        <v>-2.8382000000000001</v>
      </c>
      <c r="V4" s="18">
        <v>3.4933999999999998</v>
      </c>
      <c r="W4" s="18">
        <v>-0.44059999999999999</v>
      </c>
    </row>
    <row r="5" spans="1:26" x14ac:dyDescent="0.25">
      <c r="A5" t="s">
        <v>114</v>
      </c>
      <c r="L5" s="49"/>
      <c r="M5" s="17">
        <v>201504</v>
      </c>
      <c r="N5" s="18">
        <v>-4.7619999999999996</v>
      </c>
      <c r="O5" s="18">
        <v>-1.9</v>
      </c>
      <c r="P5" s="18">
        <v>39.424399999999999</v>
      </c>
      <c r="Q5" s="18">
        <v>-1.7095</v>
      </c>
      <c r="R5" s="18">
        <v>25.271000000000001</v>
      </c>
      <c r="S5" s="18">
        <v>-3.9352999999999998</v>
      </c>
      <c r="T5" s="18">
        <v>3.7551000000000001</v>
      </c>
      <c r="U5" s="18">
        <v>5.3262999999999998</v>
      </c>
      <c r="V5" s="18">
        <v>-5.9073000000000002</v>
      </c>
      <c r="W5" s="18">
        <v>7.9645999999999999</v>
      </c>
    </row>
    <row r="6" spans="1:26" x14ac:dyDescent="0.25">
      <c r="A6" t="s">
        <v>115</v>
      </c>
      <c r="L6" s="49"/>
      <c r="M6" s="17">
        <v>201505</v>
      </c>
      <c r="N6" s="18">
        <v>-5.2000999999999999</v>
      </c>
      <c r="O6" s="18">
        <v>-4.7533000000000003</v>
      </c>
      <c r="P6" s="18">
        <v>-15.619300000000001</v>
      </c>
      <c r="Q6" s="18">
        <v>-0.43480000000000002</v>
      </c>
      <c r="R6" s="18">
        <v>-13.4199</v>
      </c>
      <c r="S6" s="18">
        <v>-39.277099999999997</v>
      </c>
      <c r="T6" s="18">
        <v>-7.8407</v>
      </c>
      <c r="U6" s="18">
        <v>-6.6885000000000003</v>
      </c>
      <c r="V6" s="18">
        <v>-3.1387999999999998</v>
      </c>
      <c r="W6" s="18">
        <v>-6.5575999999999999</v>
      </c>
    </row>
    <row r="7" spans="1:26" x14ac:dyDescent="0.25">
      <c r="A7" t="s">
        <v>116</v>
      </c>
      <c r="L7" s="49"/>
      <c r="M7" s="17">
        <v>201506</v>
      </c>
      <c r="N7" s="18">
        <v>-8.2278000000000002</v>
      </c>
      <c r="O7" s="18">
        <v>-3.8816999999999999</v>
      </c>
      <c r="P7" s="18">
        <v>-7.4470000000000001</v>
      </c>
      <c r="Q7" s="18">
        <v>-1.7468999999999999</v>
      </c>
      <c r="R7" s="18">
        <v>8.9999000000000002</v>
      </c>
      <c r="S7" s="18">
        <v>27.7776</v>
      </c>
      <c r="T7" s="18">
        <v>0.52339999999999998</v>
      </c>
      <c r="U7" s="18">
        <v>-4.3707000000000003</v>
      </c>
      <c r="V7" s="18">
        <v>-2.2734999999999999</v>
      </c>
      <c r="W7" s="18">
        <v>-2.1930000000000001</v>
      </c>
    </row>
    <row r="8" spans="1:26" x14ac:dyDescent="0.25">
      <c r="L8" s="49"/>
      <c r="M8" s="17">
        <v>201507</v>
      </c>
      <c r="N8" s="18">
        <v>-2.9885000000000002</v>
      </c>
      <c r="O8" s="18">
        <v>-2.6924999999999999</v>
      </c>
      <c r="P8" s="18">
        <v>-13.7776</v>
      </c>
      <c r="Q8" s="18">
        <v>-9.7776999999999994</v>
      </c>
      <c r="R8" s="18">
        <v>-5.9724000000000004</v>
      </c>
      <c r="S8" s="18">
        <v>-1.8634999999999999</v>
      </c>
      <c r="T8" s="18">
        <v>1.7453000000000001</v>
      </c>
      <c r="U8" s="18">
        <v>-0.37569999999999998</v>
      </c>
      <c r="V8" s="18">
        <v>-2.4390000000000001</v>
      </c>
      <c r="W8" s="18">
        <v>-4.9326999999999996</v>
      </c>
    </row>
    <row r="9" spans="1:26" x14ac:dyDescent="0.25">
      <c r="L9" s="49"/>
      <c r="M9" s="17">
        <v>201508</v>
      </c>
      <c r="N9" s="18">
        <v>-13.9673</v>
      </c>
      <c r="O9" s="18">
        <v>-10.7765</v>
      </c>
      <c r="P9" s="18">
        <v>-2.5790000000000002</v>
      </c>
      <c r="Q9" s="18">
        <v>-7.3890000000000002</v>
      </c>
      <c r="R9" s="18">
        <v>-5.2313999999999998</v>
      </c>
      <c r="S9" s="18">
        <v>-21.8353</v>
      </c>
      <c r="T9" s="18">
        <v>3.4620000000000002</v>
      </c>
      <c r="U9" s="18">
        <v>-6.415</v>
      </c>
      <c r="V9" s="18">
        <v>-2.2000999999999999</v>
      </c>
      <c r="W9" s="18">
        <v>-9.6227</v>
      </c>
    </row>
    <row r="10" spans="1:26" x14ac:dyDescent="0.25">
      <c r="L10" s="49"/>
      <c r="M10" s="17">
        <v>201509</v>
      </c>
      <c r="N10" s="18">
        <v>5.5395000000000003</v>
      </c>
      <c r="O10" s="18">
        <v>8.9057999999999993</v>
      </c>
      <c r="P10" s="18">
        <v>38.235399999999998</v>
      </c>
      <c r="Q10" s="18">
        <v>3.9361999999999999</v>
      </c>
      <c r="R10" s="18">
        <v>4.7773000000000003</v>
      </c>
      <c r="S10" s="18">
        <v>13.3604</v>
      </c>
      <c r="T10" s="18">
        <v>2.9601999999999999</v>
      </c>
      <c r="U10" s="18">
        <v>-1.613</v>
      </c>
      <c r="V10" s="18">
        <v>-3.3742000000000001</v>
      </c>
      <c r="W10" s="18">
        <v>7.5155000000000003</v>
      </c>
    </row>
    <row r="11" spans="1:26" x14ac:dyDescent="0.25">
      <c r="L11" s="49"/>
      <c r="M11" s="17">
        <v>201510</v>
      </c>
      <c r="N11" s="18">
        <v>8.8398000000000003</v>
      </c>
      <c r="O11" s="18">
        <v>3.0371999999999999</v>
      </c>
      <c r="P11" s="18">
        <v>-13.936199999999999</v>
      </c>
      <c r="Q11" s="18">
        <v>2.2517999999999998</v>
      </c>
      <c r="R11" s="18">
        <v>-1.4186000000000001</v>
      </c>
      <c r="S11" s="18">
        <v>3.2143999999999999</v>
      </c>
      <c r="T11" s="18">
        <v>-0.24990000000000001</v>
      </c>
      <c r="U11" s="18">
        <v>9.6311</v>
      </c>
      <c r="V11" s="18">
        <v>5.8201999999999998</v>
      </c>
      <c r="W11" s="18">
        <v>10.1943</v>
      </c>
    </row>
    <row r="12" spans="1:26" x14ac:dyDescent="0.25">
      <c r="L12" s="49"/>
      <c r="M12" s="17">
        <v>201511</v>
      </c>
      <c r="N12" s="18">
        <v>-1.2690999999999999</v>
      </c>
      <c r="O12" s="18">
        <v>8.8437000000000001</v>
      </c>
      <c r="P12" s="18">
        <v>0.37080000000000002</v>
      </c>
      <c r="Q12" s="18">
        <v>-1.101</v>
      </c>
      <c r="R12" s="18">
        <v>-4.8304999999999998</v>
      </c>
      <c r="S12" s="18">
        <v>5.5362</v>
      </c>
      <c r="T12" s="18">
        <v>-0.75190000000000001</v>
      </c>
      <c r="U12" s="18">
        <v>-1.4951000000000001</v>
      </c>
      <c r="V12" s="18">
        <v>-3.0001000000000002</v>
      </c>
      <c r="W12" s="18">
        <v>16.299299999999999</v>
      </c>
    </row>
    <row r="13" spans="1:26" x14ac:dyDescent="0.25">
      <c r="L13" s="49"/>
      <c r="M13" s="17">
        <v>201512</v>
      </c>
      <c r="N13" s="18">
        <v>6.4264000000000001</v>
      </c>
      <c r="O13" s="18">
        <v>-4.1669</v>
      </c>
      <c r="P13" s="18">
        <v>-4.5567000000000002</v>
      </c>
      <c r="Q13" s="18">
        <v>-1.8219000000000001</v>
      </c>
      <c r="R13" s="18">
        <v>0.86380000000000001</v>
      </c>
      <c r="S13" s="18">
        <v>-8.1967999999999996</v>
      </c>
      <c r="T13" s="18">
        <v>4.7980999999999998</v>
      </c>
      <c r="U13" s="18">
        <v>-6.0723000000000003</v>
      </c>
      <c r="V13" s="18">
        <v>1.0309999999999999</v>
      </c>
      <c r="W13" s="18">
        <v>-8.3333999999999993</v>
      </c>
    </row>
    <row r="14" spans="1:26" x14ac:dyDescent="0.25">
      <c r="L14" t="s">
        <v>118</v>
      </c>
      <c r="M14" t="s">
        <v>110</v>
      </c>
      <c r="N14">
        <v>15243</v>
      </c>
      <c r="O14">
        <v>6163</v>
      </c>
      <c r="P14">
        <v>14966</v>
      </c>
      <c r="Q14">
        <v>1648</v>
      </c>
      <c r="R14">
        <v>1295</v>
      </c>
      <c r="S14">
        <v>1038</v>
      </c>
      <c r="T14">
        <v>21620</v>
      </c>
      <c r="U14">
        <v>6660</v>
      </c>
      <c r="V14">
        <v>1096</v>
      </c>
      <c r="W14">
        <v>1012</v>
      </c>
      <c r="X14" t="s">
        <v>203</v>
      </c>
      <c r="Y14" t="s">
        <v>166</v>
      </c>
      <c r="Z14" t="s">
        <v>204</v>
      </c>
    </row>
    <row r="15" spans="1:26" x14ac:dyDescent="0.25">
      <c r="M15" t="s">
        <v>205</v>
      </c>
      <c r="N15">
        <f>N14/SUM($N$14:$W$14)</f>
        <v>0.21547617364753113</v>
      </c>
      <c r="O15" s="19">
        <f t="shared" ref="O15:W15" si="0">O14/SUM($N$14:$W$14)</f>
        <v>8.7120623118135163E-2</v>
      </c>
      <c r="P15" s="19">
        <f t="shared" si="0"/>
        <v>0.21156048119195375</v>
      </c>
      <c r="Q15" s="19">
        <f t="shared" si="0"/>
        <v>2.3296249699608432E-2</v>
      </c>
      <c r="R15" s="19">
        <f t="shared" si="0"/>
        <v>1.830621563167046E-2</v>
      </c>
      <c r="S15" s="19">
        <f t="shared" si="0"/>
        <v>1.4673244653030068E-2</v>
      </c>
      <c r="T15" s="19">
        <f t="shared" si="0"/>
        <v>0.30562191656889215</v>
      </c>
      <c r="U15" s="19">
        <f t="shared" si="0"/>
        <v>9.4146251820019511E-2</v>
      </c>
      <c r="V15" s="19">
        <f t="shared" si="0"/>
        <v>1.5493136936147355E-2</v>
      </c>
      <c r="W15" s="19">
        <f t="shared" si="0"/>
        <v>1.4305706733011974E-2</v>
      </c>
      <c r="X15">
        <f t="array" ref="X15">MMULT(MMULT(N15:W15,N21:W30),TRANSPOSE(N15:W15))</f>
        <v>30.036924073615261</v>
      </c>
      <c r="Y15">
        <f>X15^0.5</f>
        <v>5.4805952298646599</v>
      </c>
      <c r="Z15">
        <f t="array" ref="Z15">MMULT(N15:W15,TRANSPOSE(N16:W16))</f>
        <v>0.60376192966832043</v>
      </c>
    </row>
    <row r="16" spans="1:26" x14ac:dyDescent="0.25">
      <c r="M16" t="s">
        <v>171</v>
      </c>
      <c r="N16">
        <f>AVERAGE(N2:N13)</f>
        <v>-1.692733333333333</v>
      </c>
      <c r="O16" s="19">
        <f t="shared" ref="O16:V16" si="1">AVERAGE(O2:O13)</f>
        <v>0.56099166666666644</v>
      </c>
      <c r="P16" s="19">
        <f t="shared" si="1"/>
        <v>4.2366333333333319</v>
      </c>
      <c r="Q16" s="19">
        <f t="shared" si="1"/>
        <v>-2.0205249999999997</v>
      </c>
      <c r="R16" s="19">
        <f t="shared" si="1"/>
        <v>0.77369166666666667</v>
      </c>
      <c r="S16" s="19">
        <f t="shared" si="1"/>
        <v>-3.5671750000000002</v>
      </c>
      <c r="T16" s="19">
        <f t="shared" si="1"/>
        <v>0.79478333333333351</v>
      </c>
      <c r="U16" s="19">
        <f t="shared" si="1"/>
        <v>-1.4741083333333336</v>
      </c>
      <c r="V16" s="19">
        <f t="shared" si="1"/>
        <v>-1.1061749999999999</v>
      </c>
      <c r="W16" s="19">
        <f>AVERAGE(W2:W13)</f>
        <v>1.5094333333333332</v>
      </c>
    </row>
    <row r="17" spans="13:23" x14ac:dyDescent="0.25">
      <c r="M17" t="s">
        <v>166</v>
      </c>
      <c r="N17">
        <f>_xlfn.STDEV.S(N2:N13)</f>
        <v>6.4957802650270704</v>
      </c>
      <c r="O17" s="19">
        <f t="shared" ref="O17:W17" si="2">_xlfn.STDEV.S(O2:O13)</f>
        <v>6.3098019259299809</v>
      </c>
      <c r="P17" s="19">
        <f t="shared" si="2"/>
        <v>19.000620797864539</v>
      </c>
      <c r="Q17" s="19">
        <f t="shared" si="2"/>
        <v>5.121108658932255</v>
      </c>
      <c r="R17" s="19">
        <f t="shared" si="2"/>
        <v>9.5826360119330936</v>
      </c>
      <c r="S17" s="19">
        <f t="shared" si="2"/>
        <v>16.848573340959224</v>
      </c>
      <c r="T17" s="19">
        <f t="shared" si="2"/>
        <v>3.2507496729309384</v>
      </c>
      <c r="U17" s="19">
        <f t="shared" si="2"/>
        <v>4.8045257392395291</v>
      </c>
      <c r="V17" s="19">
        <f t="shared" si="2"/>
        <v>3.25692761136655</v>
      </c>
      <c r="W17" s="19">
        <f t="shared" si="2"/>
        <v>8.4689428575379129</v>
      </c>
    </row>
    <row r="19" spans="13:23" ht="17.25" thickBot="1" x14ac:dyDescent="0.3"/>
    <row r="20" spans="13:23" x14ac:dyDescent="0.25">
      <c r="M20" s="42"/>
      <c r="N20" s="42">
        <v>1210</v>
      </c>
      <c r="O20" s="42">
        <v>1215</v>
      </c>
      <c r="P20" s="42">
        <v>1307</v>
      </c>
      <c r="Q20" s="42">
        <v>1316</v>
      </c>
      <c r="R20" s="42">
        <v>1445</v>
      </c>
      <c r="S20" s="42">
        <v>1472</v>
      </c>
      <c r="T20" s="42">
        <v>1503</v>
      </c>
      <c r="U20" s="42">
        <v>1614</v>
      </c>
      <c r="V20" s="42">
        <v>1615</v>
      </c>
      <c r="W20" s="42">
        <v>1721</v>
      </c>
    </row>
    <row r="21" spans="13:23" ht="17.25" thickBot="1" x14ac:dyDescent="0.3">
      <c r="M21" s="40">
        <v>1210</v>
      </c>
      <c r="N21" s="40">
        <f>VARP('Q7'!$N$2:$N$13)</f>
        <v>38.678897813888895</v>
      </c>
      <c r="O21" s="40">
        <v>22.549534248055551</v>
      </c>
      <c r="P21" s="40">
        <v>13.547434716944451</v>
      </c>
      <c r="Q21" s="40">
        <v>12.089697140833332</v>
      </c>
      <c r="R21" s="40">
        <v>-0.10941236027777772</v>
      </c>
      <c r="S21" s="40">
        <v>22.409810329166671</v>
      </c>
      <c r="T21" s="40">
        <v>2.2074470961111112</v>
      </c>
      <c r="U21" s="40">
        <v>13.136529143055556</v>
      </c>
      <c r="V21" s="40">
        <v>9.1174056575000009</v>
      </c>
      <c r="W21" s="41">
        <v>22.455062733611111</v>
      </c>
    </row>
    <row r="22" spans="13:23" ht="17.25" thickBot="1" x14ac:dyDescent="0.3">
      <c r="M22" s="40">
        <v>1215</v>
      </c>
      <c r="N22" s="40">
        <v>22.549534248055551</v>
      </c>
      <c r="O22" s="40">
        <f>VARP('Q7'!$O$2:$O$13)</f>
        <v>36.495800315763887</v>
      </c>
      <c r="P22" s="40">
        <v>45.157249641944446</v>
      </c>
      <c r="Q22" s="40">
        <v>8.1573454864583308</v>
      </c>
      <c r="R22" s="40">
        <v>2.4149668649305562</v>
      </c>
      <c r="S22" s="40">
        <v>37.753199524374999</v>
      </c>
      <c r="T22" s="40">
        <v>-1.1803534343055559</v>
      </c>
      <c r="U22" s="40">
        <v>10.059887846597222</v>
      </c>
      <c r="V22" s="40">
        <v>3.1877832968750006</v>
      </c>
      <c r="W22" s="41">
        <v>40.709137726944441</v>
      </c>
    </row>
    <row r="23" spans="13:23" ht="17.25" thickBot="1" x14ac:dyDescent="0.3">
      <c r="M23" s="40">
        <v>1307</v>
      </c>
      <c r="N23" s="40">
        <v>13.547434716944451</v>
      </c>
      <c r="O23" s="40">
        <v>45.157249641944446</v>
      </c>
      <c r="P23" s="40">
        <f>VARP('Q7'!$P$2:$P$13)</f>
        <v>330.93829147888891</v>
      </c>
      <c r="Q23" s="40">
        <v>29.163733285833331</v>
      </c>
      <c r="R23" s="40">
        <v>115.79122464527779</v>
      </c>
      <c r="S23" s="40">
        <v>62.136144610833334</v>
      </c>
      <c r="T23" s="40">
        <v>25.244407986388879</v>
      </c>
      <c r="U23" s="40">
        <v>19.344940663611109</v>
      </c>
      <c r="V23" s="40">
        <v>-25.750659137499998</v>
      </c>
      <c r="W23" s="41">
        <v>61.027955085555561</v>
      </c>
    </row>
    <row r="24" spans="13:23" ht="17.25" thickBot="1" x14ac:dyDescent="0.3">
      <c r="M24" s="40">
        <v>1316</v>
      </c>
      <c r="N24" s="40">
        <v>12.089697140833332</v>
      </c>
      <c r="O24" s="40">
        <v>8.1573454864583308</v>
      </c>
      <c r="P24" s="40">
        <v>29.163733285833331</v>
      </c>
      <c r="Q24" s="40">
        <f>VARP('Q7'!$Q$2:$Q$13)</f>
        <v>24.04027440520834</v>
      </c>
      <c r="R24" s="40">
        <v>8.4804646714583338</v>
      </c>
      <c r="S24" s="40">
        <v>13.270637291458335</v>
      </c>
      <c r="T24" s="40">
        <v>-2.1295153254166665</v>
      </c>
      <c r="U24" s="40">
        <v>5.3866698914583324</v>
      </c>
      <c r="V24" s="40">
        <v>-0.28688357020833299</v>
      </c>
      <c r="W24" s="41">
        <v>8.9016148299999998</v>
      </c>
    </row>
    <row r="25" spans="13:23" ht="17.25" thickBot="1" x14ac:dyDescent="0.3">
      <c r="M25" s="40">
        <v>1445</v>
      </c>
      <c r="N25" s="40">
        <v>-0.10941236027777772</v>
      </c>
      <c r="O25" s="40">
        <v>2.4149668649305562</v>
      </c>
      <c r="P25" s="40">
        <v>115.79122464527779</v>
      </c>
      <c r="Q25" s="40">
        <v>8.4804646714583338</v>
      </c>
      <c r="R25" s="40">
        <f>VARP('Q7'!$R$2:$R$13)</f>
        <v>84.174670192430554</v>
      </c>
      <c r="S25" s="40">
        <v>72.672236775208361</v>
      </c>
      <c r="T25" s="40">
        <v>15.910989300694446</v>
      </c>
      <c r="U25" s="40">
        <v>17.837056239097222</v>
      </c>
      <c r="V25" s="40">
        <v>-8.2936204356249998</v>
      </c>
      <c r="W25" s="41">
        <v>20.946532631944443</v>
      </c>
    </row>
    <row r="26" spans="13:23" ht="17.25" thickBot="1" x14ac:dyDescent="0.3">
      <c r="M26" s="40">
        <v>1472</v>
      </c>
      <c r="N26" s="40">
        <v>22.409810329166671</v>
      </c>
      <c r="O26" s="40">
        <v>37.753199524374999</v>
      </c>
      <c r="P26" s="40">
        <v>62.136144610833334</v>
      </c>
      <c r="Q26" s="40">
        <v>13.270637291458335</v>
      </c>
      <c r="R26" s="40">
        <v>72.672236775208361</v>
      </c>
      <c r="S26" s="40">
        <f>VARP('Q7'!$S$2:$S$13)</f>
        <v>260.21822165687496</v>
      </c>
      <c r="T26" s="40">
        <v>20.735038574583324</v>
      </c>
      <c r="U26" s="40">
        <v>22.668942333541668</v>
      </c>
      <c r="V26" s="40">
        <v>4.298411459375</v>
      </c>
      <c r="W26" s="41">
        <v>54.544250334166662</v>
      </c>
    </row>
    <row r="27" spans="13:23" ht="17.25" thickBot="1" x14ac:dyDescent="0.3">
      <c r="M27" s="40">
        <v>1503</v>
      </c>
      <c r="N27" s="40">
        <v>2.2074470961111112</v>
      </c>
      <c r="O27" s="40">
        <v>-1.1803534343055559</v>
      </c>
      <c r="P27" s="40">
        <v>25.244407986388879</v>
      </c>
      <c r="Q27" s="40">
        <v>-2.1295153254166665</v>
      </c>
      <c r="R27" s="40">
        <v>15.910989300694446</v>
      </c>
      <c r="S27" s="40">
        <v>20.735038574583324</v>
      </c>
      <c r="T27" s="40">
        <f>VARP('Q7'!$T$2:$T$13)</f>
        <v>9.6867589830555563</v>
      </c>
      <c r="U27" s="40">
        <v>2.033101914861112</v>
      </c>
      <c r="V27" s="40">
        <v>-0.37782257875000019</v>
      </c>
      <c r="W27" s="41">
        <v>-0.38094749611111273</v>
      </c>
    </row>
    <row r="28" spans="13:23" ht="17.25" thickBot="1" x14ac:dyDescent="0.3">
      <c r="M28" s="40">
        <v>1614</v>
      </c>
      <c r="N28" s="40">
        <v>13.136529143055556</v>
      </c>
      <c r="O28" s="40">
        <v>10.059887846597222</v>
      </c>
      <c r="P28" s="40">
        <v>19.344940663611109</v>
      </c>
      <c r="Q28" s="40">
        <v>5.3866698914583324</v>
      </c>
      <c r="R28" s="40">
        <v>17.837056239097222</v>
      </c>
      <c r="S28" s="40">
        <v>22.668942333541668</v>
      </c>
      <c r="T28" s="40">
        <v>2.033101914861112</v>
      </c>
      <c r="U28" s="40">
        <f>VARP('Q7'!$U$2:$U$13)</f>
        <v>21.159845280763886</v>
      </c>
      <c r="V28" s="40">
        <v>3.8349755218749997</v>
      </c>
      <c r="W28" s="41">
        <v>23.81187480777778</v>
      </c>
    </row>
    <row r="29" spans="13:23" ht="17.25" thickBot="1" x14ac:dyDescent="0.3">
      <c r="M29" s="40">
        <v>1615</v>
      </c>
      <c r="N29" s="40">
        <v>9.1174056575000009</v>
      </c>
      <c r="O29" s="40">
        <v>3.1877832968750006</v>
      </c>
      <c r="P29" s="40">
        <v>-25.750659137499998</v>
      </c>
      <c r="Q29" s="40">
        <v>-0.28688357020833299</v>
      </c>
      <c r="R29" s="40">
        <v>-8.2936204356249998</v>
      </c>
      <c r="S29" s="40">
        <v>4.298411459375</v>
      </c>
      <c r="T29" s="40">
        <v>-0.37782257875000019</v>
      </c>
      <c r="U29" s="40">
        <v>3.8349755218749997</v>
      </c>
      <c r="V29" s="40">
        <f>VARP('Q7'!$V$2:$V$13)</f>
        <v>9.7236126768749997</v>
      </c>
      <c r="W29" s="41">
        <v>1.0871983316666654</v>
      </c>
    </row>
    <row r="30" spans="13:23" ht="17.25" thickBot="1" x14ac:dyDescent="0.3">
      <c r="M30" s="41">
        <v>1721</v>
      </c>
      <c r="N30" s="41">
        <v>22.455062733611111</v>
      </c>
      <c r="O30" s="41">
        <v>40.709137726944441</v>
      </c>
      <c r="P30" s="41">
        <v>61.027955085555561</v>
      </c>
      <c r="Q30" s="41">
        <v>8.9016148299999998</v>
      </c>
      <c r="R30" s="41">
        <v>20.946532631944443</v>
      </c>
      <c r="S30" s="41">
        <v>54.544250334166662</v>
      </c>
      <c r="T30" s="41">
        <v>-0.38094749611111273</v>
      </c>
      <c r="U30" s="41">
        <v>23.81187480777778</v>
      </c>
      <c r="V30" s="41">
        <v>1.0871983316666654</v>
      </c>
      <c r="W30" s="41">
        <f>VARP('Q7'!$W$2:$W$13)</f>
        <v>65.746077030555554</v>
      </c>
    </row>
    <row r="33" spans="14:23" ht="17.25" thickBot="1" x14ac:dyDescent="0.3">
      <c r="N33" s="40"/>
      <c r="O33" s="40"/>
      <c r="P33" s="40"/>
      <c r="Q33" s="40"/>
      <c r="R33" s="40"/>
      <c r="S33" s="40"/>
      <c r="T33" s="40"/>
      <c r="U33" s="40"/>
      <c r="V33" s="40"/>
      <c r="W33" s="41"/>
    </row>
    <row r="34" spans="14:23" ht="17.25" thickBot="1" x14ac:dyDescent="0.3">
      <c r="N34" s="40"/>
      <c r="O34" s="40"/>
      <c r="P34" s="40"/>
      <c r="Q34" s="40"/>
      <c r="R34" s="40"/>
      <c r="S34" s="40"/>
      <c r="T34" s="40"/>
      <c r="U34" s="40"/>
      <c r="V34" s="40"/>
      <c r="W34" s="41"/>
    </row>
    <row r="35" spans="14:23" ht="17.25" thickBot="1" x14ac:dyDescent="0.3">
      <c r="N35" s="40"/>
      <c r="O35" s="40"/>
      <c r="P35" s="40"/>
      <c r="Q35" s="40"/>
      <c r="R35" s="40"/>
      <c r="S35" s="40"/>
      <c r="T35" s="40"/>
      <c r="U35" s="40"/>
      <c r="V35" s="40"/>
      <c r="W35" s="41"/>
    </row>
    <row r="36" spans="14:23" ht="17.25" thickBot="1" x14ac:dyDescent="0.3">
      <c r="N36" s="40"/>
      <c r="O36" s="40"/>
      <c r="P36" s="40"/>
      <c r="Q36" s="40"/>
      <c r="R36" s="40"/>
      <c r="S36" s="40"/>
      <c r="T36" s="40"/>
      <c r="U36" s="40"/>
      <c r="V36" s="40"/>
      <c r="W36" s="41"/>
    </row>
    <row r="37" spans="14:23" ht="17.25" thickBot="1" x14ac:dyDescent="0.3">
      <c r="N37" s="40"/>
      <c r="O37" s="40"/>
      <c r="P37" s="40"/>
      <c r="Q37" s="40"/>
      <c r="R37" s="40"/>
      <c r="S37" s="40"/>
      <c r="T37" s="40"/>
      <c r="U37" s="40"/>
      <c r="V37" s="40"/>
      <c r="W37" s="41"/>
    </row>
    <row r="38" spans="14:23" ht="17.25" thickBot="1" x14ac:dyDescent="0.3">
      <c r="N38" s="40"/>
      <c r="O38" s="40"/>
      <c r="P38" s="40"/>
      <c r="Q38" s="40"/>
      <c r="R38" s="40"/>
      <c r="S38" s="40"/>
      <c r="T38" s="40"/>
      <c r="U38" s="40"/>
      <c r="V38" s="40"/>
      <c r="W38" s="41"/>
    </row>
    <row r="39" spans="14:23" ht="17.25" thickBot="1" x14ac:dyDescent="0.3">
      <c r="N39" s="40"/>
      <c r="O39" s="40"/>
      <c r="P39" s="40"/>
      <c r="Q39" s="40"/>
      <c r="R39" s="40"/>
      <c r="S39" s="40"/>
      <c r="T39" s="40"/>
      <c r="U39" s="40"/>
      <c r="V39" s="40"/>
      <c r="W39" s="41"/>
    </row>
    <row r="40" spans="14:23" ht="17.25" thickBot="1" x14ac:dyDescent="0.3">
      <c r="N40" s="40"/>
      <c r="O40" s="40"/>
      <c r="P40" s="40"/>
      <c r="Q40" s="40"/>
      <c r="R40" s="40"/>
      <c r="S40" s="40"/>
      <c r="T40" s="40"/>
      <c r="U40" s="40"/>
      <c r="V40" s="40"/>
      <c r="W40" s="41"/>
    </row>
    <row r="41" spans="14:23" ht="17.25" thickBot="1" x14ac:dyDescent="0.3">
      <c r="N41" s="40"/>
      <c r="O41" s="40"/>
      <c r="P41" s="40"/>
      <c r="Q41" s="40"/>
      <c r="R41" s="40"/>
      <c r="S41" s="40"/>
      <c r="T41" s="40"/>
      <c r="U41" s="40"/>
      <c r="V41" s="40"/>
      <c r="W41" s="41"/>
    </row>
    <row r="42" spans="14:23" ht="17.25" thickBot="1" x14ac:dyDescent="0.3">
      <c r="N42" s="40"/>
      <c r="O42" s="40"/>
      <c r="P42" s="40"/>
      <c r="Q42" s="40"/>
      <c r="R42" s="40"/>
      <c r="S42" s="40"/>
      <c r="T42" s="40"/>
      <c r="U42" s="40"/>
      <c r="V42" s="40"/>
      <c r="W42" s="41"/>
    </row>
  </sheetData>
  <mergeCells count="1">
    <mergeCell ref="L2:L1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L40"/>
  <sheetViews>
    <sheetView tabSelected="1" topLeftCell="A16" workbookViewId="0">
      <selection activeCell="O22" sqref="O22"/>
    </sheetView>
  </sheetViews>
  <sheetFormatPr defaultRowHeight="16.5" x14ac:dyDescent="0.25"/>
  <cols>
    <col min="6" max="6" width="9.625" bestFit="1" customWidth="1"/>
    <col min="8" max="8" width="9.625" bestFit="1" customWidth="1"/>
  </cols>
  <sheetData>
    <row r="1" spans="1:4" x14ac:dyDescent="0.25">
      <c r="A1" t="s">
        <v>132</v>
      </c>
    </row>
    <row r="2" spans="1:4" x14ac:dyDescent="0.25">
      <c r="A2" s="20"/>
      <c r="B2" s="19"/>
      <c r="C2" s="19"/>
      <c r="D2" s="19"/>
    </row>
    <row r="3" spans="1:4" x14ac:dyDescent="0.25">
      <c r="A3" s="20" t="s">
        <v>133</v>
      </c>
      <c r="B3" s="19"/>
      <c r="C3" s="19"/>
      <c r="D3" s="19"/>
    </row>
    <row r="5" spans="1:4" x14ac:dyDescent="0.25">
      <c r="A5" s="19" t="s">
        <v>119</v>
      </c>
      <c r="B5" s="19"/>
      <c r="C5" s="21">
        <v>0.12</v>
      </c>
      <c r="D5" s="19"/>
    </row>
    <row r="6" spans="1:4" ht="19.5" x14ac:dyDescent="0.25">
      <c r="A6" s="19" t="s">
        <v>216</v>
      </c>
      <c r="B6" s="19"/>
      <c r="C6" s="21">
        <v>7.1999999999999995E-2</v>
      </c>
      <c r="D6" s="23" t="s">
        <v>120</v>
      </c>
    </row>
    <row r="7" spans="1:4" x14ac:dyDescent="0.25">
      <c r="A7" s="19" t="s">
        <v>121</v>
      </c>
      <c r="B7" s="19"/>
      <c r="C7" s="21">
        <v>3.5999999999999997E-2</v>
      </c>
      <c r="D7" s="19"/>
    </row>
    <row r="9" spans="1:4" x14ac:dyDescent="0.25">
      <c r="A9" s="19" t="s">
        <v>122</v>
      </c>
      <c r="B9" s="19"/>
      <c r="C9" s="22">
        <v>0.8</v>
      </c>
      <c r="D9" s="19"/>
    </row>
    <row r="10" spans="1:4" x14ac:dyDescent="0.25">
      <c r="A10" s="19" t="s">
        <v>123</v>
      </c>
      <c r="B10" s="19"/>
      <c r="C10" s="22">
        <v>0.2</v>
      </c>
      <c r="D10" s="19"/>
    </row>
    <row r="12" spans="1:4" x14ac:dyDescent="0.25">
      <c r="A12" s="19" t="s">
        <v>124</v>
      </c>
      <c r="B12" s="19"/>
      <c r="C12" s="19"/>
      <c r="D12" s="19"/>
    </row>
    <row r="13" spans="1:4" x14ac:dyDescent="0.25">
      <c r="A13" s="19" t="s">
        <v>125</v>
      </c>
      <c r="B13" s="19"/>
      <c r="C13" s="22">
        <v>0.4</v>
      </c>
      <c r="D13" s="21">
        <f>C13*$C$9</f>
        <v>0.32000000000000006</v>
      </c>
    </row>
    <row r="14" spans="1:4" x14ac:dyDescent="0.25">
      <c r="A14" s="19" t="s">
        <v>126</v>
      </c>
      <c r="B14" s="19"/>
      <c r="C14" s="22">
        <v>0.25</v>
      </c>
      <c r="D14" s="21">
        <f t="shared" ref="D14:D15" si="0">C14*$C$9</f>
        <v>0.2</v>
      </c>
    </row>
    <row r="15" spans="1:4" x14ac:dyDescent="0.25">
      <c r="A15" s="19" t="s">
        <v>127</v>
      </c>
      <c r="B15" s="19"/>
      <c r="C15" s="22">
        <v>0.35</v>
      </c>
      <c r="D15" s="21">
        <f t="shared" si="0"/>
        <v>0.27999999999999997</v>
      </c>
    </row>
    <row r="16" spans="1:4" x14ac:dyDescent="0.25">
      <c r="A16" s="19" t="s">
        <v>128</v>
      </c>
      <c r="B16" s="19"/>
      <c r="C16" s="22">
        <v>1</v>
      </c>
      <c r="D16" s="19"/>
    </row>
    <row r="18" spans="1:12" x14ac:dyDescent="0.25">
      <c r="A18" s="20" t="s">
        <v>134</v>
      </c>
    </row>
    <row r="19" spans="1:12" x14ac:dyDescent="0.25">
      <c r="A19" s="19" t="s">
        <v>129</v>
      </c>
      <c r="J19" t="s">
        <v>230</v>
      </c>
      <c r="K19">
        <f>(F30-F29)/E30</f>
        <v>1.1666666716337095</v>
      </c>
    </row>
    <row r="20" spans="1:12" x14ac:dyDescent="0.25">
      <c r="A20" s="19" t="s">
        <v>135</v>
      </c>
      <c r="J20" t="s">
        <v>231</v>
      </c>
    </row>
    <row r="21" spans="1:12" x14ac:dyDescent="0.25">
      <c r="A21" s="19" t="s">
        <v>130</v>
      </c>
    </row>
    <row r="22" spans="1:12" ht="18.75" x14ac:dyDescent="0.25">
      <c r="A22" s="20" t="s">
        <v>131</v>
      </c>
      <c r="J22" t="s">
        <v>229</v>
      </c>
    </row>
    <row r="23" spans="1:12" x14ac:dyDescent="0.25">
      <c r="A23" s="19" t="s">
        <v>136</v>
      </c>
      <c r="J23" t="s">
        <v>232</v>
      </c>
      <c r="K23" t="s">
        <v>234</v>
      </c>
    </row>
    <row r="24" spans="1:12" x14ac:dyDescent="0.25">
      <c r="J24" t="s">
        <v>233</v>
      </c>
      <c r="K24">
        <f>K19/3</f>
        <v>0.38888889054456982</v>
      </c>
    </row>
    <row r="26" spans="1:12" x14ac:dyDescent="0.25">
      <c r="A26" s="19" t="s">
        <v>223</v>
      </c>
      <c r="B26" s="19" t="s">
        <v>228</v>
      </c>
      <c r="C26" s="19" t="s">
        <v>224</v>
      </c>
      <c r="D26" s="19" t="s">
        <v>225</v>
      </c>
      <c r="E26" s="19" t="s">
        <v>226</v>
      </c>
      <c r="F26" s="19" t="s">
        <v>223</v>
      </c>
      <c r="G26" s="19" t="s">
        <v>227</v>
      </c>
    </row>
    <row r="27" spans="1:12" x14ac:dyDescent="0.25">
      <c r="B27" s="21">
        <v>1</v>
      </c>
      <c r="C27" s="22">
        <v>0</v>
      </c>
      <c r="D27">
        <f>C6^2*B27^2</f>
        <v>5.1839999999999994E-3</v>
      </c>
      <c r="E27">
        <f>D27^0.5</f>
        <v>7.1999999999999995E-2</v>
      </c>
      <c r="F27" s="51">
        <f>B27*C5+C7*C27</f>
        <v>0.12</v>
      </c>
      <c r="G27" s="21">
        <f>SUM(B27:C27)</f>
        <v>1</v>
      </c>
      <c r="J27" t="s">
        <v>235</v>
      </c>
      <c r="K27" t="s">
        <v>236</v>
      </c>
      <c r="L27" t="s">
        <v>237</v>
      </c>
    </row>
    <row r="28" spans="1:12" x14ac:dyDescent="0.25">
      <c r="J28">
        <f>K24</f>
        <v>0.38888889054456982</v>
      </c>
      <c r="K28">
        <f>K19*J28+0.036</f>
        <v>0.48970370756695919</v>
      </c>
      <c r="L28">
        <f>K28-(3/2)*J28^2</f>
        <v>0.26285185378347958</v>
      </c>
    </row>
    <row r="29" spans="1:12" x14ac:dyDescent="0.25">
      <c r="A29" s="52">
        <v>3.5999999999999997E-2</v>
      </c>
      <c r="B29">
        <v>0</v>
      </c>
      <c r="C29">
        <v>0.999999990065913</v>
      </c>
      <c r="D29">
        <v>0</v>
      </c>
      <c r="E29">
        <v>0</v>
      </c>
      <c r="F29">
        <v>3.5999999642372868E-2</v>
      </c>
    </row>
    <row r="30" spans="1:12" x14ac:dyDescent="0.25">
      <c r="A30" s="51">
        <f>A29+($C$5-$C$7)/5</f>
        <v>5.28E-2</v>
      </c>
      <c r="B30">
        <v>0.2</v>
      </c>
      <c r="C30">
        <v>0.79999999205273031</v>
      </c>
      <c r="D30">
        <v>2.0736000000000002E-4</v>
      </c>
      <c r="E30">
        <v>1.4400000000000001E-2</v>
      </c>
      <c r="F30">
        <v>5.2799999713898288E-2</v>
      </c>
    </row>
    <row r="31" spans="1:12" x14ac:dyDescent="0.25">
      <c r="A31" s="51">
        <f>A30+($C$5-$C$7)/5</f>
        <v>6.9599999999999995E-2</v>
      </c>
      <c r="B31">
        <v>0.40000020255448199</v>
      </c>
      <c r="C31">
        <v>0.59999979148506766</v>
      </c>
      <c r="D31">
        <v>8.2944084003416037E-4</v>
      </c>
      <c r="E31">
        <v>2.8800014583922704E-2</v>
      </c>
      <c r="F31">
        <v>6.9600016800000275E-2</v>
      </c>
      <c r="I31" t="s">
        <v>237</v>
      </c>
      <c r="J31" t="s">
        <v>235</v>
      </c>
      <c r="K31" t="s">
        <v>236</v>
      </c>
    </row>
    <row r="32" spans="1:12" x14ac:dyDescent="0.25">
      <c r="A32" s="51">
        <f t="shared" ref="A32:A34" si="1">A31+($C$5-$C$7)/5</f>
        <v>8.6399999999999991E-2</v>
      </c>
      <c r="B32">
        <v>0.60000000000000375</v>
      </c>
      <c r="C32">
        <v>0.40000000000000474</v>
      </c>
      <c r="D32">
        <v>1.8662400000000231E-3</v>
      </c>
      <c r="E32">
        <v>4.3200000000000266E-2</v>
      </c>
      <c r="F32">
        <v>8.6400000000000615E-2</v>
      </c>
      <c r="I32">
        <f>L28</f>
        <v>0.26285185378347958</v>
      </c>
      <c r="J32">
        <v>0.01</v>
      </c>
      <c r="K32">
        <f>$I$32+1.5*J32^2</f>
        <v>0.26300185378347957</v>
      </c>
    </row>
    <row r="33" spans="1:11" x14ac:dyDescent="0.25">
      <c r="A33" s="51">
        <f t="shared" si="1"/>
        <v>0.10319999999999999</v>
      </c>
      <c r="B33">
        <v>0.80000020212873602</v>
      </c>
      <c r="C33">
        <v>0.19999979290421252</v>
      </c>
      <c r="D33">
        <v>3.3177616765367995E-3</v>
      </c>
      <c r="E33">
        <v>5.7600014553268991E-2</v>
      </c>
      <c r="F33">
        <v>0.10320001679999997</v>
      </c>
      <c r="J33">
        <v>0.02</v>
      </c>
      <c r="K33" s="19">
        <f t="shared" ref="K33:K40" si="2">$I$32+1.5*J33^2</f>
        <v>0.26345185378347957</v>
      </c>
    </row>
    <row r="34" spans="1:11" x14ac:dyDescent="0.25">
      <c r="A34" s="51">
        <f t="shared" si="1"/>
        <v>0.11999999999999998</v>
      </c>
      <c r="B34">
        <v>1</v>
      </c>
      <c r="C34">
        <v>0</v>
      </c>
      <c r="D34">
        <v>5.1839999999999994E-3</v>
      </c>
      <c r="E34">
        <v>7.1999999999999995E-2</v>
      </c>
      <c r="F34">
        <v>0.12</v>
      </c>
      <c r="J34" s="19">
        <v>0.03</v>
      </c>
      <c r="K34" s="19">
        <f t="shared" si="2"/>
        <v>0.2642018537834796</v>
      </c>
    </row>
    <row r="35" spans="1:11" x14ac:dyDescent="0.25">
      <c r="A35" s="19"/>
      <c r="J35" s="19">
        <v>0.04</v>
      </c>
      <c r="K35" s="19">
        <f t="shared" si="2"/>
        <v>0.2652518537834796</v>
      </c>
    </row>
    <row r="36" spans="1:11" x14ac:dyDescent="0.25">
      <c r="A36" s="19"/>
      <c r="J36" s="19">
        <v>0.05</v>
      </c>
      <c r="K36" s="19">
        <f t="shared" si="2"/>
        <v>0.26660185378347956</v>
      </c>
    </row>
    <row r="37" spans="1:11" x14ac:dyDescent="0.25">
      <c r="A37" s="19"/>
      <c r="J37" s="19">
        <v>0.06</v>
      </c>
      <c r="K37" s="19">
        <f t="shared" si="2"/>
        <v>0.2682518537834796</v>
      </c>
    </row>
    <row r="38" spans="1:11" x14ac:dyDescent="0.25">
      <c r="J38" s="19">
        <v>7.0000000000000007E-2</v>
      </c>
      <c r="K38" s="19">
        <f t="shared" si="2"/>
        <v>0.27020185378347961</v>
      </c>
    </row>
    <row r="39" spans="1:11" x14ac:dyDescent="0.25">
      <c r="J39" s="19">
        <v>0.08</v>
      </c>
      <c r="K39" s="19">
        <f t="shared" si="2"/>
        <v>0.27245185378347958</v>
      </c>
    </row>
    <row r="40" spans="1:11" x14ac:dyDescent="0.25">
      <c r="J40" s="19">
        <v>0.09</v>
      </c>
      <c r="K40" s="19">
        <f t="shared" si="2"/>
        <v>0.27500185378347958</v>
      </c>
    </row>
  </sheetData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P20"/>
  <sheetViews>
    <sheetView workbookViewId="0">
      <selection activeCell="Q18" sqref="Q18"/>
    </sheetView>
  </sheetViews>
  <sheetFormatPr defaultRowHeight="16.5" x14ac:dyDescent="0.25"/>
  <cols>
    <col min="1" max="11" width="9" style="19"/>
    <col min="12" max="12" width="11.25" style="19" bestFit="1" customWidth="1"/>
    <col min="13" max="15" width="9" style="19"/>
    <col min="16" max="16" width="10.5" style="19" bestFit="1" customWidth="1"/>
    <col min="17" max="16384" width="9" style="19"/>
  </cols>
  <sheetData>
    <row r="1" spans="1:16" x14ac:dyDescent="0.25">
      <c r="A1" s="19" t="s">
        <v>137</v>
      </c>
      <c r="C1" s="19" t="s">
        <v>151</v>
      </c>
      <c r="K1" s="19" t="s">
        <v>207</v>
      </c>
      <c r="L1" s="19">
        <v>15000</v>
      </c>
    </row>
    <row r="2" spans="1:16" x14ac:dyDescent="0.25">
      <c r="K2" s="19" t="s">
        <v>159</v>
      </c>
      <c r="L2" s="22">
        <v>7.0000000000000007E-2</v>
      </c>
    </row>
    <row r="4" spans="1:16" x14ac:dyDescent="0.25">
      <c r="K4" s="19" t="s">
        <v>206</v>
      </c>
    </row>
    <row r="5" spans="1:16" x14ac:dyDescent="0.25">
      <c r="K5" s="19">
        <v>3</v>
      </c>
      <c r="L5" s="46">
        <f>-FV($L$2,K5,,$L$1)</f>
        <v>18375.645</v>
      </c>
    </row>
    <row r="6" spans="1:16" x14ac:dyDescent="0.25">
      <c r="K6" s="19">
        <v>7</v>
      </c>
      <c r="L6" s="46">
        <f t="shared" ref="L6:L7" si="0">-FV($L$2,K6,,$L$1)</f>
        <v>24086.722147176453</v>
      </c>
    </row>
    <row r="7" spans="1:16" x14ac:dyDescent="0.25">
      <c r="K7" s="19">
        <v>9</v>
      </c>
      <c r="L7" s="46">
        <f t="shared" si="0"/>
        <v>27576.888186302323</v>
      </c>
    </row>
    <row r="8" spans="1:16" x14ac:dyDescent="0.25">
      <c r="K8" s="19" t="s">
        <v>208</v>
      </c>
      <c r="O8" s="19" t="s">
        <v>213</v>
      </c>
    </row>
    <row r="9" spans="1:16" x14ac:dyDescent="0.25">
      <c r="J9" s="19" t="s">
        <v>209</v>
      </c>
      <c r="K9" s="19">
        <v>3</v>
      </c>
      <c r="L9" s="46">
        <f>-FV($L$2/4,K9*4,,$L$1)</f>
        <v>18471.589724171885</v>
      </c>
      <c r="O9" s="19" t="s">
        <v>214</v>
      </c>
      <c r="P9" s="47">
        <f>-FV($L$2,10,,L1)</f>
        <v>29507.270359343485</v>
      </c>
    </row>
    <row r="10" spans="1:16" x14ac:dyDescent="0.25">
      <c r="K10" s="19">
        <v>7</v>
      </c>
      <c r="L10" s="46">
        <f t="shared" ref="L10:L11" si="1">-FV($L$2/4,K10*4,,$L$1)</f>
        <v>24381.193440406416</v>
      </c>
      <c r="O10" s="19" t="s">
        <v>215</v>
      </c>
      <c r="P10" s="46">
        <f>-FV(6.7%/4,10*4,,L1)</f>
        <v>29151.33861370567</v>
      </c>
    </row>
    <row r="11" spans="1:16" x14ac:dyDescent="0.25">
      <c r="K11" s="19">
        <v>9</v>
      </c>
      <c r="L11" s="46">
        <f t="shared" si="1"/>
        <v>28011.108990407502</v>
      </c>
    </row>
    <row r="12" spans="1:16" x14ac:dyDescent="0.25">
      <c r="J12" s="19" t="s">
        <v>210</v>
      </c>
      <c r="K12" s="19">
        <v>3</v>
      </c>
      <c r="L12" s="46">
        <f>-FV($L$2/12,K12*12,,$L$1)</f>
        <v>18493.883812153916</v>
      </c>
    </row>
    <row r="13" spans="1:16" x14ac:dyDescent="0.25">
      <c r="K13" s="19">
        <v>7</v>
      </c>
      <c r="L13" s="46">
        <f t="shared" ref="L13:L14" si="2">-FV($L$2/12,K13*12,,$L$1)</f>
        <v>24449.910811019316</v>
      </c>
    </row>
    <row r="14" spans="1:16" x14ac:dyDescent="0.25">
      <c r="K14" s="19">
        <v>9</v>
      </c>
      <c r="L14" s="46">
        <f t="shared" si="2"/>
        <v>28112.654577913665</v>
      </c>
    </row>
    <row r="15" spans="1:16" x14ac:dyDescent="0.25">
      <c r="J15" s="19" t="s">
        <v>211</v>
      </c>
      <c r="K15" s="19">
        <v>3</v>
      </c>
      <c r="L15" s="46">
        <f>-FV($L$2/52,K15*52,,$L$1)</f>
        <v>18502.55779413044</v>
      </c>
    </row>
    <row r="16" spans="1:16" x14ac:dyDescent="0.25">
      <c r="K16" s="19">
        <v>7</v>
      </c>
      <c r="L16" s="46">
        <f t="shared" ref="L16:L17" si="3">-FV($L$2/52,K16*52,,$L$1)</f>
        <v>24476.676611471335</v>
      </c>
    </row>
    <row r="17" spans="10:12" x14ac:dyDescent="0.25">
      <c r="K17" s="19">
        <v>9</v>
      </c>
      <c r="L17" s="46">
        <f t="shared" si="3"/>
        <v>28152.229236615152</v>
      </c>
    </row>
    <row r="18" spans="10:12" x14ac:dyDescent="0.25">
      <c r="J18" s="19" t="s">
        <v>212</v>
      </c>
      <c r="K18" s="19">
        <v>3</v>
      </c>
      <c r="L18" s="46">
        <f>-FV($L$2/365,K18*365,,$L$1)</f>
        <v>18504.798312365063</v>
      </c>
    </row>
    <row r="19" spans="10:12" x14ac:dyDescent="0.25">
      <c r="K19" s="19">
        <v>7</v>
      </c>
      <c r="L19" s="46">
        <f t="shared" ref="L19:L20" si="4">-FV($L$2/365,K19*365,,$L$1)</f>
        <v>24483.593025889797</v>
      </c>
    </row>
    <row r="20" spans="10:12" x14ac:dyDescent="0.25">
      <c r="K20" s="19">
        <v>9</v>
      </c>
      <c r="L20" s="46">
        <f t="shared" si="4"/>
        <v>28162.457534010173</v>
      </c>
    </row>
  </sheetData>
  <phoneticPr fontId="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8"/>
  <sheetViews>
    <sheetView workbookViewId="0">
      <selection activeCell="A2" sqref="A2"/>
    </sheetView>
  </sheetViews>
  <sheetFormatPr defaultRowHeight="16.5" x14ac:dyDescent="0.25"/>
  <cols>
    <col min="1" max="1" width="11.75" style="19" bestFit="1" customWidth="1"/>
    <col min="2" max="16384" width="9" style="19"/>
  </cols>
  <sheetData>
    <row r="1" spans="1:7" x14ac:dyDescent="0.25">
      <c r="A1" s="19" t="s">
        <v>150</v>
      </c>
    </row>
    <row r="2" spans="1:7" ht="17.25" thickBot="1" x14ac:dyDescent="0.3"/>
    <row r="3" spans="1:7" ht="26.25" thickBot="1" x14ac:dyDescent="0.25">
      <c r="A3" s="24" t="s">
        <v>138</v>
      </c>
      <c r="B3" s="25" t="s">
        <v>139</v>
      </c>
      <c r="C3" s="25" t="s">
        <v>140</v>
      </c>
      <c r="D3" s="25" t="s">
        <v>141</v>
      </c>
      <c r="E3" s="25" t="s">
        <v>142</v>
      </c>
      <c r="F3" s="26" t="s">
        <v>143</v>
      </c>
      <c r="G3" s="25" t="s">
        <v>144</v>
      </c>
    </row>
    <row r="4" spans="1:7" x14ac:dyDescent="0.2">
      <c r="A4" s="27" t="s">
        <v>145</v>
      </c>
      <c r="B4" s="28">
        <v>0.1</v>
      </c>
      <c r="C4" s="29">
        <v>0.08</v>
      </c>
      <c r="D4" s="29">
        <v>-0.22</v>
      </c>
      <c r="E4" s="29">
        <v>0.28000000000000003</v>
      </c>
      <c r="F4" s="29">
        <v>0.1</v>
      </c>
      <c r="G4" s="29">
        <v>-0.13</v>
      </c>
    </row>
    <row r="5" spans="1:7" x14ac:dyDescent="0.2">
      <c r="A5" s="27" t="s">
        <v>146</v>
      </c>
      <c r="B5" s="28">
        <v>0.2</v>
      </c>
      <c r="C5" s="29">
        <v>0.06</v>
      </c>
      <c r="D5" s="29">
        <v>-0.02</v>
      </c>
      <c r="E5" s="29">
        <v>0.14699999999999999</v>
      </c>
      <c r="F5" s="29">
        <v>-0.1</v>
      </c>
      <c r="G5" s="29">
        <v>0.01</v>
      </c>
    </row>
    <row r="6" spans="1:7" x14ac:dyDescent="0.2">
      <c r="A6" s="27" t="s">
        <v>147</v>
      </c>
      <c r="B6" s="28">
        <v>0.4</v>
      </c>
      <c r="C6" s="29">
        <v>0.08</v>
      </c>
      <c r="D6" s="29">
        <v>0.2</v>
      </c>
      <c r="E6" s="29">
        <v>0</v>
      </c>
      <c r="F6" s="29">
        <v>7.0000000000000007E-2</v>
      </c>
      <c r="G6" s="29">
        <v>0.15</v>
      </c>
    </row>
    <row r="7" spans="1:7" x14ac:dyDescent="0.2">
      <c r="A7" s="27" t="s">
        <v>148</v>
      </c>
      <c r="B7" s="28">
        <v>0.2</v>
      </c>
      <c r="C7" s="29">
        <v>0.06</v>
      </c>
      <c r="D7" s="29">
        <v>0.35</v>
      </c>
      <c r="E7" s="29">
        <v>-0.1</v>
      </c>
      <c r="F7" s="29">
        <v>0.45</v>
      </c>
      <c r="G7" s="29">
        <v>0.28999999999999998</v>
      </c>
    </row>
    <row r="8" spans="1:7" ht="17.25" thickBot="1" x14ac:dyDescent="0.25">
      <c r="A8" s="30" t="s">
        <v>149</v>
      </c>
      <c r="B8" s="31">
        <v>0.1</v>
      </c>
      <c r="C8" s="32">
        <v>0.08</v>
      </c>
      <c r="D8" s="32">
        <v>0.5</v>
      </c>
      <c r="E8" s="32">
        <v>-0.2</v>
      </c>
      <c r="F8" s="32">
        <v>0.3</v>
      </c>
      <c r="G8" s="32">
        <v>0.43</v>
      </c>
    </row>
  </sheetData>
  <phoneticPr fontId="3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8193" r:id="rId3">
          <objectPr defaultSize="0" autoPict="0" r:id="rId4">
            <anchor moveWithCells="1">
              <from>
                <xdr:col>0</xdr:col>
                <xdr:colOff>314325</xdr:colOff>
                <xdr:row>23</xdr:row>
                <xdr:rowOff>19050</xdr:rowOff>
              </from>
              <to>
                <xdr:col>2</xdr:col>
                <xdr:colOff>76200</xdr:colOff>
                <xdr:row>25</xdr:row>
                <xdr:rowOff>0</xdr:rowOff>
              </to>
            </anchor>
          </objectPr>
        </oleObject>
      </mc:Choice>
      <mc:Fallback>
        <oleObject progId="Equation.3" shapeId="8193" r:id="rId3"/>
      </mc:Fallback>
    </mc:AlternateContent>
    <mc:AlternateContent xmlns:mc="http://schemas.openxmlformats.org/markup-compatibility/2006">
      <mc:Choice Requires="x14">
        <oleObject progId="Equation.3" shapeId="8194" r:id="rId5">
          <objectPr defaultSize="0" autoPict="0" r:id="rId6">
            <anchor moveWithCells="1" sizeWithCells="1">
              <from>
                <xdr:col>0</xdr:col>
                <xdr:colOff>114300</xdr:colOff>
                <xdr:row>29</xdr:row>
                <xdr:rowOff>85725</xdr:rowOff>
              </from>
              <to>
                <xdr:col>4</xdr:col>
                <xdr:colOff>66675</xdr:colOff>
                <xdr:row>32</xdr:row>
                <xdr:rowOff>0</xdr:rowOff>
              </to>
            </anchor>
          </objectPr>
        </oleObject>
      </mc:Choice>
      <mc:Fallback>
        <oleObject progId="Equation.3" shapeId="8194" r:id="rId5"/>
      </mc:Fallback>
    </mc:AlternateContent>
    <mc:AlternateContent xmlns:mc="http://schemas.openxmlformats.org/markup-compatibility/2006">
      <mc:Choice Requires="x14">
        <oleObject progId="Equation.3" shapeId="8195" r:id="rId7">
          <objectPr defaultSize="0" autoPict="0" r:id="rId8">
            <anchor moveWithCells="1" sizeWithCells="1">
              <from>
                <xdr:col>0</xdr:col>
                <xdr:colOff>104775</xdr:colOff>
                <xdr:row>26</xdr:row>
                <xdr:rowOff>9525</xdr:rowOff>
              </from>
              <to>
                <xdr:col>2</xdr:col>
                <xdr:colOff>142875</xdr:colOff>
                <xdr:row>28</xdr:row>
                <xdr:rowOff>95250</xdr:rowOff>
              </to>
            </anchor>
          </objectPr>
        </oleObject>
      </mc:Choice>
      <mc:Fallback>
        <oleObject progId="Equation.3" shapeId="8195" r:id="rId7"/>
      </mc:Fallback>
    </mc:AlternateContent>
    <mc:AlternateContent xmlns:mc="http://schemas.openxmlformats.org/markup-compatibility/2006">
      <mc:Choice Requires="x14">
        <oleObject progId="Equation.3" shapeId="8196" r:id="rId9">
          <objectPr defaultSize="0" autoPict="0" r:id="rId10">
            <anchor moveWithCells="1" sizeWithCells="1">
              <from>
                <xdr:col>0</xdr:col>
                <xdr:colOff>228600</xdr:colOff>
                <xdr:row>33</xdr:row>
                <xdr:rowOff>28575</xdr:rowOff>
              </from>
              <to>
                <xdr:col>3</xdr:col>
                <xdr:colOff>590550</xdr:colOff>
                <xdr:row>35</xdr:row>
                <xdr:rowOff>152400</xdr:rowOff>
              </to>
            </anchor>
          </objectPr>
        </oleObject>
      </mc:Choice>
      <mc:Fallback>
        <oleObject progId="Equation.3" shapeId="8196" r:id="rId9"/>
      </mc:Fallback>
    </mc:AlternateContent>
    <mc:AlternateContent xmlns:mc="http://schemas.openxmlformats.org/markup-compatibility/2006">
      <mc:Choice Requires="x14">
        <oleObject progId="Equation.3" shapeId="8197" r:id="rId11">
          <objectPr defaultSize="0" autoPict="0" r:id="rId12">
            <anchor moveWithCells="1" sizeWithCells="1">
              <from>
                <xdr:col>0</xdr:col>
                <xdr:colOff>266700</xdr:colOff>
                <xdr:row>36</xdr:row>
                <xdr:rowOff>142875</xdr:rowOff>
              </from>
              <to>
                <xdr:col>3</xdr:col>
                <xdr:colOff>76200</xdr:colOff>
                <xdr:row>38</xdr:row>
                <xdr:rowOff>66675</xdr:rowOff>
              </to>
            </anchor>
          </objectPr>
        </oleObject>
      </mc:Choice>
      <mc:Fallback>
        <oleObject progId="Equation.3" shapeId="8197" r:id="rId11"/>
      </mc:Fallback>
    </mc:AlternateContent>
    <mc:AlternateContent xmlns:mc="http://schemas.openxmlformats.org/markup-compatibility/2006">
      <mc:Choice Requires="x14">
        <oleObject progId="Equation.3" shapeId="8198" r:id="rId13">
          <objectPr defaultSize="0" autoPict="0" r:id="rId14">
            <anchor moveWithCells="1" sizeWithCells="1">
              <from>
                <xdr:col>0</xdr:col>
                <xdr:colOff>123825</xdr:colOff>
                <xdr:row>39</xdr:row>
                <xdr:rowOff>85725</xdr:rowOff>
              </from>
              <to>
                <xdr:col>7</xdr:col>
                <xdr:colOff>504825</xdr:colOff>
                <xdr:row>41</xdr:row>
                <xdr:rowOff>76200</xdr:rowOff>
              </to>
            </anchor>
          </objectPr>
        </oleObject>
      </mc:Choice>
      <mc:Fallback>
        <oleObject progId="Equation.3" shapeId="8198" r:id="rId1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Introduction</vt:lpstr>
      <vt:lpstr>Q1-Q4</vt:lpstr>
      <vt:lpstr>Q5</vt:lpstr>
      <vt:lpstr>Q6</vt:lpstr>
      <vt:lpstr>Q7</vt:lpstr>
      <vt:lpstr>Q8</vt:lpstr>
      <vt:lpstr>Q9</vt:lpstr>
      <vt:lpstr>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referee</dc:creator>
  <cp:lastModifiedBy>王博奕</cp:lastModifiedBy>
  <dcterms:created xsi:type="dcterms:W3CDTF">2019-11-01T05:18:27Z</dcterms:created>
  <dcterms:modified xsi:type="dcterms:W3CDTF">2021-11-15T18:51:08Z</dcterms:modified>
</cp:coreProperties>
</file>