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dfg\OneDrive\桌面\"/>
    </mc:Choice>
  </mc:AlternateContent>
  <xr:revisionPtr revIDLastSave="0" documentId="13_ncr:1_{D1D4FBC7-04C5-4E18-BB4E-78086EC2A99E}" xr6:coauthVersionLast="36" xr6:coauthVersionMax="36" xr10:uidLastSave="{00000000-0000-0000-0000-000000000000}"/>
  <bookViews>
    <workbookView xWindow="0" yWindow="0" windowWidth="28800" windowHeight="10260" tabRatio="763" activeTab="6" xr2:uid="{00000000-000D-0000-FFFF-FFFF00000000}"/>
  </bookViews>
  <sheets>
    <sheet name="Introduction" sheetId="1" r:id="rId1"/>
    <sheet name="Q1-Q4" sheetId="2" r:id="rId2"/>
    <sheet name="A1.2" sheetId="9" r:id="rId3"/>
    <sheet name="Q5" sheetId="3" r:id="rId4"/>
    <sheet name="Q6" sheetId="4" r:id="rId5"/>
    <sheet name="Q7" sheetId="5" r:id="rId6"/>
    <sheet name="Q8" sheetId="6" r:id="rId7"/>
    <sheet name="Q9" sheetId="7" r:id="rId8"/>
    <sheet name="Q10" sheetId="8" r:id="rId9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'A1.2'!$H$200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1" i="9" l="1"/>
  <c r="N22" i="5" a="1"/>
  <c r="N22" i="5" s="1"/>
  <c r="E13" i="4"/>
  <c r="G4" i="4"/>
  <c r="F13" i="4"/>
  <c r="B49" i="3"/>
  <c r="I26" i="6" l="1"/>
  <c r="E26" i="6"/>
  <c r="D26" i="6"/>
  <c r="C26" i="6"/>
  <c r="B26" i="6"/>
  <c r="E16" i="6"/>
  <c r="E14" i="6"/>
  <c r="E15" i="6"/>
  <c r="E13" i="6"/>
  <c r="M34" i="9" l="1"/>
  <c r="B60" i="9" s="1"/>
  <c r="M22" i="7"/>
  <c r="M21" i="7"/>
  <c r="N19" i="7"/>
  <c r="N18" i="7"/>
  <c r="N17" i="7"/>
  <c r="N16" i="7"/>
  <c r="L14" i="7"/>
  <c r="L13" i="7"/>
  <c r="J11" i="7"/>
  <c r="L12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P11" i="7"/>
  <c r="N11" i="7"/>
  <c r="O11" i="7"/>
  <c r="M11" i="7"/>
  <c r="L11" i="7"/>
  <c r="S7" i="7"/>
  <c r="U7" i="7"/>
  <c r="O7" i="7"/>
  <c r="N5" i="7"/>
  <c r="O5" i="7"/>
  <c r="P5" i="7"/>
  <c r="Q5" i="7"/>
  <c r="R5" i="7"/>
  <c r="S5" i="7"/>
  <c r="T5" i="7"/>
  <c r="U5" i="7"/>
  <c r="V5" i="7"/>
  <c r="M5" i="7"/>
  <c r="N23" i="5"/>
  <c r="E17" i="5"/>
  <c r="C15" i="5"/>
  <c r="K23" i="5"/>
  <c r="J22" i="5"/>
  <c r="I21" i="5"/>
  <c r="H20" i="5"/>
  <c r="G19" i="5"/>
  <c r="F18" i="5"/>
  <c r="D16" i="5"/>
  <c r="B14" i="5"/>
  <c r="O19" i="5"/>
  <c r="P19" i="5"/>
  <c r="Q19" i="5"/>
  <c r="R19" i="5"/>
  <c r="S19" i="5"/>
  <c r="T19" i="5"/>
  <c r="U19" i="5"/>
  <c r="V19" i="5"/>
  <c r="W19" i="5"/>
  <c r="X18" i="5"/>
  <c r="W18" i="5"/>
  <c r="O18" i="5"/>
  <c r="P18" i="5"/>
  <c r="Q18" i="5"/>
  <c r="R18" i="5"/>
  <c r="S18" i="5"/>
  <c r="T18" i="5"/>
  <c r="U18" i="5"/>
  <c r="V18" i="5"/>
  <c r="N18" i="5"/>
  <c r="X14" i="5"/>
  <c r="O16" i="5"/>
  <c r="P16" i="5"/>
  <c r="Q16" i="5"/>
  <c r="R16" i="5"/>
  <c r="S16" i="5"/>
  <c r="T16" i="5"/>
  <c r="U16" i="5"/>
  <c r="V16" i="5"/>
  <c r="W16" i="5"/>
  <c r="N16" i="5"/>
  <c r="O15" i="5"/>
  <c r="P15" i="5"/>
  <c r="Q15" i="5"/>
  <c r="R15" i="5"/>
  <c r="S15" i="5"/>
  <c r="T15" i="5"/>
  <c r="U15" i="5"/>
  <c r="V15" i="5"/>
  <c r="W15" i="5"/>
  <c r="N15" i="5"/>
  <c r="N19" i="5" s="1"/>
  <c r="N20" i="5" s="1"/>
  <c r="E17" i="4"/>
  <c r="E16" i="4"/>
  <c r="E15" i="4"/>
  <c r="E14" i="4"/>
  <c r="H4" i="4"/>
  <c r="I4" i="4"/>
  <c r="J4" i="4"/>
  <c r="K4" i="4"/>
  <c r="F14" i="4"/>
  <c r="F15" i="4"/>
  <c r="F16" i="4"/>
  <c r="F17" i="4"/>
  <c r="D17" i="4" a="1"/>
  <c r="D17" i="4" s="1"/>
  <c r="D16" i="4" a="1"/>
  <c r="D16" i="4" s="1"/>
  <c r="D15" i="4" a="1"/>
  <c r="D15" i="4" s="1"/>
  <c r="D14" i="4" a="1"/>
  <c r="D14" i="4" s="1"/>
  <c r="D13" i="4" a="1"/>
  <c r="D13" i="4"/>
  <c r="U4" i="4"/>
  <c r="V4" i="4"/>
  <c r="W4" i="4"/>
  <c r="X4" i="4"/>
  <c r="Y4" i="4"/>
  <c r="Z4" i="4"/>
  <c r="U5" i="4"/>
  <c r="V5" i="4"/>
  <c r="W5" i="4"/>
  <c r="X5" i="4"/>
  <c r="Y5" i="4"/>
  <c r="Z5" i="4"/>
  <c r="U6" i="4"/>
  <c r="V6" i="4"/>
  <c r="W6" i="4"/>
  <c r="X6" i="4"/>
  <c r="Y6" i="4"/>
  <c r="Z6" i="4"/>
  <c r="U7" i="4"/>
  <c r="V7" i="4"/>
  <c r="W7" i="4"/>
  <c r="X7" i="4"/>
  <c r="Y7" i="4"/>
  <c r="Z7" i="4"/>
  <c r="U8" i="4"/>
  <c r="V8" i="4"/>
  <c r="W8" i="4"/>
  <c r="X8" i="4"/>
  <c r="Y8" i="4"/>
  <c r="Z8" i="4"/>
  <c r="U9" i="4"/>
  <c r="V9" i="4"/>
  <c r="W9" i="4"/>
  <c r="X9" i="4"/>
  <c r="Y9" i="4"/>
  <c r="Z9" i="4"/>
  <c r="U10" i="4"/>
  <c r="V10" i="4"/>
  <c r="W10" i="4"/>
  <c r="X10" i="4"/>
  <c r="Y10" i="4"/>
  <c r="Z10" i="4"/>
  <c r="U11" i="4"/>
  <c r="V11" i="4"/>
  <c r="W11" i="4"/>
  <c r="X11" i="4"/>
  <c r="Y11" i="4"/>
  <c r="Z11" i="4"/>
  <c r="U12" i="4"/>
  <c r="V12" i="4"/>
  <c r="W12" i="4"/>
  <c r="X12" i="4"/>
  <c r="Y12" i="4"/>
  <c r="Z12" i="4"/>
  <c r="U13" i="4"/>
  <c r="V13" i="4"/>
  <c r="W13" i="4"/>
  <c r="X13" i="4"/>
  <c r="Y13" i="4"/>
  <c r="Z13" i="4"/>
  <c r="U14" i="4"/>
  <c r="V14" i="4"/>
  <c r="W14" i="4"/>
  <c r="X14" i="4"/>
  <c r="Y14" i="4"/>
  <c r="Z14" i="4"/>
  <c r="U15" i="4"/>
  <c r="V15" i="4"/>
  <c r="W15" i="4"/>
  <c r="X15" i="4"/>
  <c r="Y15" i="4"/>
  <c r="Z15" i="4"/>
  <c r="U16" i="4"/>
  <c r="V16" i="4"/>
  <c r="W16" i="4"/>
  <c r="X16" i="4"/>
  <c r="Y16" i="4"/>
  <c r="Z16" i="4"/>
  <c r="U17" i="4"/>
  <c r="V17" i="4"/>
  <c r="W17" i="4"/>
  <c r="X17" i="4"/>
  <c r="Y17" i="4"/>
  <c r="Z17" i="4"/>
  <c r="U18" i="4"/>
  <c r="V18" i="4"/>
  <c r="W18" i="4"/>
  <c r="X18" i="4"/>
  <c r="Y18" i="4"/>
  <c r="Z18" i="4"/>
  <c r="U19" i="4"/>
  <c r="V19" i="4"/>
  <c r="W19" i="4"/>
  <c r="X19" i="4"/>
  <c r="Y19" i="4"/>
  <c r="Z19" i="4"/>
  <c r="U20" i="4"/>
  <c r="V20" i="4"/>
  <c r="W20" i="4"/>
  <c r="X20" i="4"/>
  <c r="Y20" i="4"/>
  <c r="Z20" i="4"/>
  <c r="U21" i="4"/>
  <c r="V21" i="4"/>
  <c r="W21" i="4"/>
  <c r="X21" i="4"/>
  <c r="Y21" i="4"/>
  <c r="Z21" i="4"/>
  <c r="U22" i="4"/>
  <c r="V22" i="4"/>
  <c r="W22" i="4"/>
  <c r="X22" i="4"/>
  <c r="Y22" i="4"/>
  <c r="Z22" i="4"/>
  <c r="U23" i="4"/>
  <c r="V23" i="4"/>
  <c r="W23" i="4"/>
  <c r="X23" i="4"/>
  <c r="Y23" i="4"/>
  <c r="Z23" i="4"/>
  <c r="U24" i="4"/>
  <c r="V24" i="4"/>
  <c r="W24" i="4"/>
  <c r="X24" i="4"/>
  <c r="Y24" i="4"/>
  <c r="Z24" i="4"/>
  <c r="U25" i="4"/>
  <c r="V25" i="4"/>
  <c r="W25" i="4"/>
  <c r="X25" i="4"/>
  <c r="Y25" i="4"/>
  <c r="Z25" i="4"/>
  <c r="U26" i="4"/>
  <c r="V26" i="4"/>
  <c r="W26" i="4"/>
  <c r="X26" i="4"/>
  <c r="Y26" i="4"/>
  <c r="Z26" i="4"/>
  <c r="U27" i="4"/>
  <c r="V27" i="4"/>
  <c r="W27" i="4"/>
  <c r="X27" i="4"/>
  <c r="Y27" i="4"/>
  <c r="Z27" i="4"/>
  <c r="U28" i="4"/>
  <c r="V28" i="4"/>
  <c r="W28" i="4"/>
  <c r="X28" i="4"/>
  <c r="Y28" i="4"/>
  <c r="Z28" i="4"/>
  <c r="U29" i="4"/>
  <c r="V29" i="4"/>
  <c r="W29" i="4"/>
  <c r="X29" i="4"/>
  <c r="Y29" i="4"/>
  <c r="Z29" i="4"/>
  <c r="U30" i="4"/>
  <c r="V30" i="4"/>
  <c r="W30" i="4"/>
  <c r="X30" i="4"/>
  <c r="Y30" i="4"/>
  <c r="Z30" i="4"/>
  <c r="U31" i="4"/>
  <c r="V31" i="4"/>
  <c r="W31" i="4"/>
  <c r="X31" i="4"/>
  <c r="Y31" i="4"/>
  <c r="Z31" i="4"/>
  <c r="U32" i="4"/>
  <c r="V32" i="4"/>
  <c r="W32" i="4"/>
  <c r="X32" i="4"/>
  <c r="Y32" i="4"/>
  <c r="Z32" i="4"/>
  <c r="U33" i="4"/>
  <c r="V33" i="4"/>
  <c r="W33" i="4"/>
  <c r="X33" i="4"/>
  <c r="Y33" i="4"/>
  <c r="Z33" i="4"/>
  <c r="U34" i="4"/>
  <c r="V34" i="4"/>
  <c r="W34" i="4"/>
  <c r="X34" i="4"/>
  <c r="Y34" i="4"/>
  <c r="Z34" i="4"/>
  <c r="U35" i="4"/>
  <c r="V35" i="4"/>
  <c r="W35" i="4"/>
  <c r="X35" i="4"/>
  <c r="Y35" i="4"/>
  <c r="Z35" i="4"/>
  <c r="U36" i="4"/>
  <c r="V36" i="4"/>
  <c r="W36" i="4"/>
  <c r="X36" i="4"/>
  <c r="Y36" i="4"/>
  <c r="Z36" i="4"/>
  <c r="U37" i="4"/>
  <c r="V37" i="4"/>
  <c r="W37" i="4"/>
  <c r="X37" i="4"/>
  <c r="Y37" i="4"/>
  <c r="Z37" i="4"/>
  <c r="U38" i="4"/>
  <c r="V38" i="4"/>
  <c r="W38" i="4"/>
  <c r="X38" i="4"/>
  <c r="Y38" i="4"/>
  <c r="Z38" i="4"/>
  <c r="U39" i="4"/>
  <c r="V39" i="4"/>
  <c r="W39" i="4"/>
  <c r="X39" i="4"/>
  <c r="Y39" i="4"/>
  <c r="Z39" i="4"/>
  <c r="U40" i="4"/>
  <c r="V40" i="4"/>
  <c r="W40" i="4"/>
  <c r="X40" i="4"/>
  <c r="Y40" i="4"/>
  <c r="Z40" i="4"/>
  <c r="U41" i="4"/>
  <c r="V41" i="4"/>
  <c r="W41" i="4"/>
  <c r="X41" i="4"/>
  <c r="Y41" i="4"/>
  <c r="Z41" i="4"/>
  <c r="U42" i="4"/>
  <c r="V42" i="4"/>
  <c r="W42" i="4"/>
  <c r="X42" i="4"/>
  <c r="Y42" i="4"/>
  <c r="Z42" i="4"/>
  <c r="U43" i="4"/>
  <c r="V43" i="4"/>
  <c r="W43" i="4"/>
  <c r="X43" i="4"/>
  <c r="Y43" i="4"/>
  <c r="Z43" i="4"/>
  <c r="U44" i="4"/>
  <c r="V44" i="4"/>
  <c r="W44" i="4"/>
  <c r="X44" i="4"/>
  <c r="Y44" i="4"/>
  <c r="Z44" i="4"/>
  <c r="U45" i="4"/>
  <c r="V45" i="4"/>
  <c r="W45" i="4"/>
  <c r="X45" i="4"/>
  <c r="Y45" i="4"/>
  <c r="Z45" i="4"/>
  <c r="U46" i="4"/>
  <c r="V46" i="4"/>
  <c r="W46" i="4"/>
  <c r="X46" i="4"/>
  <c r="Y46" i="4"/>
  <c r="Z46" i="4"/>
  <c r="U47" i="4"/>
  <c r="V47" i="4"/>
  <c r="W47" i="4"/>
  <c r="X47" i="4"/>
  <c r="Y47" i="4"/>
  <c r="Z47" i="4"/>
  <c r="U48" i="4"/>
  <c r="V48" i="4"/>
  <c r="W48" i="4"/>
  <c r="X48" i="4"/>
  <c r="Y48" i="4"/>
  <c r="Z48" i="4"/>
  <c r="U49" i="4"/>
  <c r="V49" i="4"/>
  <c r="W49" i="4"/>
  <c r="X49" i="4"/>
  <c r="Y49" i="4"/>
  <c r="Z49" i="4"/>
  <c r="U50" i="4"/>
  <c r="V50" i="4"/>
  <c r="W50" i="4"/>
  <c r="X50" i="4"/>
  <c r="Y50" i="4"/>
  <c r="Z50" i="4"/>
  <c r="V3" i="4"/>
  <c r="W3" i="4"/>
  <c r="X3" i="4"/>
  <c r="Y3" i="4"/>
  <c r="Z3" i="4"/>
  <c r="U3" i="4"/>
  <c r="T3" i="4"/>
  <c r="B50" i="3"/>
  <c r="E48" i="3"/>
  <c r="D47" i="3"/>
  <c r="E47" i="3" s="1"/>
  <c r="C47" i="3"/>
  <c r="B47" i="3"/>
  <c r="D34" i="3"/>
  <c r="D41" i="3"/>
  <c r="E41" i="3"/>
  <c r="C41" i="3"/>
  <c r="B41" i="3"/>
  <c r="D38" i="3"/>
  <c r="E38" i="3"/>
  <c r="C38" i="3"/>
  <c r="E34" i="3"/>
  <c r="C31" i="3"/>
  <c r="D31" i="3"/>
  <c r="B31" i="3"/>
  <c r="C30" i="3"/>
  <c r="D30" i="3"/>
  <c r="B30" i="3"/>
  <c r="C29" i="3"/>
  <c r="D29" i="3"/>
  <c r="B29" i="3"/>
  <c r="C26" i="3"/>
  <c r="D26" i="3"/>
  <c r="B26" i="3"/>
  <c r="D25" i="3"/>
  <c r="C25" i="3"/>
  <c r="B25" i="3"/>
  <c r="E236" i="9"/>
  <c r="C232" i="9"/>
  <c r="B236" i="9"/>
  <c r="B232" i="9"/>
  <c r="C230" i="9"/>
  <c r="B206" i="9"/>
  <c r="B202" i="9"/>
  <c r="B81" i="9"/>
  <c r="F81" i="9" s="1"/>
  <c r="B82" i="9"/>
  <c r="F82" i="9" s="1"/>
  <c r="B83" i="9"/>
  <c r="F83" i="9" s="1"/>
  <c r="B84" i="9"/>
  <c r="F84" i="9" s="1"/>
  <c r="B85" i="9"/>
  <c r="F85" i="9" s="1"/>
  <c r="B86" i="9"/>
  <c r="F86" i="9" s="1"/>
  <c r="B87" i="9"/>
  <c r="F87" i="9" s="1"/>
  <c r="B88" i="9"/>
  <c r="F88" i="9" s="1"/>
  <c r="B89" i="9"/>
  <c r="F89" i="9" s="1"/>
  <c r="B90" i="9"/>
  <c r="F90" i="9" s="1"/>
  <c r="B91" i="9"/>
  <c r="F91" i="9" s="1"/>
  <c r="B92" i="9"/>
  <c r="F92" i="9" s="1"/>
  <c r="B93" i="9"/>
  <c r="F93" i="9" s="1"/>
  <c r="B94" i="9"/>
  <c r="F94" i="9" s="1"/>
  <c r="B95" i="9"/>
  <c r="F95" i="9" s="1"/>
  <c r="B96" i="9"/>
  <c r="F96" i="9" s="1"/>
  <c r="B97" i="9"/>
  <c r="F97" i="9" s="1"/>
  <c r="B98" i="9"/>
  <c r="F98" i="9" s="1"/>
  <c r="B99" i="9"/>
  <c r="F99" i="9" s="1"/>
  <c r="B100" i="9"/>
  <c r="F100" i="9" s="1"/>
  <c r="B101" i="9"/>
  <c r="F101" i="9" s="1"/>
  <c r="B102" i="9"/>
  <c r="F102" i="9" s="1"/>
  <c r="B103" i="9"/>
  <c r="F103" i="9" s="1"/>
  <c r="B104" i="9"/>
  <c r="F104" i="9" s="1"/>
  <c r="B105" i="9"/>
  <c r="F105" i="9" s="1"/>
  <c r="B106" i="9"/>
  <c r="F106" i="9" s="1"/>
  <c r="B107" i="9"/>
  <c r="F107" i="9" s="1"/>
  <c r="B108" i="9"/>
  <c r="F108" i="9" s="1"/>
  <c r="B109" i="9"/>
  <c r="F109" i="9" s="1"/>
  <c r="B110" i="9"/>
  <c r="F110" i="9" s="1"/>
  <c r="B111" i="9"/>
  <c r="F111" i="9" s="1"/>
  <c r="B112" i="9"/>
  <c r="F112" i="9" s="1"/>
  <c r="B113" i="9"/>
  <c r="F113" i="9" s="1"/>
  <c r="B114" i="9"/>
  <c r="F114" i="9" s="1"/>
  <c r="B115" i="9"/>
  <c r="F115" i="9" s="1"/>
  <c r="B116" i="9"/>
  <c r="F116" i="9" s="1"/>
  <c r="B117" i="9"/>
  <c r="F117" i="9" s="1"/>
  <c r="B118" i="9"/>
  <c r="F118" i="9" s="1"/>
  <c r="B119" i="9"/>
  <c r="F119" i="9" s="1"/>
  <c r="B120" i="9"/>
  <c r="F120" i="9" s="1"/>
  <c r="B121" i="9"/>
  <c r="F121" i="9" s="1"/>
  <c r="B122" i="9"/>
  <c r="F122" i="9" s="1"/>
  <c r="B123" i="9"/>
  <c r="F123" i="9" s="1"/>
  <c r="B124" i="9"/>
  <c r="F124" i="9" s="1"/>
  <c r="B125" i="9"/>
  <c r="F125" i="9" s="1"/>
  <c r="B126" i="9"/>
  <c r="F126" i="9" s="1"/>
  <c r="B127" i="9"/>
  <c r="F127" i="9" s="1"/>
  <c r="B128" i="9"/>
  <c r="F128" i="9" s="1"/>
  <c r="B129" i="9"/>
  <c r="F129" i="9" s="1"/>
  <c r="B130" i="9"/>
  <c r="F130" i="9" s="1"/>
  <c r="B131" i="9"/>
  <c r="F131" i="9" s="1"/>
  <c r="B132" i="9"/>
  <c r="F132" i="9" s="1"/>
  <c r="B133" i="9"/>
  <c r="F133" i="9" s="1"/>
  <c r="B134" i="9"/>
  <c r="F134" i="9" s="1"/>
  <c r="B135" i="9"/>
  <c r="F135" i="9" s="1"/>
  <c r="B136" i="9"/>
  <c r="F136" i="9" s="1"/>
  <c r="B137" i="9"/>
  <c r="F137" i="9" s="1"/>
  <c r="B138" i="9"/>
  <c r="F138" i="9" s="1"/>
  <c r="B139" i="9"/>
  <c r="F139" i="9" s="1"/>
  <c r="B140" i="9"/>
  <c r="F140" i="9" s="1"/>
  <c r="B141" i="9"/>
  <c r="F141" i="9" s="1"/>
  <c r="B142" i="9"/>
  <c r="F142" i="9" s="1"/>
  <c r="B143" i="9"/>
  <c r="F143" i="9" s="1"/>
  <c r="B144" i="9"/>
  <c r="F144" i="9" s="1"/>
  <c r="B145" i="9"/>
  <c r="F145" i="9" s="1"/>
  <c r="B146" i="9"/>
  <c r="F146" i="9" s="1"/>
  <c r="B147" i="9"/>
  <c r="F147" i="9" s="1"/>
  <c r="B148" i="9"/>
  <c r="F148" i="9" s="1"/>
  <c r="B149" i="9"/>
  <c r="F149" i="9" s="1"/>
  <c r="B150" i="9"/>
  <c r="F150" i="9" s="1"/>
  <c r="B151" i="9"/>
  <c r="F151" i="9" s="1"/>
  <c r="B152" i="9"/>
  <c r="F152" i="9" s="1"/>
  <c r="B153" i="9"/>
  <c r="F153" i="9" s="1"/>
  <c r="B154" i="9"/>
  <c r="F154" i="9" s="1"/>
  <c r="B155" i="9"/>
  <c r="F155" i="9" s="1"/>
  <c r="B156" i="9"/>
  <c r="F156" i="9" s="1"/>
  <c r="B157" i="9"/>
  <c r="F157" i="9" s="1"/>
  <c r="B158" i="9"/>
  <c r="F158" i="9" s="1"/>
  <c r="B159" i="9"/>
  <c r="F159" i="9" s="1"/>
  <c r="B160" i="9"/>
  <c r="F160" i="9" s="1"/>
  <c r="B161" i="9"/>
  <c r="F161" i="9" s="1"/>
  <c r="B162" i="9"/>
  <c r="F162" i="9" s="1"/>
  <c r="B163" i="9"/>
  <c r="F163" i="9" s="1"/>
  <c r="B164" i="9"/>
  <c r="F164" i="9" s="1"/>
  <c r="B165" i="9"/>
  <c r="F165" i="9" s="1"/>
  <c r="B166" i="9"/>
  <c r="F166" i="9" s="1"/>
  <c r="B167" i="9"/>
  <c r="F167" i="9" s="1"/>
  <c r="B168" i="9"/>
  <c r="F168" i="9" s="1"/>
  <c r="B169" i="9"/>
  <c r="F169" i="9" s="1"/>
  <c r="B170" i="9"/>
  <c r="F170" i="9" s="1"/>
  <c r="B171" i="9"/>
  <c r="F171" i="9" s="1"/>
  <c r="B172" i="9"/>
  <c r="F172" i="9" s="1"/>
  <c r="B173" i="9"/>
  <c r="F173" i="9" s="1"/>
  <c r="B174" i="9"/>
  <c r="F174" i="9" s="1"/>
  <c r="B175" i="9"/>
  <c r="F175" i="9" s="1"/>
  <c r="B176" i="9"/>
  <c r="F176" i="9" s="1"/>
  <c r="B177" i="9"/>
  <c r="F177" i="9" s="1"/>
  <c r="B178" i="9"/>
  <c r="F178" i="9" s="1"/>
  <c r="B179" i="9"/>
  <c r="F179" i="9" s="1"/>
  <c r="B80" i="9"/>
  <c r="F80" i="9" s="1"/>
  <c r="I41" i="9"/>
  <c r="I34" i="9"/>
  <c r="B41" i="9"/>
  <c r="C41" i="9" s="1"/>
  <c r="D41" i="9" s="1"/>
  <c r="B34" i="9"/>
  <c r="C34" i="9"/>
  <c r="D34" i="9" s="1"/>
  <c r="E34" i="9" s="1"/>
  <c r="B233" i="9" l="1"/>
  <c r="B237" i="9"/>
  <c r="F180" i="9"/>
  <c r="F181" i="9" s="1"/>
  <c r="L176" i="9"/>
  <c r="L172" i="9"/>
  <c r="L168" i="9"/>
  <c r="L164" i="9"/>
  <c r="L160" i="9"/>
  <c r="L156" i="9"/>
  <c r="L152" i="9"/>
  <c r="L148" i="9"/>
  <c r="L144" i="9"/>
  <c r="L140" i="9"/>
  <c r="L136" i="9"/>
  <c r="L132" i="9"/>
  <c r="L128" i="9"/>
  <c r="L124" i="9"/>
  <c r="L120" i="9"/>
  <c r="L116" i="9"/>
  <c r="L112" i="9"/>
  <c r="L108" i="9"/>
  <c r="L104" i="9"/>
  <c r="L100" i="9"/>
  <c r="L96" i="9"/>
  <c r="L92" i="9"/>
  <c r="L88" i="9"/>
  <c r="L84" i="9"/>
  <c r="L179" i="9"/>
  <c r="L175" i="9"/>
  <c r="L171" i="9"/>
  <c r="L167" i="9"/>
  <c r="L163" i="9"/>
  <c r="L159" i="9"/>
  <c r="L155" i="9"/>
  <c r="L151" i="9"/>
  <c r="L147" i="9"/>
  <c r="L143" i="9"/>
  <c r="L139" i="9"/>
  <c r="L135" i="9"/>
  <c r="L131" i="9"/>
  <c r="L127" i="9"/>
  <c r="L123" i="9"/>
  <c r="L119" i="9"/>
  <c r="L115" i="9"/>
  <c r="L111" i="9"/>
  <c r="L107" i="9"/>
  <c r="L103" i="9"/>
  <c r="L99" i="9"/>
  <c r="L95" i="9"/>
  <c r="L91" i="9"/>
  <c r="L87" i="9"/>
  <c r="L83" i="9"/>
  <c r="L178" i="9"/>
  <c r="L174" i="9"/>
  <c r="L170" i="9"/>
  <c r="L166" i="9"/>
  <c r="L162" i="9"/>
  <c r="L158" i="9"/>
  <c r="L154" i="9"/>
  <c r="L150" i="9"/>
  <c r="L146" i="9"/>
  <c r="L142" i="9"/>
  <c r="L138" i="9"/>
  <c r="L134" i="9"/>
  <c r="L130" i="9"/>
  <c r="L126" i="9"/>
  <c r="L122" i="9"/>
  <c r="L118" i="9"/>
  <c r="L114" i="9"/>
  <c r="L110" i="9"/>
  <c r="L106" i="9"/>
  <c r="L102" i="9"/>
  <c r="L98" i="9"/>
  <c r="L94" i="9"/>
  <c r="L90" i="9"/>
  <c r="L86" i="9"/>
  <c r="L82" i="9"/>
  <c r="L177" i="9"/>
  <c r="L173" i="9"/>
  <c r="L169" i="9"/>
  <c r="L165" i="9"/>
  <c r="L161" i="9"/>
  <c r="L157" i="9"/>
  <c r="L153" i="9"/>
  <c r="L149" i="9"/>
  <c r="L145" i="9"/>
  <c r="L141" i="9"/>
  <c r="L137" i="9"/>
  <c r="L133" i="9"/>
  <c r="L129" i="9"/>
  <c r="L125" i="9"/>
  <c r="L121" i="9"/>
  <c r="L117" i="9"/>
  <c r="L113" i="9"/>
  <c r="L109" i="9"/>
  <c r="L105" i="9"/>
  <c r="L101" i="9"/>
  <c r="L97" i="9"/>
  <c r="L93" i="9"/>
  <c r="L89" i="9"/>
  <c r="L85" i="9"/>
  <c r="L81" i="9"/>
  <c r="L80" i="9"/>
  <c r="K41" i="9"/>
  <c r="L34" i="9"/>
  <c r="J41" i="9"/>
  <c r="M41" i="9"/>
  <c r="F60" i="9" s="1"/>
  <c r="K34" i="9"/>
  <c r="L41" i="9"/>
  <c r="J34" i="9"/>
  <c r="E41" i="9"/>
  <c r="E42" i="9"/>
  <c r="D35" i="9"/>
  <c r="B239" i="9" l="1"/>
  <c r="L180" i="9"/>
  <c r="L181" i="9" s="1"/>
  <c r="I42" i="9"/>
  <c r="I35" i="9"/>
</calcChain>
</file>

<file path=xl/sharedStrings.xml><?xml version="1.0" encoding="utf-8"?>
<sst xmlns="http://schemas.openxmlformats.org/spreadsheetml/2006/main" count="413" uniqueCount="258">
  <si>
    <t>An integrated case in capital budgeting</t>
    <phoneticPr fontId="3" type="noConversion"/>
  </si>
  <si>
    <t>You would like to join at least one established franchise in the restaurant area, maybe two (if profitable).You have two project to consider: (1) Nobel Family Steak House: N, and (2) A-Kuan Fire Pan: A. The 3-year period net cash flows are shown below.  From the table, you can see, project N-B's cash flow start off high, but decrease later.A-K project provide you slow start in cash flow, but a fast growth later. Your choice depends on the capital budgeting criteria you have learned in your finance class.</t>
    <phoneticPr fontId="3" type="noConversion"/>
  </si>
  <si>
    <t>period</t>
    <phoneticPr fontId="5" type="noConversion"/>
  </si>
  <si>
    <t>Cash flow</t>
    <phoneticPr fontId="5" type="noConversion"/>
  </si>
  <si>
    <t>project N-B</t>
  </si>
  <si>
    <t>project A-K</t>
  </si>
  <si>
    <t>The above table shows the net cash flow.  Depreciation, working capital increment, tax, and  slave value are all included.</t>
  </si>
  <si>
    <t>Your required rate of return depends on the cost of funding, which is a random variable that follows a normal distribution with mean=7%, standard deviation=5%.</t>
    <phoneticPr fontId="5" type="noConversion"/>
  </si>
  <si>
    <t>You know the easiest way to evaluate a project is to use payback period approach.</t>
  </si>
  <si>
    <t>If you wish to recover initial investment in two years, which project can you accept?</t>
  </si>
  <si>
    <t>If these projects are mutually exclusive project and based on the payback period criterion, which project may you select?</t>
  </si>
  <si>
    <t>You learned from the finance class that NPV is the best approach to evaluate a project.</t>
    <phoneticPr fontId="3" type="noConversion"/>
  </si>
  <si>
    <t>Assuming your required rate of return is mean=7%, please calculate NPV for each project.</t>
  </si>
  <si>
    <t>Based on your calculation, which project can you accept?</t>
    <phoneticPr fontId="3" type="noConversion"/>
  </si>
  <si>
    <t>If these projects are mutually exclusive project and based on the NPV, which project may you select?</t>
  </si>
  <si>
    <t>Do you have the same conclusions using NPV and payback period?</t>
    <phoneticPr fontId="3" type="noConversion"/>
  </si>
  <si>
    <t>You like to know how the discount rate may affect your decision.</t>
    <phoneticPr fontId="3" type="noConversion"/>
  </si>
  <si>
    <t>You conduct several analyses for this issue.</t>
    <phoneticPr fontId="3" type="noConversion"/>
  </si>
  <si>
    <t>You first make a table to see how interest rate change may affect NPV.</t>
    <phoneticPr fontId="3" type="noConversion"/>
  </si>
  <si>
    <t>You also like to draw NPV profiles for these two projects.</t>
    <phoneticPr fontId="3" type="noConversion"/>
  </si>
  <si>
    <t>You can also use scroll to adjust the discount rate based on: 0%~12% @ 0.5%</t>
    <phoneticPr fontId="3" type="noConversion"/>
  </si>
  <si>
    <t>When you adjust the scroll, you can see how NPV of each project changes, and make your comments on that.</t>
    <phoneticPr fontId="3" type="noConversion"/>
  </si>
  <si>
    <t>Based on the case description, we know that discount rate follows N(7%,5%)</t>
  </si>
  <si>
    <t>(If interest rate follows normal distribution, it says that interest rate could be negative.  So, other distribution assumption, like lognormal, is a better assumption.)</t>
    <phoneticPr fontId="3" type="noConversion"/>
  </si>
  <si>
    <t>Please generate 100 discount rate following the assumed normal distribution.</t>
    <phoneticPr fontId="3" type="noConversion"/>
  </si>
  <si>
    <t>(Here, let's just assume it follows a normal distribution.)</t>
    <phoneticPr fontId="3" type="noConversion"/>
  </si>
  <si>
    <t>Then, calculate NPVs for each project on each interest rate.</t>
    <phoneticPr fontId="3" type="noConversion"/>
  </si>
  <si>
    <t>Now you have 100 NPVs for project N-B, and 100 NPVs for project A-K.</t>
  </si>
  <si>
    <t>Calculate the mean and standard deviation of NPVs for each project.</t>
    <phoneticPr fontId="3" type="noConversion"/>
  </si>
  <si>
    <t>Give you comments on which project is more risky.</t>
  </si>
  <si>
    <t xml:space="preserve">IRR is another competitive criterion. </t>
    <phoneticPr fontId="3" type="noConversion"/>
  </si>
  <si>
    <t>Use IRR function to calculate IRR for each project.</t>
    <phoneticPr fontId="3" type="noConversion"/>
  </si>
  <si>
    <t>Based on the NPV profiles, can you indicate where the IRR is for each project?</t>
    <phoneticPr fontId="3" type="noConversion"/>
  </si>
  <si>
    <t>We can also use goal seek to find out IRRs.  Please illustrate how you can do this.</t>
    <phoneticPr fontId="3" type="noConversion"/>
  </si>
  <si>
    <t>IRR has several drawbacks.</t>
    <phoneticPr fontId="3" type="noConversion"/>
  </si>
  <si>
    <t>One of them is that it may have contradiction with NPV when we have mutually exclusive projects.</t>
    <phoneticPr fontId="3" type="noConversion"/>
  </si>
  <si>
    <t>Please draw a combined NPV profile for project N-B and project A-K.</t>
  </si>
  <si>
    <t>It means that you put two lines of NPV profile in the same graph.</t>
    <phoneticPr fontId="3" type="noConversion"/>
  </si>
  <si>
    <t>Then illustrate how the contradiction may happen.</t>
  </si>
  <si>
    <t>In your illustration, you might mention the "cross rate".</t>
    <phoneticPr fontId="3" type="noConversion"/>
  </si>
  <si>
    <t>The cross rate is the discount rate where two project's NPV lines are crossed.</t>
    <phoneticPr fontId="3" type="noConversion"/>
  </si>
  <si>
    <t>Please find out the cross rate for these two projects.</t>
  </si>
  <si>
    <t>The world is full of uncertainty.</t>
    <phoneticPr fontId="3" type="noConversion"/>
  </si>
  <si>
    <t>Not only the interest rate is a random variable, but also the initial cost, and cash flow can be changed.</t>
    <phoneticPr fontId="3" type="noConversion"/>
  </si>
  <si>
    <t>Assuming</t>
    <phoneticPr fontId="3" type="noConversion"/>
  </si>
  <si>
    <t>discount rate</t>
    <phoneticPr fontId="3" type="noConversion"/>
  </si>
  <si>
    <t>0%~12% @ 0.5%</t>
    <phoneticPr fontId="3" type="noConversion"/>
  </si>
  <si>
    <t>initial cost</t>
    <phoneticPr fontId="3" type="noConversion"/>
  </si>
  <si>
    <t>1500~2500 @ 100</t>
    <phoneticPr fontId="3" type="noConversion"/>
  </si>
  <si>
    <t>1st year cash flow for project N-B</t>
  </si>
  <si>
    <t>1000~1800 @ 50</t>
    <phoneticPr fontId="3" type="noConversion"/>
  </si>
  <si>
    <t>3rd year cash flow for project A-K</t>
  </si>
  <si>
    <t>1200~2200 @ 100</t>
    <phoneticPr fontId="3" type="noConversion"/>
  </si>
  <si>
    <t>Calculate NPV for each project.</t>
    <phoneticPr fontId="3" type="noConversion"/>
  </si>
  <si>
    <t>Try to adjust these scrolls and answer the following question.</t>
    <phoneticPr fontId="3" type="noConversion"/>
  </si>
  <si>
    <t>Given what condition, project N-B is better than project A-K.</t>
  </si>
  <si>
    <t>To answer the above questions, you may set up problems separately.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</si>
  <si>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</si>
  <si>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</si>
  <si>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</si>
  <si>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</si>
  <si>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Q1~Q4</t>
    <phoneticPr fontId="3" type="noConversion"/>
  </si>
  <si>
    <t>There are 10 questions in this test.</t>
    <phoneticPr fontId="3" type="noConversion"/>
  </si>
  <si>
    <t>It is a closed book test.</t>
    <phoneticPr fontId="3" type="noConversion"/>
  </si>
  <si>
    <t>Be honest.</t>
    <phoneticPr fontId="3" type="noConversion"/>
  </si>
  <si>
    <t>Use your name to save the file.</t>
    <phoneticPr fontId="3" type="noConversion"/>
  </si>
  <si>
    <t>Save file from time to time.</t>
    <phoneticPr fontId="3" type="noConversion"/>
  </si>
  <si>
    <t>Write down your comments.</t>
    <phoneticPr fontId="3" type="noConversion"/>
  </si>
  <si>
    <t>Be sure to upload your file to CEIBA before 17:00.  It is better do that before 16:55.</t>
    <phoneticPr fontId="3" type="noConversion"/>
  </si>
  <si>
    <t>a. construct the Pro Forma Income Statement</t>
    <phoneticPr fontId="3" type="noConversion"/>
  </si>
  <si>
    <t>Pro Forma Income Statements</t>
  </si>
  <si>
    <t>Sales</t>
  </si>
  <si>
    <t>Var. costs</t>
  </si>
  <si>
    <t>Fixed costs</t>
  </si>
  <si>
    <t>Depreciation</t>
  </si>
  <si>
    <t>EBIT</t>
  </si>
  <si>
    <t>Taxes (34%)</t>
  </si>
  <si>
    <t>Net income</t>
  </si>
  <si>
    <t>year 2</t>
    <phoneticPr fontId="3" type="noConversion"/>
  </si>
  <si>
    <t>year 1</t>
    <phoneticPr fontId="3" type="noConversion"/>
  </si>
  <si>
    <t>year 3</t>
    <phoneticPr fontId="3" type="noConversion"/>
  </si>
  <si>
    <t>b. OCF</t>
    <phoneticPr fontId="3" type="noConversion"/>
  </si>
  <si>
    <t>OCF= EBIT + Depreciation – Taxes</t>
  </si>
  <si>
    <t>c. cash flow table</t>
    <phoneticPr fontId="3" type="noConversion"/>
  </si>
  <si>
    <t>period</t>
    <phoneticPr fontId="3" type="noConversion"/>
  </si>
  <si>
    <t>OCF</t>
    <phoneticPr fontId="3" type="noConversion"/>
  </si>
  <si>
    <t>Net working capital</t>
    <phoneticPr fontId="3" type="noConversion"/>
  </si>
  <si>
    <t>capital expenditure</t>
    <phoneticPr fontId="3" type="noConversion"/>
  </si>
  <si>
    <t>cash flow</t>
    <phoneticPr fontId="3" type="noConversion"/>
  </si>
  <si>
    <t>d. Calculate the project’s Payback, NPV, and IRR</t>
  </si>
  <si>
    <t>Q5</t>
    <phoneticPr fontId="3" type="noConversion"/>
  </si>
  <si>
    <t>Pro Forma Statement and project evaluation(again)</t>
    <phoneticPr fontId="3" type="noConversion"/>
  </si>
  <si>
    <t xml:space="preserve">台泥         </t>
  </si>
  <si>
    <t xml:space="preserve">中和         </t>
  </si>
  <si>
    <t xml:space="preserve">櫻花建       </t>
  </si>
  <si>
    <t xml:space="preserve">大立光       </t>
  </si>
  <si>
    <t xml:space="preserve">潤泰材       </t>
  </si>
  <si>
    <t>rm</t>
    <phoneticPr fontId="3" type="noConversion"/>
  </si>
  <si>
    <t>market return</t>
    <phoneticPr fontId="3" type="noConversion"/>
  </si>
  <si>
    <r>
      <t>E(Ri)=Rf+</t>
    </r>
    <r>
      <rPr>
        <sz val="12"/>
        <rFont val="Symbol"/>
        <family val="1"/>
        <charset val="2"/>
      </rPr>
      <t>b</t>
    </r>
    <r>
      <rPr>
        <sz val="12"/>
        <color theme="1"/>
        <rFont val="新細明體"/>
        <family val="2"/>
        <charset val="136"/>
        <scheme val="minor"/>
      </rPr>
      <t>(E(Rm-Rf)</t>
    </r>
    <phoneticPr fontId="11" type="noConversion"/>
  </si>
  <si>
    <r>
      <t>E(Ri)=0.003+</t>
    </r>
    <r>
      <rPr>
        <sz val="12"/>
        <rFont val="Symbol"/>
        <family val="1"/>
        <charset val="2"/>
      </rPr>
      <t>b</t>
    </r>
    <r>
      <rPr>
        <sz val="12"/>
        <color theme="1"/>
        <rFont val="新細明體"/>
        <family val="2"/>
        <charset val="136"/>
        <scheme val="minor"/>
      </rPr>
      <t>(0.004-0.003)</t>
    </r>
    <phoneticPr fontId="11" type="noConversion"/>
  </si>
  <si>
    <t>Q6</t>
    <phoneticPr fontId="3" type="noConversion"/>
  </si>
  <si>
    <t>By applying CAPM, you like to know which stock to buy and which stock to sell.</t>
    <phoneticPr fontId="3" type="noConversion"/>
  </si>
  <si>
    <t>So, you first need to estimate beta for each stock.</t>
    <phoneticPr fontId="3" type="noConversion"/>
  </si>
  <si>
    <t>You run the following regression to estimate beta.</t>
    <phoneticPr fontId="3" type="noConversion"/>
  </si>
  <si>
    <r>
      <t>r</t>
    </r>
    <r>
      <rPr>
        <vertAlign val="subscript"/>
        <sz val="12"/>
        <color theme="1"/>
        <rFont val="新細明體"/>
        <family val="1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=a+br</t>
    </r>
    <r>
      <rPr>
        <vertAlign val="subscript"/>
        <sz val="12"/>
        <color theme="1"/>
        <rFont val="新細明體"/>
        <family val="1"/>
        <charset val="136"/>
        <scheme val="minor"/>
      </rPr>
      <t>m</t>
    </r>
    <r>
      <rPr>
        <sz val="12"/>
        <color theme="1"/>
        <rFont val="新細明體"/>
        <family val="2"/>
        <charset val="136"/>
        <scheme val="minor"/>
      </rPr>
      <t>+e</t>
    </r>
    <r>
      <rPr>
        <vertAlign val="subscript"/>
        <sz val="12"/>
        <color theme="1"/>
        <rFont val="新細明體"/>
        <family val="1"/>
        <charset val="136"/>
        <scheme val="minor"/>
      </rPr>
      <t>i</t>
    </r>
    <phoneticPr fontId="3" type="noConversion"/>
  </si>
  <si>
    <t>You calculate average return for each stock.</t>
    <phoneticPr fontId="3" type="noConversion"/>
  </si>
  <si>
    <t>Month</t>
    <phoneticPr fontId="3" type="noConversion"/>
  </si>
  <si>
    <t>market capitalization</t>
    <phoneticPr fontId="3" type="noConversion"/>
  </si>
  <si>
    <t>Q7</t>
    <phoneticPr fontId="3" type="noConversion"/>
  </si>
  <si>
    <t>I have a portfolio containging 10 stocks.</t>
    <phoneticPr fontId="3" type="noConversion"/>
  </si>
  <si>
    <t>a. Please calculate average returns and standard deviation of returns for each stock.</t>
    <phoneticPr fontId="3" type="noConversion"/>
  </si>
  <si>
    <t>b. I use the market capitalization of each stock as weight to form a portfolio.</t>
    <phoneticPr fontId="3" type="noConversion"/>
  </si>
  <si>
    <t xml:space="preserve">Please calculate the weighted average returns and standard deviation of my portfolio return. </t>
    <phoneticPr fontId="3" type="noConversion"/>
  </si>
  <si>
    <t>c. Which stock should invest more to improve my portfolio performance. (This is quite an open question.)</t>
    <phoneticPr fontId="3" type="noConversion"/>
  </si>
  <si>
    <t>returns (%)</t>
    <phoneticPr fontId="3" type="noConversion"/>
  </si>
  <si>
    <t>(in million)</t>
    <phoneticPr fontId="3" type="noConversion"/>
  </si>
  <si>
    <t>E(Rp)</t>
  </si>
  <si>
    <t>Standard deviation of P</t>
  </si>
  <si>
    <r>
      <t>S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</si>
  <si>
    <t>T-Bill rate</t>
  </si>
  <si>
    <t>Proportion in P</t>
  </si>
  <si>
    <t>Proportion in T-Bills</t>
  </si>
  <si>
    <t>Compostion of P</t>
  </si>
  <si>
    <t>stock A</t>
  </si>
  <si>
    <t>stock B</t>
  </si>
  <si>
    <t>Stock C</t>
  </si>
  <si>
    <t>Total</t>
  </si>
  <si>
    <t>b. Please draw the capital allocation line (CAL)</t>
  </si>
  <si>
    <t>d. if Bo's utility function is</t>
  </si>
  <si>
    <r>
      <t>U = E(r) - 3/2(s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</si>
  <si>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t>Q8</t>
    <phoneticPr fontId="3" type="noConversion"/>
  </si>
  <si>
    <t>Your client, Brian Smiths, holds a complete portfolio that consists of a portfolio of risky assets (P) and T-Bills. The information below refers to these assets.</t>
    <phoneticPr fontId="3" type="noConversion"/>
  </si>
  <si>
    <t>a. What is the expected return and standard deviation on Brian's complete portfolio? </t>
    <phoneticPr fontId="3" type="noConversion"/>
  </si>
  <si>
    <t>c. Please indicate Brian's portfolio on CAL.</t>
    <phoneticPr fontId="3" type="noConversion"/>
  </si>
  <si>
    <t>, is Brian's choice fitting his preference?</t>
    <phoneticPr fontId="3" type="noConversion"/>
  </si>
  <si>
    <t>Time value of money</t>
    <phoneticPr fontId="3" type="noConversion"/>
  </si>
  <si>
    <t>State of Economy</t>
  </si>
  <si>
    <t>Probability</t>
  </si>
  <si>
    <t>GE</t>
    <phoneticPr fontId="3" type="noConversion"/>
  </si>
  <si>
    <t>HP</t>
    <phoneticPr fontId="3" type="noConversion"/>
  </si>
  <si>
    <t>Pfizer</t>
    <phoneticPr fontId="3" type="noConversion"/>
  </si>
  <si>
    <t>Apple</t>
    <phoneticPr fontId="3" type="noConversion"/>
  </si>
  <si>
    <t>Ford</t>
    <phoneticPr fontId="3" type="noConversion"/>
  </si>
  <si>
    <t>Recession</t>
  </si>
  <si>
    <t>Below Average</t>
  </si>
  <si>
    <t>Average</t>
  </si>
  <si>
    <t>Above Average</t>
  </si>
  <si>
    <t>Boom</t>
  </si>
  <si>
    <t>Q10</t>
    <phoneticPr fontId="3" type="noConversion"/>
  </si>
  <si>
    <t>Q9</t>
    <phoneticPr fontId="3" type="noConversion"/>
  </si>
  <si>
    <t>How soon can you recover the initial investment for each project?</t>
    <phoneticPr fontId="3" type="noConversion"/>
  </si>
  <si>
    <t>NET CF</t>
    <phoneticPr fontId="3" type="noConversion"/>
  </si>
  <si>
    <t>ACCUMULATE</t>
    <phoneticPr fontId="3" type="noConversion"/>
  </si>
  <si>
    <t>payback period</t>
    <phoneticPr fontId="3" type="noConversion"/>
  </si>
  <si>
    <t>Q1-1</t>
    <phoneticPr fontId="3" type="noConversion"/>
  </si>
  <si>
    <t>Q1-2</t>
    <phoneticPr fontId="3" type="noConversion"/>
  </si>
  <si>
    <t>PV</t>
    <phoneticPr fontId="3" type="noConversion"/>
  </si>
  <si>
    <t>return</t>
    <phoneticPr fontId="3" type="noConversion"/>
  </si>
  <si>
    <t>npv</t>
    <phoneticPr fontId="3" type="noConversion"/>
  </si>
  <si>
    <t>pv</t>
    <phoneticPr fontId="3" type="noConversion"/>
  </si>
  <si>
    <t>N</t>
    <phoneticPr fontId="3" type="noConversion"/>
  </si>
  <si>
    <t>NPV</t>
    <phoneticPr fontId="3" type="noConversion"/>
  </si>
  <si>
    <t>rate of return</t>
    <phoneticPr fontId="3" type="noConversion"/>
  </si>
  <si>
    <t>Q2-1</t>
    <phoneticPr fontId="3" type="noConversion"/>
  </si>
  <si>
    <t>N(7%,5%)</t>
    <phoneticPr fontId="3" type="noConversion"/>
  </si>
  <si>
    <t>RAND()</t>
    <phoneticPr fontId="3" type="noConversion"/>
  </si>
  <si>
    <t>Q2-2</t>
    <phoneticPr fontId="3" type="noConversion"/>
  </si>
  <si>
    <t>DATA ANALYSIS</t>
    <phoneticPr fontId="3" type="noConversion"/>
  </si>
  <si>
    <t>SD</t>
    <phoneticPr fontId="3" type="noConversion"/>
  </si>
  <si>
    <t>MEAN</t>
    <phoneticPr fontId="3" type="noConversion"/>
  </si>
  <si>
    <t>MORE RISKY</t>
    <phoneticPr fontId="3" type="noConversion"/>
  </si>
  <si>
    <t>IRR</t>
    <phoneticPr fontId="3" type="noConversion"/>
  </si>
  <si>
    <t>initial cost for 2 projects</t>
    <phoneticPr fontId="3" type="noConversion"/>
  </si>
  <si>
    <t>cash flow</t>
  </si>
  <si>
    <t>accumulate</t>
    <phoneticPr fontId="3" type="noConversion"/>
  </si>
  <si>
    <t>payback</t>
    <phoneticPr fontId="3" type="noConversion"/>
  </si>
  <si>
    <t>npv</t>
    <phoneticPr fontId="3" type="noConversion"/>
  </si>
  <si>
    <t>irr</t>
    <phoneticPr fontId="3" type="noConversion"/>
  </si>
  <si>
    <t>rf=0.003</t>
    <phoneticPr fontId="3" type="noConversion"/>
  </si>
  <si>
    <t>beta</t>
    <phoneticPr fontId="3" type="noConversion"/>
  </si>
  <si>
    <t>ri-rf</t>
    <phoneticPr fontId="3" type="noConversion"/>
  </si>
  <si>
    <t>rm-rf</t>
    <phoneticPr fontId="3" type="noConversion"/>
  </si>
  <si>
    <t>=MMULT(MMULT(MINVERSE(MMULT(TRANSPOSE(rm-rf),rm-rf)),TRANSPOSE(rm-rf)),ri-rf)</t>
    <phoneticPr fontId="19" type="noConversion"/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</si>
  <si>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</si>
  <si>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</si>
  <si>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</si>
  <si>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</si>
  <si>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</si>
  <si>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</si>
  <si>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</si>
  <si>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</si>
  <si>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</si>
  <si>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</si>
  <si>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</si>
  <si>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</si>
  <si>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</si>
  <si>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</si>
  <si>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</si>
  <si>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</si>
  <si>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</si>
  <si>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</si>
  <si>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</si>
  <si>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</si>
  <si>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</si>
  <si>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</si>
  <si>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</si>
  <si>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 變數 1</t>
  </si>
  <si>
    <t>avg return</t>
    <phoneticPr fontId="3" type="noConversion"/>
  </si>
  <si>
    <t>You compare average return with E(ri) estimated from CAPM to make investment decision.</t>
    <phoneticPr fontId="3" type="noConversion"/>
  </si>
  <si>
    <t>avg return(%)</t>
    <phoneticPr fontId="3" type="noConversion"/>
  </si>
  <si>
    <t>alpha</t>
    <phoneticPr fontId="3" type="noConversion"/>
  </si>
  <si>
    <t>mean</t>
    <phoneticPr fontId="3" type="noConversion"/>
  </si>
  <si>
    <t>stdev</t>
  </si>
  <si>
    <t>stdev</t>
    <phoneticPr fontId="3" type="noConversion"/>
  </si>
  <si>
    <t>weight</t>
    <phoneticPr fontId="3" type="noConversion"/>
  </si>
  <si>
    <t>個股報酬</t>
    <phoneticPr fontId="3" type="noConversion"/>
  </si>
  <si>
    <t>總報酬</t>
    <phoneticPr fontId="3" type="noConversion"/>
  </si>
  <si>
    <t>VAR</t>
    <phoneticPr fontId="3" type="noConversion"/>
  </si>
  <si>
    <t>STDEV</t>
    <phoneticPr fontId="3" type="noConversion"/>
  </si>
  <si>
    <t>欄 1</t>
  </si>
  <si>
    <t>欄 2</t>
  </si>
  <si>
    <t>欄 3</t>
  </si>
  <si>
    <t>欄 4</t>
  </si>
  <si>
    <t>欄 5</t>
  </si>
  <si>
    <t>欄 6</t>
  </si>
  <si>
    <t>欄 7</t>
  </si>
  <si>
    <t>欄 8</t>
  </si>
  <si>
    <t>欄 9</t>
  </si>
  <si>
    <t>欄 10</t>
  </si>
  <si>
    <t>VAR-COVAR</t>
    <phoneticPr fontId="3" type="noConversion"/>
  </si>
  <si>
    <t>=MMULT(權重(列),MMULT(var-covar矩陣,TRANSPOSE(權重(列))))</t>
    <phoneticPr fontId="19" type="noConversion"/>
  </si>
  <si>
    <t>deposit</t>
    <phoneticPr fontId="3" type="noConversion"/>
  </si>
  <si>
    <t>rate</t>
    <phoneticPr fontId="3" type="noConversion"/>
  </si>
  <si>
    <t>period</t>
    <phoneticPr fontId="3" type="noConversion"/>
  </si>
  <si>
    <t>the end of first year</t>
    <phoneticPr fontId="3" type="noConversion"/>
  </si>
  <si>
    <t>EAA</t>
    <phoneticPr fontId="3" type="noConversion"/>
  </si>
  <si>
    <t>C.</t>
    <phoneticPr fontId="3" type="noConversion"/>
  </si>
  <si>
    <t>APR</t>
    <phoneticPr fontId="3" type="noConversion"/>
  </si>
  <si>
    <t>JUL</t>
    <phoneticPr fontId="3" type="noConversion"/>
  </si>
  <si>
    <t>JAN</t>
    <phoneticPr fontId="3" type="noConversion"/>
  </si>
  <si>
    <t>OCT</t>
    <phoneticPr fontId="3" type="noConversion"/>
  </si>
  <si>
    <t>quarterly</t>
    <phoneticPr fontId="3" type="noConversion"/>
  </si>
  <si>
    <t>monthly</t>
    <phoneticPr fontId="3" type="noConversion"/>
  </si>
  <si>
    <t>weekly</t>
    <phoneticPr fontId="3" type="noConversion"/>
  </si>
  <si>
    <t>daily</t>
    <phoneticPr fontId="3" type="noConversion"/>
  </si>
  <si>
    <t>D.</t>
    <phoneticPr fontId="3" type="noConversion"/>
  </si>
  <si>
    <t>E.</t>
    <phoneticPr fontId="3" type="noConversion"/>
  </si>
  <si>
    <t>A.</t>
    <phoneticPr fontId="3" type="noConversion"/>
  </si>
  <si>
    <t>B.</t>
    <phoneticPr fontId="3" type="noConversion"/>
  </si>
  <si>
    <t>FV is higher</t>
    <phoneticPr fontId="3" type="noConversion"/>
  </si>
  <si>
    <t>E(rp)</t>
  </si>
  <si>
    <t>Wa</t>
  </si>
  <si>
    <t>Wb</t>
  </si>
  <si>
    <t>Wc</t>
  </si>
  <si>
    <t>Var(p)</t>
  </si>
  <si>
    <t>sum</t>
    <phoneticPr fontId="3" type="noConversion"/>
  </si>
  <si>
    <t>W_tbill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</si>
</sst>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176" formatCode="#,##0.00_ "/>
    <numFmt numFmtId="177" formatCode="0.00_);[Red]\(0.00\)"/>
    <numFmt numFmtId="178" formatCode="0.0%"/>
  </numFmts>
  <fonts count="20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6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name val="Symbol"/>
      <family val="1"/>
      <charset val="2"/>
    </font>
    <font>
      <sz val="9"/>
      <name val="新細明體"/>
      <family val="1"/>
      <charset val="136"/>
    </font>
    <font>
      <vertAlign val="subscript"/>
      <sz val="12"/>
      <color theme="1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2"/>
      <color theme="1"/>
      <name val="新細明體"/>
      <family val="1"/>
      <charset val="136"/>
      <scheme val="minor"/>
    </font>
    <font>
      <b/>
      <sz val="10"/>
      <name val="Times New Roman"/>
      <family val="1"/>
    </font>
    <font>
      <b/>
      <sz val="12"/>
      <color rgb="FF0070C0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37" fontId="4" fillId="0" borderId="0" xfId="0" applyNumberFormat="1" applyFont="1" applyAlignment="1"/>
    <xf numFmtId="37" fontId="4" fillId="0" borderId="0" xfId="0" applyNumberFormat="1" applyFont="1" applyAlignment="1">
      <alignment vertical="center" wrapText="1"/>
    </xf>
    <xf numFmtId="9" fontId="2" fillId="0" borderId="0" xfId="0" applyNumberFormat="1" applyFont="1">
      <alignment vertical="center"/>
    </xf>
    <xf numFmtId="37" fontId="4" fillId="0" borderId="1" xfId="0" applyNumberFormat="1" applyFont="1" applyBorder="1" applyAlignment="1"/>
    <xf numFmtId="37" fontId="4" fillId="0" borderId="1" xfId="0" applyNumberFormat="1" applyFont="1" applyBorder="1" applyAlignment="1">
      <alignment vertical="center" wrapText="1"/>
    </xf>
    <xf numFmtId="176" fontId="2" fillId="0" borderId="0" xfId="0" applyNumberFormat="1" applyFont="1">
      <alignment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37" fontId="4" fillId="0" borderId="0" xfId="0" applyNumberFormat="1" applyFont="1" applyFill="1" applyBorder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13" fillId="0" borderId="0" xfId="0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6" fillId="4" borderId="5" xfId="1" applyFont="1" applyFill="1" applyBorder="1" applyAlignment="1">
      <alignment horizontal="center" wrapText="1"/>
    </xf>
    <xf numFmtId="0" fontId="16" fillId="4" borderId="6" xfId="1" applyFont="1" applyFill="1" applyBorder="1" applyAlignment="1">
      <alignment horizontal="center"/>
    </xf>
    <xf numFmtId="0" fontId="16" fillId="4" borderId="6" xfId="1" applyFont="1" applyFill="1" applyBorder="1" applyAlignment="1">
      <alignment wrapText="1"/>
    </xf>
    <xf numFmtId="0" fontId="16" fillId="4" borderId="7" xfId="1" applyFont="1" applyFill="1" applyBorder="1"/>
    <xf numFmtId="0" fontId="16" fillId="4" borderId="0" xfId="1" applyFont="1" applyFill="1" applyBorder="1" applyAlignment="1">
      <alignment horizontal="center"/>
    </xf>
    <xf numFmtId="10" fontId="16" fillId="4" borderId="0" xfId="1" applyNumberFormat="1" applyFont="1" applyFill="1" applyBorder="1" applyAlignment="1">
      <alignment horizontal="center"/>
    </xf>
    <xf numFmtId="0" fontId="16" fillId="4" borderId="8" xfId="1" applyFont="1" applyFill="1" applyBorder="1"/>
    <xf numFmtId="0" fontId="16" fillId="4" borderId="9" xfId="1" applyFont="1" applyFill="1" applyBorder="1" applyAlignment="1">
      <alignment horizontal="center"/>
    </xf>
    <xf numFmtId="10" fontId="16" fillId="4" borderId="9" xfId="1" applyNumberFormat="1" applyFont="1" applyFill="1" applyBorder="1" applyAlignment="1">
      <alignment horizontal="center"/>
    </xf>
    <xf numFmtId="0" fontId="17" fillId="2" borderId="0" xfId="0" applyFont="1" applyFill="1">
      <alignment vertical="center"/>
    </xf>
    <xf numFmtId="37" fontId="4" fillId="5" borderId="0" xfId="0" applyNumberFormat="1" applyFont="1" applyFill="1" applyBorder="1" applyAlignment="1"/>
    <xf numFmtId="0" fontId="2" fillId="5" borderId="0" xfId="0" applyFont="1" applyFill="1">
      <alignment vertical="center"/>
    </xf>
    <xf numFmtId="177" fontId="2" fillId="0" borderId="0" xfId="0" applyNumberFormat="1" applyFont="1">
      <alignment vertical="center"/>
    </xf>
    <xf numFmtId="0" fontId="7" fillId="0" borderId="0" xfId="0" applyFont="1">
      <alignment vertical="center"/>
    </xf>
    <xf numFmtId="0" fontId="2" fillId="6" borderId="0" xfId="0" applyFont="1" applyFill="1">
      <alignment vertical="center"/>
    </xf>
    <xf numFmtId="8" fontId="2" fillId="0" borderId="0" xfId="0" applyNumberFormat="1" applyFont="1">
      <alignment vertical="center"/>
    </xf>
    <xf numFmtId="178" fontId="2" fillId="0" borderId="0" xfId="3" applyNumberFormat="1" applyFont="1">
      <alignment vertical="center"/>
    </xf>
    <xf numFmtId="9" fontId="2" fillId="0" borderId="0" xfId="3" applyNumberFormat="1" applyFont="1">
      <alignment vertical="center"/>
    </xf>
    <xf numFmtId="0" fontId="2" fillId="7" borderId="0" xfId="0" applyFont="1" applyFill="1">
      <alignment vertical="center"/>
    </xf>
    <xf numFmtId="0" fontId="7" fillId="7" borderId="0" xfId="0" applyFont="1" applyFill="1" applyAlignment="1">
      <alignment horizontal="left" vertical="center"/>
    </xf>
    <xf numFmtId="0" fontId="2" fillId="8" borderId="0" xfId="0" applyFont="1" applyFill="1">
      <alignment vertical="center"/>
    </xf>
    <xf numFmtId="44" fontId="2" fillId="0" borderId="0" xfId="2" applyFont="1">
      <alignment vertical="center"/>
    </xf>
    <xf numFmtId="2" fontId="2" fillId="0" borderId="0" xfId="2" applyNumberFormat="1" applyFont="1">
      <alignment vertical="center"/>
    </xf>
    <xf numFmtId="2" fontId="2" fillId="8" borderId="0" xfId="2" applyNumberFormat="1" applyFont="1" applyFill="1">
      <alignment vertical="center"/>
    </xf>
    <xf numFmtId="0" fontId="0" fillId="0" borderId="0" xfId="0" quotePrefix="1" applyAlignment="1"/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Continuous" vertical="center"/>
    </xf>
    <xf numFmtId="0" fontId="0" fillId="8" borderId="0" xfId="0" applyFill="1">
      <alignment vertical="center"/>
    </xf>
    <xf numFmtId="8" fontId="0" fillId="0" borderId="0" xfId="0" applyNumberFormat="1">
      <alignment vertical="center"/>
    </xf>
    <xf numFmtId="8" fontId="0" fillId="8" borderId="0" xfId="0" applyNumberFormat="1" applyFill="1">
      <alignment vertical="center"/>
    </xf>
    <xf numFmtId="37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5" borderId="0" xfId="0" quotePrefix="1" applyFill="1" applyAlignment="1">
      <alignment horizontal="center"/>
    </xf>
  </cellXfs>
  <cellStyles count="4">
    <cellStyle name="Currency" xfId="2" builtinId="4"/>
    <cellStyle name="Normal" xfId="0" builtinId="0"/>
    <cellStyle name="Percent" xfId="3" builtinId="5"/>
    <cellStyle name="一般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'A1.2'!$A$61:$A$76</c:f>
              <c:numCache>
                <c:formatCode>0%</c:formatCode>
                <c:ptCount val="1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</c:numCache>
            </c:numRef>
          </c:xVal>
          <c:yVal>
            <c:numRef>
              <c:f>'A1.2'!$B$61:$B$76</c:f>
              <c:numCache>
                <c:formatCode>General</c:formatCode>
                <c:ptCount val="16"/>
                <c:pt idx="0">
                  <c:v>660</c:v>
                </c:pt>
                <c:pt idx="1">
                  <c:v>618.30280665553073</c:v>
                </c:pt>
                <c:pt idx="2">
                  <c:v>577.77928549351327</c:v>
                </c:pt>
                <c:pt idx="3">
                  <c:v>538.38332904741992</c:v>
                </c:pt>
                <c:pt idx="4">
                  <c:v>500.07111970869391</c:v>
                </c:pt>
                <c:pt idx="5">
                  <c:v>462.8009934132383</c:v>
                </c:pt>
                <c:pt idx="6">
                  <c:v>426.53331273467347</c:v>
                </c:pt>
                <c:pt idx="7">
                  <c:v>391.23034864898591</c:v>
                </c:pt>
                <c:pt idx="8">
                  <c:v>356.85617029924288</c:v>
                </c:pt>
                <c:pt idx="9">
                  <c:v>323.37654214693248</c:v>
                </c:pt>
                <c:pt idx="10">
                  <c:v>290.75882794891049</c:v>
                </c:pt>
                <c:pt idx="11">
                  <c:v>258.97190104640777</c:v>
                </c:pt>
                <c:pt idx="12">
                  <c:v>227.98606049562659</c:v>
                </c:pt>
                <c:pt idx="13">
                  <c:v>197.77295260853725</c:v>
                </c:pt>
                <c:pt idx="14">
                  <c:v>168.30549750800446</c:v>
                </c:pt>
                <c:pt idx="15">
                  <c:v>139.55782033368951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8C-4DDE-BAFD-A68BE59F7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20255"/>
        <c:axId val="872233327"/>
      </c:scatterChart>
      <c:valAx>
        <c:axId val="1186920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72233327"/>
        <c:crosses val="autoZero"/>
        <c:crossBetween val="midCat"/>
      </c:valAx>
      <c:valAx>
        <c:axId val="872233327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86920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AK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'A1.2'!$E$61:$E$76</c:f>
              <c:numCache>
                <c:formatCode>0%</c:formatCode>
                <c:ptCount val="1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</c:numCache>
            </c:numRef>
          </c:xVal>
          <c:yVal>
            <c:numRef>
              <c:f>'A1.2'!$F$61:$F$76</c:f>
              <c:numCache>
                <c:formatCode>General</c:formatCode>
                <c:ptCount val="16"/>
                <c:pt idx="0">
                  <c:v>1020</c:v>
                </c:pt>
                <c:pt idx="1">
                  <c:v>945.95462879294473</c:v>
                </c:pt>
                <c:pt idx="2">
                  <c:v>874.53543508906796</c:v>
                </c:pt>
                <c:pt idx="3">
                  <c:v>805.62299641172967</c:v>
                </c:pt>
                <c:pt idx="4">
                  <c:v>739.10446062812889</c:v>
                </c:pt>
                <c:pt idx="5">
                  <c:v>674.87312385271525</c:v>
                </c:pt>
                <c:pt idx="6">
                  <c:v>612.82803925388043</c:v>
                </c:pt>
                <c:pt idx="7">
                  <c:v>552.87365423091251</c:v>
                </c:pt>
                <c:pt idx="8">
                  <c:v>494.91947365747046</c:v>
                </c:pt>
                <c:pt idx="9">
                  <c:v>438.87974709446644</c:v>
                </c:pt>
                <c:pt idx="10">
                  <c:v>384.67317806160736</c:v>
                </c:pt>
                <c:pt idx="11">
                  <c:v>332.2226536251369</c:v>
                </c:pt>
                <c:pt idx="12">
                  <c:v>281.45499271136987</c:v>
                </c:pt>
                <c:pt idx="13">
                  <c:v>232.30071169321218</c:v>
                </c:pt>
                <c:pt idx="14">
                  <c:v>184.69380592138941</c:v>
                </c:pt>
                <c:pt idx="15">
                  <c:v>138.57154598504212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4C-4C7B-BDE5-DC659FE94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616527"/>
        <c:axId val="966894143"/>
      </c:scatterChart>
      <c:valAx>
        <c:axId val="122561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66894143"/>
        <c:crosses val="autoZero"/>
        <c:crossBetween val="midCat"/>
      </c:valAx>
      <c:valAx>
        <c:axId val="9668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561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6" Type="http://schemas.openxmlformats.org/officeDocument/2006/relationships/image" Target="../media/image11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450850</xdr:colOff>
      <xdr:row>56</xdr:row>
      <xdr:rowOff>174625</xdr:rowOff>
    </xdr:from>
    <xdr:to>
      <xdr:col>12</xdr:col>
      <xdr:colOff>19050</xdr:colOff>
      <xdr:row>67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69850</xdr:colOff>
      <xdr:row>56</xdr:row>
      <xdr:rowOff>190500</xdr:rowOff>
    </xdr:from>
    <xdr:to>
      <xdr:col>18</xdr:col>
      <xdr:colOff>63500</xdr:colOff>
      <xdr:row>67</xdr:row>
      <xdr:rowOff>171450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29</xdr:row>
          <xdr:rowOff>171450</xdr:rowOff>
        </xdr:from>
        <xdr:to>
          <xdr:col>14</xdr:col>
          <xdr:colOff>9525</xdr:colOff>
          <xdr:row>30</xdr:row>
          <xdr:rowOff>180975</xdr:rowOff>
        </xdr:to>
        <xdr:sp macro="" textlink="">
          <xdr:nvSpPr>
            <xdr:cNvPr id="9217" name="ScrollBar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228</xdr:row>
          <xdr:rowOff>161925</xdr:rowOff>
        </xdr:from>
        <xdr:to>
          <xdr:col>3</xdr:col>
          <xdr:colOff>657225</xdr:colOff>
          <xdr:row>229</xdr:row>
          <xdr:rowOff>180975</xdr:rowOff>
        </xdr:to>
        <xdr:sp macro="" textlink="">
          <xdr:nvSpPr>
            <xdr:cNvPr id="9218" name="ScrollBar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230</xdr:row>
          <xdr:rowOff>190500</xdr:rowOff>
        </xdr:from>
        <xdr:to>
          <xdr:col>5</xdr:col>
          <xdr:colOff>885825</xdr:colOff>
          <xdr:row>232</xdr:row>
          <xdr:rowOff>9525</xdr:rowOff>
        </xdr:to>
        <xdr:sp macro="" textlink="">
          <xdr:nvSpPr>
            <xdr:cNvPr id="9219" name="ScrollBar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231</xdr:row>
          <xdr:rowOff>9525</xdr:rowOff>
        </xdr:from>
        <xdr:to>
          <xdr:col>9</xdr:col>
          <xdr:colOff>0</xdr:colOff>
          <xdr:row>231</xdr:row>
          <xdr:rowOff>190500</xdr:rowOff>
        </xdr:to>
        <xdr:sp macro="" textlink="">
          <xdr:nvSpPr>
            <xdr:cNvPr id="9220" name="ScrollBar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235</xdr:row>
          <xdr:rowOff>0</xdr:rowOff>
        </xdr:from>
        <xdr:to>
          <xdr:col>9</xdr:col>
          <xdr:colOff>9525</xdr:colOff>
          <xdr:row>236</xdr:row>
          <xdr:rowOff>0</xdr:rowOff>
        </xdr:to>
        <xdr:sp macro="" textlink="">
          <xdr:nvSpPr>
            <xdr:cNvPr id="9221" name="ScrollBar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</xdr:row>
      <xdr:rowOff>95250</xdr:rowOff>
    </xdr:from>
    <xdr:to>
      <xdr:col>6</xdr:col>
      <xdr:colOff>495300</xdr:colOff>
      <xdr:row>20</xdr:row>
      <xdr:rowOff>47625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47650" y="514350"/>
          <a:ext cx="4362450" cy="3724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Project Analysis: Suppose we want to prepare a set of pro forma financial statements for a project for Norma Desmond Enterprises. In order to do so, we must have some background information. In this case, assume: 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a. Sales of 10,000 units/year @ $5/unit. 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b. Variable cost/unit is $3. Fixed costs are $5,000/year. 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c.Project has no salvage value. Project life is 3 years. 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d. Project cost is $21,000. Depreciation is $7,000/year. </a:t>
          </a:r>
          <a:r>
            <a:rPr lang="en-US" altLang="zh-TW" sz="1200"/>
            <a:t>The project is financed with retained earnings. (i.e.</a:t>
          </a:r>
          <a:r>
            <a:rPr lang="en-US" altLang="zh-TW" sz="1200" baseline="0"/>
            <a:t> no debts.)</a:t>
          </a:r>
          <a:endParaRPr lang="en-US" altLang="zh-TW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e. Investment in net working capital is $10,000. The NWC investment occurs at the beginning of the project, and it is assumed that all of NWC is converted into cash at the end of the project. 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f. The firm’s required return is 20%. The tax rate is 34%.  </a:t>
          </a:r>
        </a:p>
        <a:p>
          <a:endParaRPr lang="en-US" altLang="zh-TW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Questions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a. Construct the Pro Forma Income Statement</a:t>
          </a: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b. Calculate</a:t>
          </a:r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operating cash flow (OCF)</a:t>
          </a:r>
        </a:p>
        <a:p>
          <a:r>
            <a:rPr lang="en-US" altLang="zh-TW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c. complete cash flow table</a:t>
          </a:r>
          <a:endParaRPr lang="en-US" altLang="zh-TW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TW" sz="1200">
              <a:latin typeface="Times New Roman" panose="02020603050405020304" pitchFamily="18" charset="0"/>
              <a:cs typeface="Times New Roman" panose="02020603050405020304" pitchFamily="18" charset="0"/>
            </a:rPr>
            <a:t>d. Calculate the project’s Payback, NPV, and IRR. </a:t>
          </a:r>
          <a:endParaRPr lang="zh-TW" alt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85725</xdr:rowOff>
    </xdr:from>
    <xdr:to>
      <xdr:col>8</xdr:col>
      <xdr:colOff>104775</xdr:colOff>
      <xdr:row>16</xdr:row>
      <xdr:rowOff>95250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00050" y="295275"/>
          <a:ext cx="5191125" cy="315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/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Qing Lee makes a deposit of $15,000 in a bank account.  The deposit is to earn interest annually at the rate of 7 percent for ten years.</a:t>
          </a:r>
        </a:p>
        <a:p>
          <a:pPr lvl="0"/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a.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 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How much will Qing have on deposit at the end of three years, seven years, nine years?</a:t>
          </a:r>
        </a:p>
        <a:p>
          <a:pPr lvl="0"/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b. For (a),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what are the respective effective annual yields?  </a:t>
          </a:r>
          <a:endParaRPr lang="en-US" altLang="zh-TW" sz="1200">
            <a:solidFill>
              <a:schemeClr val="dk1"/>
            </a:solidFill>
            <a:latin typeface="+mn-lt"/>
            <a:ea typeface="+mn-ea"/>
            <a:cs typeface="Times New Roman" pitchFamily="18" charset="0"/>
          </a:endParaRPr>
        </a:p>
        <a:p>
          <a:pPr lvl="0"/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c. Assuming the deposit earned a 7 percent rate of interest compounded quarterly, how much would he have at the end of seven years? compunded monthly?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 compounded weekly? compunded daily?</a:t>
          </a:r>
        </a:p>
        <a:p>
          <a:pPr lvl="0"/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d. For 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(c), what are the respective effective annual yields?  </a:t>
          </a:r>
        </a:p>
        <a:p>
          <a:pPr lvl="0"/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e. You have two choices: 7 percent compounded annually, 6.7% compounded quarterly,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 for ten years, 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Which alternative is better? Why?</a:t>
          </a:r>
        </a:p>
        <a:p>
          <a:pPr lvl="0"/>
          <a:endParaRPr lang="en-US" altLang="zh-TW" sz="1200">
            <a:solidFill>
              <a:schemeClr val="dk1"/>
            </a:solidFill>
            <a:latin typeface="+mn-lt"/>
            <a:ea typeface="+mn-ea"/>
            <a:cs typeface="Times New Roman" pitchFamily="18" charset="0"/>
          </a:endParaRPr>
        </a:p>
        <a:p>
          <a:pPr lvl="0"/>
          <a:endParaRPr lang="zh-TW" altLang="en-US" sz="1200">
            <a:latin typeface="+mn-lt"/>
            <a:cs typeface="Times New Roman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9</xdr:row>
      <xdr:rowOff>66675</xdr:rowOff>
    </xdr:from>
    <xdr:to>
      <xdr:col>8</xdr:col>
      <xdr:colOff>247650</xdr:colOff>
      <xdr:row>21</xdr:row>
      <xdr:rowOff>133350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57150" y="2095500"/>
          <a:ext cx="5886450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Understanding correlation will help you to know if your portfolios are properly diversified.</a:t>
          </a:r>
        </a:p>
        <a:p>
          <a:r>
            <a:rPr lang="en-US" altLang="zh-TW" sz="1200"/>
            <a:t>Lower correlation between two assets may have better diversification</a:t>
          </a:r>
          <a:r>
            <a:rPr lang="en-US" altLang="zh-TW" sz="1200" baseline="0"/>
            <a:t> effect.</a:t>
          </a:r>
        </a:p>
        <a:p>
          <a:r>
            <a:rPr lang="en-US" altLang="zh-TW" sz="1200" baseline="0"/>
            <a:t>In the above table, we have five assets.  We like to know which two assets can form a portfolio which has the best diversification effect.</a:t>
          </a:r>
        </a:p>
        <a:p>
          <a:r>
            <a:rPr lang="en-US" altLang="zh-TW" sz="1200" baseline="0"/>
            <a:t>Tasks:</a:t>
          </a:r>
        </a:p>
        <a:p>
          <a:r>
            <a:rPr lang="en-US" altLang="zh-TW" sz="1200" baseline="0"/>
            <a:t>1. calculate E(r), var(r) for each asset.</a:t>
          </a:r>
        </a:p>
        <a:p>
          <a:r>
            <a:rPr lang="en-US" altLang="zh-TW" sz="1200" baseline="0"/>
            <a:t>2. calculate correlaton of coefficient, r, for any two assets in the above table.</a:t>
          </a:r>
        </a:p>
        <a:p>
          <a:r>
            <a:rPr lang="en-US" altLang="zh-TW" sz="1200"/>
            <a:t>3. Please draw</a:t>
          </a:r>
          <a:r>
            <a:rPr lang="en-US" altLang="zh-TW" sz="1200" baseline="0"/>
            <a:t> two assets portfolio diagram for any two assets.</a:t>
          </a:r>
        </a:p>
        <a:p>
          <a:r>
            <a:rPr lang="en-US" altLang="zh-TW" sz="1200" baseline="0"/>
            <a:t>4. Prove the statement, "Lower corrleation between two assets may have better diversification effect", based on your answers in 1, 2, and 3.</a:t>
          </a:r>
        </a:p>
        <a:p>
          <a:endParaRPr lang="en-US" altLang="zh-TW" sz="1200" baseline="0"/>
        </a:p>
        <a:p>
          <a:r>
            <a:rPr lang="en-US" altLang="zh-TW" sz="1200" baseline="0"/>
            <a:t>Fromulas you may need are provided below:</a:t>
          </a:r>
          <a:endParaRPr lang="zh-TW" altLang="en-US" sz="1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314325</xdr:colOff>
          <xdr:row>23</xdr:row>
          <xdr:rowOff>19050</xdr:rowOff>
        </xdr:from>
        <xdr:to>
          <xdr:col>2</xdr:col>
          <xdr:colOff>76200</xdr:colOff>
          <xdr:row>25</xdr:row>
          <xdr:rowOff>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8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29</xdr:row>
          <xdr:rowOff>85725</xdr:rowOff>
        </xdr:from>
        <xdr:to>
          <xdr:col>4</xdr:col>
          <xdr:colOff>66675</xdr:colOff>
          <xdr:row>32</xdr:row>
          <xdr:rowOff>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8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26</xdr:row>
          <xdr:rowOff>9525</xdr:rowOff>
        </xdr:from>
        <xdr:to>
          <xdr:col>2</xdr:col>
          <xdr:colOff>142875</xdr:colOff>
          <xdr:row>28</xdr:row>
          <xdr:rowOff>95250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8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33</xdr:row>
          <xdr:rowOff>28575</xdr:rowOff>
        </xdr:from>
        <xdr:to>
          <xdr:col>3</xdr:col>
          <xdr:colOff>590550</xdr:colOff>
          <xdr:row>35</xdr:row>
          <xdr:rowOff>152400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8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266700</xdr:colOff>
          <xdr:row>36</xdr:row>
          <xdr:rowOff>142875</xdr:rowOff>
        </xdr:from>
        <xdr:to>
          <xdr:col>3</xdr:col>
          <xdr:colOff>76200</xdr:colOff>
          <xdr:row>38</xdr:row>
          <xdr:rowOff>66675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8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39</xdr:row>
          <xdr:rowOff>85725</xdr:rowOff>
        </xdr:from>
        <xdr:to>
          <xdr:col>7</xdr:col>
          <xdr:colOff>504825</xdr:colOff>
          <xdr:row>41</xdr:row>
          <xdr:rowOff>76200</xdr:rowOff>
        </xdr:to>
        <xdr:sp macro="" textlink="">
          <xdr:nvSpPr>
            <xdr:cNvPr id="8198" name="Object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8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10.emf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6" Type="http://schemas.openxmlformats.org/officeDocument/2006/relationships/image" Target="../media/image7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9.emf"/><Relationship Id="rId4" Type="http://schemas.openxmlformats.org/officeDocument/2006/relationships/image" Target="../media/image6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1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A11"/>
  <sheetViews>
    <sheetView workbookViewId="0">
      <selection activeCell="F9" sqref="F9"/>
    </sheetView>
  </sheetViews>
  <sheetFormatPr defaultRowHeight="16.5" x14ac:dyDescent="0.25"/>
  <sheetData>
    <row r="1" spans="1:1" x14ac:dyDescent="0.25">
      <c r="A1" s="11" t="s">
        <v>62</v>
      </c>
    </row>
    <row r="2" spans="1:1" x14ac:dyDescent="0.25">
      <c r="A2" s="11" t="s">
        <v>63</v>
      </c>
    </row>
    <row r="3" spans="1:1" x14ac:dyDescent="0.25">
      <c r="A3" s="33" t="s">
        <v>64</v>
      </c>
    </row>
    <row r="4" spans="1:1" x14ac:dyDescent="0.25">
      <c r="A4" s="11" t="s">
        <v>65</v>
      </c>
    </row>
    <row r="5" spans="1:1" x14ac:dyDescent="0.25">
      <c r="A5" s="11" t="s">
        <v>66</v>
      </c>
    </row>
    <row r="6" spans="1:1" x14ac:dyDescent="0.25">
      <c r="A6" s="11" t="s">
        <v>68</v>
      </c>
    </row>
    <row r="7" spans="1:1" x14ac:dyDescent="0.25">
      <c r="A7" s="11" t="s">
        <v>67</v>
      </c>
    </row>
    <row r="11" spans="1:1" x14ac:dyDescent="0.25">
      <c r="A11" s="12" t="s">
        <v>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3"/>
  <dimension ref="A1:R74"/>
  <sheetViews>
    <sheetView topLeftCell="A42" workbookViewId="0">
      <selection activeCell="H72" sqref="H72"/>
    </sheetView>
  </sheetViews>
  <sheetFormatPr defaultColWidth="8.625" defaultRowHeight="15.75" x14ac:dyDescent="0.25"/>
  <cols>
    <col min="1" max="1" width="11.125" style="1" customWidth="1"/>
    <col min="2" max="2" width="13.75" style="1" customWidth="1"/>
    <col min="3" max="16" width="8.625" style="1"/>
    <col min="17" max="17" width="19.625" style="1" bestFit="1" customWidth="1"/>
    <col min="18" max="16384" width="8.625" style="1"/>
  </cols>
  <sheetData>
    <row r="1" spans="1:18" x14ac:dyDescent="0.25">
      <c r="A1" s="1" t="s">
        <v>61</v>
      </c>
    </row>
    <row r="2" spans="1:18" x14ac:dyDescent="0.25">
      <c r="A2" s="1" t="s">
        <v>0</v>
      </c>
    </row>
    <row r="3" spans="1:18" x14ac:dyDescent="0.25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2"/>
      <c r="K3" s="2"/>
      <c r="L3" s="2"/>
      <c r="M3" s="2"/>
      <c r="N3" s="2"/>
    </row>
    <row r="4" spans="1:18" x14ac:dyDescent="0.25">
      <c r="A4" s="56"/>
      <c r="B4" s="56"/>
      <c r="C4" s="56"/>
      <c r="D4" s="56"/>
      <c r="E4" s="56"/>
      <c r="F4" s="56"/>
      <c r="G4" s="56"/>
      <c r="H4" s="56"/>
      <c r="I4" s="56"/>
      <c r="J4" s="2"/>
      <c r="K4" s="2"/>
      <c r="L4" s="2"/>
      <c r="M4" s="2"/>
      <c r="N4" s="2"/>
    </row>
    <row r="5" spans="1:18" x14ac:dyDescent="0.25">
      <c r="A5" s="56"/>
      <c r="B5" s="56"/>
      <c r="C5" s="56"/>
      <c r="D5" s="56"/>
      <c r="E5" s="56"/>
      <c r="F5" s="56"/>
      <c r="G5" s="56"/>
      <c r="H5" s="56"/>
      <c r="I5" s="56"/>
      <c r="J5" s="2"/>
      <c r="K5" s="2"/>
      <c r="L5" s="2"/>
      <c r="M5" s="2"/>
      <c r="N5" s="2"/>
    </row>
    <row r="6" spans="1:18" x14ac:dyDescent="0.25">
      <c r="A6" s="56"/>
      <c r="B6" s="56"/>
      <c r="C6" s="56"/>
      <c r="D6" s="56"/>
      <c r="E6" s="56"/>
      <c r="F6" s="56"/>
      <c r="G6" s="56"/>
      <c r="H6" s="56"/>
      <c r="I6" s="56"/>
      <c r="J6" s="2"/>
      <c r="K6" s="2"/>
      <c r="L6" s="2"/>
      <c r="M6" s="2"/>
      <c r="N6" s="2"/>
    </row>
    <row r="7" spans="1:18" x14ac:dyDescent="0.25">
      <c r="A7" s="56"/>
      <c r="B7" s="56"/>
      <c r="C7" s="56"/>
      <c r="D7" s="56"/>
      <c r="E7" s="56"/>
      <c r="F7" s="56"/>
      <c r="G7" s="56"/>
      <c r="H7" s="56"/>
      <c r="I7" s="56"/>
      <c r="J7" s="2"/>
      <c r="K7" s="2"/>
      <c r="L7" s="2"/>
      <c r="M7" s="2"/>
      <c r="N7" s="2"/>
    </row>
    <row r="8" spans="1:18" x14ac:dyDescent="0.25">
      <c r="A8" s="56"/>
      <c r="B8" s="56"/>
      <c r="C8" s="56"/>
      <c r="D8" s="56"/>
      <c r="E8" s="56"/>
      <c r="F8" s="56"/>
      <c r="G8" s="56"/>
      <c r="H8" s="56"/>
      <c r="I8" s="56"/>
      <c r="J8" s="2"/>
      <c r="K8" s="2"/>
      <c r="L8" s="2"/>
      <c r="M8" s="2"/>
      <c r="N8" s="2"/>
    </row>
    <row r="9" spans="1:18" x14ac:dyDescent="0.25">
      <c r="A9" s="56"/>
      <c r="B9" s="56"/>
      <c r="C9" s="56"/>
      <c r="D9" s="56"/>
      <c r="E9" s="56"/>
      <c r="F9" s="56"/>
      <c r="G9" s="56"/>
      <c r="H9" s="56"/>
      <c r="I9" s="56"/>
      <c r="J9" s="2"/>
      <c r="K9" s="2"/>
      <c r="L9" s="2"/>
      <c r="M9" s="2"/>
      <c r="N9" s="2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</row>
    <row r="11" spans="1:18" x14ac:dyDescent="0.25">
      <c r="A11" s="2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Q11" s="4"/>
    </row>
    <row r="12" spans="1:18" x14ac:dyDescent="0.25">
      <c r="A12" s="5"/>
      <c r="B12" s="6" t="s">
        <v>2</v>
      </c>
      <c r="C12" s="6">
        <v>0</v>
      </c>
      <c r="D12" s="6">
        <v>1</v>
      </c>
      <c r="E12" s="6">
        <v>2</v>
      </c>
      <c r="F12" s="6">
        <v>3</v>
      </c>
      <c r="G12" s="3"/>
      <c r="H12" s="3"/>
      <c r="I12" s="3"/>
      <c r="J12" s="2"/>
      <c r="K12" s="2"/>
      <c r="L12" s="2"/>
      <c r="M12" s="2"/>
      <c r="N12" s="2"/>
      <c r="Q12" s="7"/>
      <c r="R12" s="7"/>
    </row>
    <row r="13" spans="1:18" x14ac:dyDescent="0.25">
      <c r="A13" s="5" t="s">
        <v>3</v>
      </c>
      <c r="B13" s="6" t="s">
        <v>4</v>
      </c>
      <c r="C13" s="6">
        <v>-2000</v>
      </c>
      <c r="D13" s="6">
        <v>1400</v>
      </c>
      <c r="E13" s="6">
        <v>950</v>
      </c>
      <c r="F13" s="6">
        <v>310</v>
      </c>
      <c r="G13" s="3"/>
      <c r="H13" s="3"/>
      <c r="I13" s="3"/>
      <c r="J13" s="3"/>
      <c r="K13" s="2"/>
      <c r="L13" s="2"/>
      <c r="M13" s="2"/>
      <c r="N13" s="2"/>
      <c r="P13" s="4"/>
    </row>
    <row r="14" spans="1:18" x14ac:dyDescent="0.25">
      <c r="A14" s="5" t="s">
        <v>3</v>
      </c>
      <c r="B14" s="6" t="s">
        <v>5</v>
      </c>
      <c r="C14" s="6">
        <v>-2000</v>
      </c>
      <c r="D14" s="6">
        <v>200</v>
      </c>
      <c r="E14" s="6">
        <v>1120</v>
      </c>
      <c r="F14" s="6">
        <v>1700</v>
      </c>
      <c r="G14" s="3"/>
      <c r="H14" s="3"/>
      <c r="I14" s="3"/>
      <c r="J14" s="3"/>
      <c r="K14" s="2"/>
      <c r="L14" s="2"/>
      <c r="M14" s="2"/>
      <c r="N14" s="2"/>
      <c r="P14" s="4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 s="4"/>
    </row>
    <row r="16" spans="1:18" x14ac:dyDescent="0.25">
      <c r="A16" s="2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4"/>
    </row>
    <row r="17" spans="1:16" x14ac:dyDescent="0.25">
      <c r="A17" s="2" t="s">
        <v>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4"/>
    </row>
    <row r="18" spans="1:16" ht="20.25" x14ac:dyDescent="0.25">
      <c r="A18" s="8" t="s">
        <v>57</v>
      </c>
      <c r="P18" s="4"/>
    </row>
    <row r="19" spans="1:16" x14ac:dyDescent="0.25">
      <c r="A19" s="9"/>
      <c r="P19" s="4"/>
    </row>
    <row r="20" spans="1:16" x14ac:dyDescent="0.25">
      <c r="A20" s="10" t="s">
        <v>8</v>
      </c>
      <c r="P20" s="4"/>
    </row>
    <row r="21" spans="1:16" x14ac:dyDescent="0.25">
      <c r="A21" s="1" t="s">
        <v>151</v>
      </c>
      <c r="P21" s="4"/>
    </row>
    <row r="22" spans="1:16" x14ac:dyDescent="0.25">
      <c r="A22" s="1" t="s">
        <v>9</v>
      </c>
      <c r="P22" s="4"/>
    </row>
    <row r="23" spans="1:16" x14ac:dyDescent="0.25">
      <c r="A23" s="1" t="s">
        <v>10</v>
      </c>
      <c r="P23" s="4"/>
    </row>
    <row r="24" spans="1:16" x14ac:dyDescent="0.25">
      <c r="A24" s="9"/>
      <c r="P24" s="4"/>
    </row>
    <row r="25" spans="1:16" x14ac:dyDescent="0.25">
      <c r="A25" s="1" t="s">
        <v>11</v>
      </c>
      <c r="P25" s="4"/>
    </row>
    <row r="26" spans="1:16" x14ac:dyDescent="0.25">
      <c r="A26" s="1" t="s">
        <v>12</v>
      </c>
      <c r="P26" s="4"/>
    </row>
    <row r="27" spans="1:16" x14ac:dyDescent="0.25">
      <c r="A27" s="1" t="s">
        <v>13</v>
      </c>
      <c r="P27" s="4"/>
    </row>
    <row r="28" spans="1:16" x14ac:dyDescent="0.25">
      <c r="A28" s="1" t="s">
        <v>14</v>
      </c>
      <c r="P28" s="4"/>
    </row>
    <row r="29" spans="1:16" x14ac:dyDescent="0.25">
      <c r="A29" s="1" t="s">
        <v>15</v>
      </c>
      <c r="P29" s="4"/>
    </row>
    <row r="30" spans="1:16" ht="20.25" x14ac:dyDescent="0.25">
      <c r="A30" s="8" t="s">
        <v>58</v>
      </c>
      <c r="P30" s="4"/>
    </row>
    <row r="31" spans="1:16" x14ac:dyDescent="0.25">
      <c r="A31" s="1" t="s">
        <v>16</v>
      </c>
      <c r="P31" s="4"/>
    </row>
    <row r="32" spans="1:16" x14ac:dyDescent="0.25">
      <c r="A32" s="1" t="s">
        <v>17</v>
      </c>
      <c r="P32" s="4"/>
    </row>
    <row r="33" spans="1:16" x14ac:dyDescent="0.25">
      <c r="A33" s="9"/>
      <c r="P33" s="4"/>
    </row>
    <row r="34" spans="1:16" x14ac:dyDescent="0.25">
      <c r="A34" s="1" t="s">
        <v>18</v>
      </c>
      <c r="P34" s="4"/>
    </row>
    <row r="35" spans="1:16" x14ac:dyDescent="0.25">
      <c r="A35" s="1" t="s">
        <v>19</v>
      </c>
      <c r="P35" s="4"/>
    </row>
    <row r="36" spans="1:16" x14ac:dyDescent="0.25">
      <c r="A36" s="9"/>
    </row>
    <row r="37" spans="1:16" x14ac:dyDescent="0.25">
      <c r="A37" s="1" t="s">
        <v>20</v>
      </c>
    </row>
    <row r="38" spans="1:16" x14ac:dyDescent="0.25">
      <c r="A38" s="1" t="s">
        <v>21</v>
      </c>
    </row>
    <row r="39" spans="1:16" x14ac:dyDescent="0.25">
      <c r="A39" s="9"/>
    </row>
    <row r="40" spans="1:16" x14ac:dyDescent="0.25">
      <c r="A40" s="1" t="s">
        <v>22</v>
      </c>
      <c r="H40" s="1" t="s">
        <v>23</v>
      </c>
    </row>
    <row r="41" spans="1:16" x14ac:dyDescent="0.25">
      <c r="A41" s="1" t="s">
        <v>24</v>
      </c>
      <c r="H41" s="1" t="s">
        <v>25</v>
      </c>
    </row>
    <row r="42" spans="1:16" x14ac:dyDescent="0.25">
      <c r="A42" s="1" t="s">
        <v>26</v>
      </c>
    </row>
    <row r="43" spans="1:16" x14ac:dyDescent="0.25">
      <c r="A43" s="1" t="s">
        <v>27</v>
      </c>
    </row>
    <row r="44" spans="1:16" x14ac:dyDescent="0.25">
      <c r="A44" s="1" t="s">
        <v>28</v>
      </c>
    </row>
    <row r="45" spans="1:16" x14ac:dyDescent="0.25">
      <c r="A45" s="1" t="s">
        <v>29</v>
      </c>
    </row>
    <row r="46" spans="1:16" ht="20.25" x14ac:dyDescent="0.25">
      <c r="A46" s="8" t="s">
        <v>59</v>
      </c>
    </row>
    <row r="47" spans="1:16" x14ac:dyDescent="0.25">
      <c r="A47" s="9"/>
    </row>
    <row r="48" spans="1:16" x14ac:dyDescent="0.25">
      <c r="A48" s="1" t="s">
        <v>30</v>
      </c>
    </row>
    <row r="49" spans="1:7" x14ac:dyDescent="0.25">
      <c r="A49" s="1" t="s">
        <v>31</v>
      </c>
    </row>
    <row r="50" spans="1:7" x14ac:dyDescent="0.25">
      <c r="A50" s="1" t="s">
        <v>32</v>
      </c>
    </row>
    <row r="51" spans="1:7" x14ac:dyDescent="0.25">
      <c r="A51" s="1" t="s">
        <v>33</v>
      </c>
    </row>
    <row r="52" spans="1:7" x14ac:dyDescent="0.25">
      <c r="A52" s="9"/>
    </row>
    <row r="53" spans="1:7" x14ac:dyDescent="0.25">
      <c r="A53" s="1" t="s">
        <v>34</v>
      </c>
    </row>
    <row r="54" spans="1:7" x14ac:dyDescent="0.25">
      <c r="A54" s="1" t="s">
        <v>35</v>
      </c>
    </row>
    <row r="55" spans="1:7" x14ac:dyDescent="0.25">
      <c r="A55" s="1" t="s">
        <v>36</v>
      </c>
      <c r="G55" s="1" t="s">
        <v>37</v>
      </c>
    </row>
    <row r="56" spans="1:7" x14ac:dyDescent="0.25">
      <c r="A56" s="1" t="s">
        <v>38</v>
      </c>
    </row>
    <row r="57" spans="1:7" x14ac:dyDescent="0.25">
      <c r="A57" s="1" t="s">
        <v>39</v>
      </c>
    </row>
    <row r="58" spans="1:7" x14ac:dyDescent="0.25">
      <c r="A58" s="1" t="s">
        <v>40</v>
      </c>
    </row>
    <row r="59" spans="1:7" x14ac:dyDescent="0.25">
      <c r="A59" s="1" t="s">
        <v>41</v>
      </c>
    </row>
    <row r="60" spans="1:7" ht="20.25" x14ac:dyDescent="0.25">
      <c r="A60" s="8" t="s">
        <v>60</v>
      </c>
    </row>
    <row r="61" spans="1:7" x14ac:dyDescent="0.25">
      <c r="A61" s="1" t="s">
        <v>42</v>
      </c>
    </row>
    <row r="62" spans="1:7" x14ac:dyDescent="0.25">
      <c r="A62" s="1" t="s">
        <v>43</v>
      </c>
    </row>
    <row r="63" spans="1:7" x14ac:dyDescent="0.25">
      <c r="A63" s="1" t="s">
        <v>44</v>
      </c>
    </row>
    <row r="64" spans="1:7" x14ac:dyDescent="0.25">
      <c r="A64" s="1" t="s">
        <v>45</v>
      </c>
      <c r="D64" s="1" t="s">
        <v>46</v>
      </c>
    </row>
    <row r="65" spans="1:4" x14ac:dyDescent="0.25">
      <c r="A65" s="1" t="s">
        <v>47</v>
      </c>
      <c r="D65" s="1" t="s">
        <v>48</v>
      </c>
    </row>
    <row r="66" spans="1:4" x14ac:dyDescent="0.25">
      <c r="A66" s="1" t="s">
        <v>49</v>
      </c>
      <c r="D66" s="1" t="s">
        <v>50</v>
      </c>
    </row>
    <row r="67" spans="1:4" x14ac:dyDescent="0.25">
      <c r="A67" s="1" t="s">
        <v>51</v>
      </c>
      <c r="D67" s="1" t="s">
        <v>52</v>
      </c>
    </row>
    <row r="69" spans="1:4" x14ac:dyDescent="0.25">
      <c r="A69" s="1" t="s">
        <v>53</v>
      </c>
    </row>
    <row r="70" spans="1:4" x14ac:dyDescent="0.25">
      <c r="A70" s="1" t="s">
        <v>54</v>
      </c>
    </row>
    <row r="71" spans="1:4" x14ac:dyDescent="0.25">
      <c r="A71" s="1" t="s">
        <v>55</v>
      </c>
    </row>
    <row r="74" spans="1:4" x14ac:dyDescent="0.25">
      <c r="A74" s="1" t="s">
        <v>56</v>
      </c>
    </row>
  </sheetData>
  <mergeCells count="1">
    <mergeCell ref="A3:I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85EB-1B2A-4141-885D-1A5B21110500}">
  <sheetPr codeName="工作表1"/>
  <dimension ref="A1:P239"/>
  <sheetViews>
    <sheetView topLeftCell="A216" zoomScale="81" zoomScaleNormal="81" workbookViewId="0">
      <selection activeCell="G238" sqref="G238"/>
    </sheetView>
  </sheetViews>
  <sheetFormatPr defaultColWidth="8.75" defaultRowHeight="15.75" x14ac:dyDescent="0.25"/>
  <cols>
    <col min="1" max="1" width="15.5" style="1" customWidth="1"/>
    <col min="2" max="2" width="12.25" style="1" customWidth="1"/>
    <col min="3" max="3" width="8.75" style="1"/>
    <col min="4" max="4" width="16.5" style="1" customWidth="1"/>
    <col min="5" max="5" width="13.75" style="1" customWidth="1"/>
    <col min="6" max="6" width="12.875" style="1" customWidth="1"/>
    <col min="7" max="7" width="8.75" style="1"/>
    <col min="8" max="8" width="13.625" style="1" customWidth="1"/>
    <col min="9" max="9" width="8.75" style="1"/>
    <col min="10" max="10" width="10.125" style="1" bestFit="1" customWidth="1"/>
    <col min="11" max="11" width="8.75" style="1"/>
    <col min="12" max="12" width="13.5" style="1" customWidth="1"/>
    <col min="13" max="16384" width="8.75" style="1"/>
  </cols>
  <sheetData>
    <row r="1" spans="1:11" x14ac:dyDescent="0.25">
      <c r="A1" s="1" t="s">
        <v>61</v>
      </c>
    </row>
    <row r="2" spans="1:11" x14ac:dyDescent="0.25">
      <c r="A2" s="1" t="s">
        <v>0</v>
      </c>
    </row>
    <row r="3" spans="1:11" x14ac:dyDescent="0.25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2"/>
      <c r="K3" s="2"/>
    </row>
    <row r="4" spans="1:11" x14ac:dyDescent="0.25">
      <c r="A4" s="56"/>
      <c r="B4" s="56"/>
      <c r="C4" s="56"/>
      <c r="D4" s="56"/>
      <c r="E4" s="56"/>
      <c r="F4" s="56"/>
      <c r="G4" s="56"/>
      <c r="H4" s="56"/>
      <c r="I4" s="56"/>
      <c r="J4" s="2"/>
      <c r="K4" s="2"/>
    </row>
    <row r="5" spans="1:11" x14ac:dyDescent="0.25">
      <c r="A5" s="56"/>
      <c r="B5" s="56"/>
      <c r="C5" s="56"/>
      <c r="D5" s="56"/>
      <c r="E5" s="56"/>
      <c r="F5" s="56"/>
      <c r="G5" s="56"/>
      <c r="H5" s="56"/>
      <c r="I5" s="56"/>
      <c r="J5" s="2"/>
      <c r="K5" s="2"/>
    </row>
    <row r="6" spans="1:11" x14ac:dyDescent="0.25">
      <c r="A6" s="56"/>
      <c r="B6" s="56"/>
      <c r="C6" s="56"/>
      <c r="D6" s="56"/>
      <c r="E6" s="56"/>
      <c r="F6" s="56"/>
      <c r="G6" s="56"/>
      <c r="H6" s="56"/>
      <c r="I6" s="56"/>
      <c r="J6" s="2"/>
      <c r="K6" s="2"/>
    </row>
    <row r="7" spans="1:11" x14ac:dyDescent="0.25">
      <c r="A7" s="56"/>
      <c r="B7" s="56"/>
      <c r="C7" s="56"/>
      <c r="D7" s="56"/>
      <c r="E7" s="56"/>
      <c r="F7" s="56"/>
      <c r="G7" s="56"/>
      <c r="H7" s="56"/>
      <c r="I7" s="56"/>
      <c r="J7" s="2"/>
      <c r="K7" s="2"/>
    </row>
    <row r="8" spans="1:11" x14ac:dyDescent="0.25">
      <c r="A8" s="56"/>
      <c r="B8" s="56"/>
      <c r="C8" s="56"/>
      <c r="D8" s="56"/>
      <c r="E8" s="56"/>
      <c r="F8" s="56"/>
      <c r="G8" s="56"/>
      <c r="H8" s="56"/>
      <c r="I8" s="56"/>
      <c r="J8" s="2"/>
      <c r="K8" s="2"/>
    </row>
    <row r="9" spans="1:11" x14ac:dyDescent="0.25">
      <c r="A9" s="56"/>
      <c r="B9" s="56"/>
      <c r="C9" s="56"/>
      <c r="D9" s="56"/>
      <c r="E9" s="56"/>
      <c r="F9" s="56"/>
      <c r="G9" s="56"/>
      <c r="H9" s="56"/>
      <c r="I9" s="56"/>
      <c r="J9" s="2"/>
      <c r="K9" s="2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</row>
    <row r="11" spans="1:11" x14ac:dyDescent="0.25">
      <c r="A11" s="2"/>
      <c r="B11" s="3"/>
      <c r="C11" s="3"/>
      <c r="D11" s="3"/>
      <c r="E11" s="3"/>
      <c r="F11" s="3"/>
      <c r="G11" s="3"/>
      <c r="H11" s="3"/>
      <c r="I11" s="3"/>
      <c r="J11" s="2"/>
      <c r="K11" s="2"/>
    </row>
    <row r="12" spans="1:11" x14ac:dyDescent="0.25">
      <c r="A12" s="5"/>
      <c r="B12" s="6" t="s">
        <v>2</v>
      </c>
      <c r="C12" s="6">
        <v>0</v>
      </c>
      <c r="D12" s="6">
        <v>1</v>
      </c>
      <c r="E12" s="6">
        <v>2</v>
      </c>
      <c r="F12" s="6">
        <v>3</v>
      </c>
      <c r="G12" s="3"/>
      <c r="H12" s="3"/>
      <c r="I12" s="3"/>
      <c r="J12" s="2"/>
      <c r="K12" s="2"/>
    </row>
    <row r="13" spans="1:11" x14ac:dyDescent="0.25">
      <c r="A13" s="5" t="s">
        <v>3</v>
      </c>
      <c r="B13" s="6" t="s">
        <v>4</v>
      </c>
      <c r="C13" s="6">
        <v>-2000</v>
      </c>
      <c r="D13" s="6">
        <v>1400</v>
      </c>
      <c r="E13" s="6">
        <v>950</v>
      </c>
      <c r="F13" s="6">
        <v>310</v>
      </c>
      <c r="G13" s="3"/>
      <c r="H13" s="3"/>
      <c r="I13" s="3"/>
      <c r="J13" s="3"/>
      <c r="K13" s="2"/>
    </row>
    <row r="14" spans="1:11" x14ac:dyDescent="0.25">
      <c r="A14" s="5" t="s">
        <v>3</v>
      </c>
      <c r="B14" s="6" t="s">
        <v>5</v>
      </c>
      <c r="C14" s="6">
        <v>-2000</v>
      </c>
      <c r="D14" s="6">
        <v>200</v>
      </c>
      <c r="E14" s="6">
        <v>1120</v>
      </c>
      <c r="F14" s="6">
        <v>1700</v>
      </c>
      <c r="G14" s="3"/>
      <c r="H14" s="3"/>
      <c r="I14" s="3"/>
      <c r="J14" s="3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 x14ac:dyDescent="0.25">
      <c r="A17" s="2" t="s">
        <v>7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3" ht="20.25" x14ac:dyDescent="0.25">
      <c r="A18" s="8" t="s">
        <v>57</v>
      </c>
    </row>
    <row r="19" spans="1:13" x14ac:dyDescent="0.25">
      <c r="A19" s="9"/>
    </row>
    <row r="20" spans="1:13" x14ac:dyDescent="0.25">
      <c r="A20" s="34" t="s">
        <v>8</v>
      </c>
      <c r="B20" s="35"/>
      <c r="C20" s="35"/>
      <c r="D20" s="35"/>
      <c r="E20" s="35"/>
      <c r="F20" s="35"/>
      <c r="G20" s="35"/>
      <c r="H20" s="35"/>
      <c r="I20" s="37" t="s">
        <v>155</v>
      </c>
      <c r="J20" s="36"/>
    </row>
    <row r="21" spans="1:13" x14ac:dyDescent="0.25">
      <c r="A21" s="35" t="s">
        <v>151</v>
      </c>
      <c r="B21" s="35"/>
      <c r="C21" s="35"/>
      <c r="D21" s="35"/>
      <c r="E21" s="35"/>
      <c r="F21" s="35"/>
      <c r="G21" s="35"/>
      <c r="H21" s="35"/>
    </row>
    <row r="22" spans="1:13" x14ac:dyDescent="0.25">
      <c r="A22" s="35" t="s">
        <v>9</v>
      </c>
      <c r="B22" s="35"/>
      <c r="C22" s="35"/>
      <c r="D22" s="35"/>
      <c r="E22" s="35"/>
      <c r="F22" s="35"/>
      <c r="G22" s="35"/>
      <c r="H22" s="35"/>
    </row>
    <row r="23" spans="1:13" x14ac:dyDescent="0.25">
      <c r="A23" s="35" t="s">
        <v>10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3" x14ac:dyDescent="0.25">
      <c r="A24" s="9"/>
    </row>
    <row r="25" spans="1:13" x14ac:dyDescent="0.25">
      <c r="A25" s="38" t="s">
        <v>11</v>
      </c>
      <c r="B25" s="38"/>
      <c r="C25" s="38"/>
      <c r="D25" s="38"/>
      <c r="E25" s="38"/>
      <c r="F25" s="38"/>
      <c r="G25" s="38"/>
      <c r="H25" s="38"/>
      <c r="I25" s="37" t="s">
        <v>156</v>
      </c>
    </row>
    <row r="26" spans="1:13" x14ac:dyDescent="0.25">
      <c r="A26" s="38" t="s">
        <v>12</v>
      </c>
      <c r="B26" s="38"/>
      <c r="C26" s="38"/>
      <c r="D26" s="38"/>
      <c r="E26" s="38"/>
      <c r="F26" s="38"/>
      <c r="G26" s="38"/>
      <c r="H26" s="38"/>
    </row>
    <row r="27" spans="1:13" x14ac:dyDescent="0.25">
      <c r="A27" s="38" t="s">
        <v>13</v>
      </c>
      <c r="B27" s="38"/>
      <c r="C27" s="38"/>
      <c r="D27" s="38"/>
      <c r="E27" s="38"/>
      <c r="F27" s="38"/>
      <c r="G27" s="38"/>
      <c r="H27" s="38"/>
    </row>
    <row r="28" spans="1:13" x14ac:dyDescent="0.25">
      <c r="A28" s="38" t="s">
        <v>14</v>
      </c>
      <c r="B28" s="38"/>
      <c r="C28" s="38"/>
      <c r="D28" s="38"/>
      <c r="E28" s="38"/>
      <c r="F28" s="38"/>
      <c r="G28" s="38"/>
      <c r="H28" s="38"/>
    </row>
    <row r="29" spans="1:13" x14ac:dyDescent="0.25">
      <c r="A29" s="38" t="s">
        <v>15</v>
      </c>
      <c r="B29" s="38"/>
      <c r="C29" s="38"/>
      <c r="D29" s="38"/>
      <c r="E29" s="38"/>
      <c r="F29" s="38"/>
      <c r="G29" s="38"/>
      <c r="H29" s="38"/>
      <c r="I29" s="1" t="s">
        <v>161</v>
      </c>
    </row>
    <row r="31" spans="1:13" x14ac:dyDescent="0.25">
      <c r="A31" s="37" t="s">
        <v>155</v>
      </c>
      <c r="H31" s="37" t="s">
        <v>156</v>
      </c>
      <c r="J31" s="1" t="s">
        <v>158</v>
      </c>
      <c r="K31" s="1">
        <f>M31/200</f>
        <v>7.0000000000000007E-2</v>
      </c>
      <c r="M31" s="1">
        <v>14</v>
      </c>
    </row>
    <row r="32" spans="1:13" x14ac:dyDescent="0.25">
      <c r="A32" s="6" t="s">
        <v>4</v>
      </c>
      <c r="B32" s="1">
        <v>0</v>
      </c>
      <c r="C32" s="1">
        <v>1</v>
      </c>
      <c r="D32" s="1">
        <v>2</v>
      </c>
      <c r="E32" s="1">
        <v>3</v>
      </c>
      <c r="H32" s="6" t="s">
        <v>4</v>
      </c>
      <c r="I32" s="1">
        <v>0</v>
      </c>
      <c r="J32" s="1">
        <v>1</v>
      </c>
      <c r="K32" s="1">
        <v>2</v>
      </c>
      <c r="L32" s="1">
        <v>3</v>
      </c>
    </row>
    <row r="33" spans="1:13" x14ac:dyDescent="0.25">
      <c r="A33" s="1" t="s">
        <v>152</v>
      </c>
      <c r="B33" s="1">
        <v>-2000</v>
      </c>
      <c r="C33" s="1">
        <v>1400</v>
      </c>
      <c r="D33" s="1">
        <v>950</v>
      </c>
      <c r="E33" s="1">
        <v>310</v>
      </c>
      <c r="H33" s="1" t="s">
        <v>152</v>
      </c>
      <c r="I33" s="1">
        <v>-2000</v>
      </c>
      <c r="J33" s="1">
        <v>1400</v>
      </c>
      <c r="K33" s="1">
        <v>950</v>
      </c>
      <c r="L33" s="1">
        <v>310</v>
      </c>
    </row>
    <row r="34" spans="1:13" x14ac:dyDescent="0.25">
      <c r="A34" s="1" t="s">
        <v>153</v>
      </c>
      <c r="B34" s="1">
        <f>B33</f>
        <v>-2000</v>
      </c>
      <c r="C34" s="1">
        <f>B33+C33</f>
        <v>-600</v>
      </c>
      <c r="D34" s="1">
        <f>C34+D33</f>
        <v>350</v>
      </c>
      <c r="E34" s="1">
        <f>D34+E33</f>
        <v>660</v>
      </c>
      <c r="H34" s="1" t="s">
        <v>157</v>
      </c>
      <c r="I34" s="1">
        <f>I33</f>
        <v>-2000</v>
      </c>
      <c r="J34" s="1">
        <f>J33/(1+$K$31)^J32</f>
        <v>1308.4112149532709</v>
      </c>
      <c r="K34" s="1">
        <f>K33/(1+$K$31)^K32</f>
        <v>829.76679185955106</v>
      </c>
      <c r="L34" s="1">
        <f t="shared" ref="L34" si="0">L33/(1+$K$31)^L32</f>
        <v>253.05234183616409</v>
      </c>
      <c r="M34" s="39">
        <f>NPV(K31,J33:L33)+I33</f>
        <v>391.23034864898591</v>
      </c>
    </row>
    <row r="35" spans="1:13" x14ac:dyDescent="0.25">
      <c r="A35" s="1" t="s">
        <v>154</v>
      </c>
      <c r="D35" s="35">
        <f>C32-C34/D33</f>
        <v>1.631578947368421</v>
      </c>
      <c r="H35" s="1" t="s">
        <v>159</v>
      </c>
      <c r="I35" s="1">
        <f>SUM(I34:L34)</f>
        <v>391.23034864898608</v>
      </c>
    </row>
    <row r="39" spans="1:13" x14ac:dyDescent="0.25">
      <c r="A39" s="6" t="s">
        <v>5</v>
      </c>
      <c r="B39" s="1">
        <v>0</v>
      </c>
      <c r="C39" s="1">
        <v>1</v>
      </c>
      <c r="D39" s="1">
        <v>2</v>
      </c>
      <c r="E39" s="1">
        <v>3</v>
      </c>
      <c r="H39" s="6" t="s">
        <v>5</v>
      </c>
      <c r="I39" s="1">
        <v>0</v>
      </c>
      <c r="J39" s="1">
        <v>1</v>
      </c>
      <c r="K39" s="1">
        <v>2</v>
      </c>
      <c r="L39" s="1">
        <v>3</v>
      </c>
    </row>
    <row r="40" spans="1:13" x14ac:dyDescent="0.25">
      <c r="A40" s="1" t="s">
        <v>152</v>
      </c>
      <c r="B40" s="1">
        <v>-2000</v>
      </c>
      <c r="C40" s="1">
        <v>200</v>
      </c>
      <c r="D40" s="1">
        <v>1120</v>
      </c>
      <c r="E40" s="1">
        <v>1700</v>
      </c>
      <c r="H40" s="1" t="s">
        <v>152</v>
      </c>
      <c r="I40" s="1">
        <v>-2000</v>
      </c>
      <c r="J40" s="1">
        <v>200</v>
      </c>
      <c r="K40" s="1">
        <v>1120</v>
      </c>
      <c r="L40" s="1">
        <v>1700</v>
      </c>
    </row>
    <row r="41" spans="1:13" x14ac:dyDescent="0.25">
      <c r="A41" s="1" t="s">
        <v>153</v>
      </c>
      <c r="B41" s="1">
        <f>B40</f>
        <v>-2000</v>
      </c>
      <c r="C41" s="1">
        <f>B41+C40</f>
        <v>-1800</v>
      </c>
      <c r="D41" s="1">
        <f t="shared" ref="D41:E41" si="1">C41+D40</f>
        <v>-680</v>
      </c>
      <c r="E41" s="1">
        <f t="shared" si="1"/>
        <v>1020</v>
      </c>
      <c r="H41" s="1" t="s">
        <v>160</v>
      </c>
      <c r="I41" s="1">
        <f>I40</f>
        <v>-2000</v>
      </c>
      <c r="J41" s="1">
        <f>J40/(1+$K$31)^J39</f>
        <v>186.91588785046727</v>
      </c>
      <c r="K41" s="1">
        <f t="shared" ref="K41:L41" si="2">K40/(1+$K$31)^K39</f>
        <v>978.25137566599699</v>
      </c>
      <c r="L41" s="1">
        <f t="shared" si="2"/>
        <v>1387.7063907144482</v>
      </c>
      <c r="M41" s="39">
        <f>NPV(K31,J40:L40)+I40</f>
        <v>552.87365423091251</v>
      </c>
    </row>
    <row r="42" spans="1:13" x14ac:dyDescent="0.25">
      <c r="A42" s="1" t="s">
        <v>154</v>
      </c>
      <c r="E42" s="1">
        <f>D39-D41/E40</f>
        <v>2.4</v>
      </c>
      <c r="H42" s="1" t="s">
        <v>159</v>
      </c>
      <c r="I42" s="38">
        <f>SUM(I41:L41)</f>
        <v>552.87365423091239</v>
      </c>
    </row>
    <row r="44" spans="1:13" ht="20.25" x14ac:dyDescent="0.25">
      <c r="A44" s="8" t="s">
        <v>58</v>
      </c>
    </row>
    <row r="45" spans="1:13" x14ac:dyDescent="0.25">
      <c r="A45" s="42" t="s">
        <v>18</v>
      </c>
      <c r="B45" s="42"/>
      <c r="C45" s="42"/>
      <c r="D45" s="42"/>
      <c r="E45" s="42"/>
      <c r="F45" s="42"/>
      <c r="G45" s="42"/>
      <c r="H45" s="42"/>
      <c r="I45" s="42"/>
      <c r="J45" s="37" t="s">
        <v>164</v>
      </c>
    </row>
    <row r="46" spans="1:13" x14ac:dyDescent="0.25">
      <c r="A46" s="42" t="s">
        <v>19</v>
      </c>
      <c r="B46" s="42"/>
      <c r="C46" s="42"/>
      <c r="D46" s="42"/>
      <c r="E46" s="42"/>
      <c r="F46" s="42"/>
      <c r="G46" s="42"/>
      <c r="H46" s="42"/>
      <c r="I46" s="42"/>
    </row>
    <row r="47" spans="1:13" x14ac:dyDescent="0.25">
      <c r="A47" s="43"/>
      <c r="B47" s="42"/>
      <c r="C47" s="42"/>
      <c r="D47" s="42"/>
      <c r="E47" s="42"/>
      <c r="F47" s="42"/>
      <c r="G47" s="42"/>
      <c r="H47" s="42"/>
      <c r="I47" s="42"/>
    </row>
    <row r="48" spans="1:13" x14ac:dyDescent="0.25">
      <c r="A48" s="42" t="s">
        <v>20</v>
      </c>
      <c r="B48" s="42"/>
      <c r="C48" s="42"/>
      <c r="D48" s="42"/>
      <c r="E48" s="42"/>
      <c r="F48" s="42"/>
      <c r="G48" s="42"/>
      <c r="H48" s="42"/>
      <c r="I48" s="42"/>
    </row>
    <row r="49" spans="1:9" x14ac:dyDescent="0.25">
      <c r="A49" s="42" t="s">
        <v>21</v>
      </c>
      <c r="B49" s="42"/>
      <c r="C49" s="42"/>
      <c r="D49" s="42"/>
      <c r="E49" s="42"/>
      <c r="F49" s="42"/>
      <c r="G49" s="42"/>
      <c r="H49" s="42"/>
      <c r="I49" s="42"/>
    </row>
    <row r="50" spans="1:9" x14ac:dyDescent="0.25">
      <c r="A50" s="9"/>
    </row>
    <row r="51" spans="1:9" x14ac:dyDescent="0.25">
      <c r="A51" s="44" t="s">
        <v>22</v>
      </c>
      <c r="B51" s="44"/>
      <c r="C51" s="44"/>
      <c r="D51" s="44"/>
      <c r="E51" s="44"/>
      <c r="F51" s="44"/>
      <c r="H51" s="1" t="s">
        <v>23</v>
      </c>
    </row>
    <row r="52" spans="1:9" x14ac:dyDescent="0.25">
      <c r="A52" s="44" t="s">
        <v>24</v>
      </c>
      <c r="B52" s="44"/>
      <c r="C52" s="44"/>
      <c r="D52" s="44"/>
      <c r="E52" s="44"/>
      <c r="F52" s="44"/>
      <c r="H52" s="1" t="s">
        <v>25</v>
      </c>
    </row>
    <row r="53" spans="1:9" x14ac:dyDescent="0.25">
      <c r="A53" s="44" t="s">
        <v>26</v>
      </c>
      <c r="B53" s="44"/>
      <c r="C53" s="44"/>
      <c r="D53" s="44"/>
      <c r="E53" s="44"/>
      <c r="F53" s="44"/>
    </row>
    <row r="54" spans="1:9" x14ac:dyDescent="0.25">
      <c r="A54" s="44" t="s">
        <v>27</v>
      </c>
      <c r="B54" s="44"/>
      <c r="C54" s="44"/>
      <c r="D54" s="44"/>
      <c r="E54" s="44"/>
      <c r="F54" s="44"/>
    </row>
    <row r="55" spans="1:9" x14ac:dyDescent="0.25">
      <c r="A55" s="44" t="s">
        <v>28</v>
      </c>
      <c r="B55" s="44"/>
      <c r="C55" s="44"/>
      <c r="D55" s="44"/>
      <c r="E55" s="44"/>
      <c r="F55" s="44"/>
    </row>
    <row r="56" spans="1:9" x14ac:dyDescent="0.25">
      <c r="A56" s="44" t="s">
        <v>29</v>
      </c>
      <c r="B56" s="44"/>
      <c r="C56" s="44"/>
      <c r="D56" s="44"/>
      <c r="E56" s="44"/>
      <c r="F56" s="44"/>
    </row>
    <row r="58" spans="1:9" x14ac:dyDescent="0.25">
      <c r="A58" s="6" t="s">
        <v>4</v>
      </c>
      <c r="E58" s="6" t="s">
        <v>5</v>
      </c>
    </row>
    <row r="59" spans="1:9" x14ac:dyDescent="0.25">
      <c r="A59" s="1" t="s">
        <v>163</v>
      </c>
      <c r="B59" s="1" t="s">
        <v>162</v>
      </c>
      <c r="E59" s="1" t="s">
        <v>163</v>
      </c>
      <c r="F59" s="1" t="s">
        <v>162</v>
      </c>
    </row>
    <row r="60" spans="1:9" x14ac:dyDescent="0.25">
      <c r="B60" s="39">
        <f>M34</f>
        <v>391.23034864898591</v>
      </c>
      <c r="F60" s="39">
        <f>M41</f>
        <v>552.87365423091251</v>
      </c>
    </row>
    <row r="61" spans="1:9" x14ac:dyDescent="0.25">
      <c r="A61" s="4">
        <v>0</v>
      </c>
      <c r="B61" s="1">
        <f t="dataTable" ref="B61:B76" dt2D="0" dtr="0" r1="K31" ca="1"/>
        <v>660</v>
      </c>
      <c r="E61" s="4">
        <v>0</v>
      </c>
      <c r="F61" s="1">
        <f t="dataTable" ref="F61:F76" dt2D="0" dtr="0" r1="K31"/>
        <v>1020</v>
      </c>
    </row>
    <row r="62" spans="1:9" x14ac:dyDescent="0.25">
      <c r="A62" s="41">
        <v>0.01</v>
      </c>
      <c r="B62" s="1">
        <v>618.30280665553073</v>
      </c>
      <c r="E62" s="41">
        <v>0.01</v>
      </c>
      <c r="F62" s="1">
        <v>945.95462879294473</v>
      </c>
    </row>
    <row r="63" spans="1:9" x14ac:dyDescent="0.25">
      <c r="A63" s="4">
        <v>0.02</v>
      </c>
      <c r="B63" s="1">
        <v>577.77928549351327</v>
      </c>
      <c r="E63" s="4">
        <v>0.02</v>
      </c>
      <c r="F63" s="1">
        <v>874.53543508906796</v>
      </c>
    </row>
    <row r="64" spans="1:9" x14ac:dyDescent="0.25">
      <c r="A64" s="41">
        <v>0.03</v>
      </c>
      <c r="B64" s="1">
        <v>538.38332904741992</v>
      </c>
      <c r="E64" s="41">
        <v>0.03</v>
      </c>
      <c r="F64" s="1">
        <v>805.62299641172967</v>
      </c>
    </row>
    <row r="65" spans="1:16" x14ac:dyDescent="0.25">
      <c r="A65" s="4">
        <v>0.04</v>
      </c>
      <c r="B65" s="1">
        <v>500.07111970869391</v>
      </c>
      <c r="E65" s="4">
        <v>0.04</v>
      </c>
      <c r="F65" s="1">
        <v>739.10446062812889</v>
      </c>
    </row>
    <row r="66" spans="1:16" x14ac:dyDescent="0.25">
      <c r="A66" s="41">
        <v>0.05</v>
      </c>
      <c r="B66" s="1">
        <v>462.8009934132383</v>
      </c>
      <c r="E66" s="41">
        <v>0.05</v>
      </c>
      <c r="F66" s="1">
        <v>674.87312385271525</v>
      </c>
    </row>
    <row r="67" spans="1:16" x14ac:dyDescent="0.25">
      <c r="A67" s="4">
        <v>0.06</v>
      </c>
      <c r="B67" s="1">
        <v>426.53331273467347</v>
      </c>
      <c r="E67" s="4">
        <v>0.06</v>
      </c>
      <c r="F67" s="1">
        <v>612.82803925388043</v>
      </c>
    </row>
    <row r="68" spans="1:16" x14ac:dyDescent="0.25">
      <c r="A68" s="41">
        <v>7.0000000000000007E-2</v>
      </c>
      <c r="B68" s="1">
        <v>391.23034864898591</v>
      </c>
      <c r="E68" s="41">
        <v>7.0000000000000007E-2</v>
      </c>
      <c r="F68" s="1">
        <v>552.87365423091251</v>
      </c>
    </row>
    <row r="69" spans="1:16" x14ac:dyDescent="0.25">
      <c r="A69" s="4">
        <v>0.08</v>
      </c>
      <c r="B69" s="1">
        <v>356.85617029924288</v>
      </c>
      <c r="E69" s="4">
        <v>0.08</v>
      </c>
      <c r="F69" s="1">
        <v>494.91947365747046</v>
      </c>
    </row>
    <row r="70" spans="1:16" x14ac:dyDescent="0.25">
      <c r="A70" s="41">
        <v>0.09</v>
      </c>
      <c r="B70" s="1">
        <v>323.37654214693248</v>
      </c>
      <c r="E70" s="41">
        <v>0.09</v>
      </c>
      <c r="F70" s="1">
        <v>438.87974709446644</v>
      </c>
    </row>
    <row r="71" spans="1:16" x14ac:dyDescent="0.25">
      <c r="A71" s="4">
        <v>0.1</v>
      </c>
      <c r="B71" s="1">
        <v>290.75882794891049</v>
      </c>
      <c r="E71" s="4">
        <v>0.1</v>
      </c>
      <c r="F71" s="1">
        <v>384.67317806160736</v>
      </c>
    </row>
    <row r="72" spans="1:16" x14ac:dyDescent="0.25">
      <c r="A72" s="41">
        <v>0.11</v>
      </c>
      <c r="B72" s="1">
        <v>258.97190104640777</v>
      </c>
      <c r="E72" s="41">
        <v>0.11</v>
      </c>
      <c r="F72" s="1">
        <v>332.2226536251369</v>
      </c>
    </row>
    <row r="73" spans="1:16" x14ac:dyDescent="0.25">
      <c r="A73" s="4">
        <v>0.12</v>
      </c>
      <c r="B73" s="1">
        <v>227.98606049562659</v>
      </c>
      <c r="E73" s="4">
        <v>0.12</v>
      </c>
      <c r="F73" s="1">
        <v>281.45499271136987</v>
      </c>
    </row>
    <row r="74" spans="1:16" x14ac:dyDescent="0.25">
      <c r="A74" s="41">
        <v>0.13</v>
      </c>
      <c r="B74" s="1">
        <v>197.77295260853725</v>
      </c>
      <c r="E74" s="41">
        <v>0.13</v>
      </c>
      <c r="F74" s="1">
        <v>232.30071169321218</v>
      </c>
    </row>
    <row r="75" spans="1:16" x14ac:dyDescent="0.25">
      <c r="A75" s="4">
        <v>0.14000000000000001</v>
      </c>
      <c r="B75" s="1">
        <v>168.30549750800446</v>
      </c>
      <c r="E75" s="4">
        <v>0.14000000000000001</v>
      </c>
      <c r="F75" s="1">
        <v>184.69380592138941</v>
      </c>
    </row>
    <row r="76" spans="1:16" x14ac:dyDescent="0.25">
      <c r="A76" s="41">
        <v>0.15</v>
      </c>
      <c r="B76" s="1">
        <v>139.55782033368951</v>
      </c>
      <c r="E76" s="41">
        <v>0.15</v>
      </c>
      <c r="F76" s="1">
        <v>138.57154598504212</v>
      </c>
    </row>
    <row r="78" spans="1:16" x14ac:dyDescent="0.25">
      <c r="A78" s="37" t="s">
        <v>167</v>
      </c>
      <c r="B78" s="1" t="s">
        <v>165</v>
      </c>
      <c r="F78" s="6" t="s">
        <v>4</v>
      </c>
      <c r="G78" s="1">
        <v>-2000</v>
      </c>
      <c r="H78" s="1">
        <v>1400</v>
      </c>
      <c r="I78" s="1">
        <v>950</v>
      </c>
      <c r="J78" s="1">
        <v>310</v>
      </c>
      <c r="L78" s="6" t="s">
        <v>5</v>
      </c>
      <c r="M78" s="1">
        <v>-2000</v>
      </c>
      <c r="N78" s="1">
        <v>200</v>
      </c>
      <c r="O78" s="1">
        <v>1120</v>
      </c>
      <c r="P78" s="1">
        <v>1700</v>
      </c>
    </row>
    <row r="79" spans="1:16" x14ac:dyDescent="0.25">
      <c r="B79" s="1" t="s">
        <v>166</v>
      </c>
      <c r="C79" s="1" t="s">
        <v>168</v>
      </c>
      <c r="F79" s="1" t="s">
        <v>162</v>
      </c>
      <c r="L79" s="1" t="s">
        <v>162</v>
      </c>
    </row>
    <row r="80" spans="1:16" ht="16.5" x14ac:dyDescent="0.25">
      <c r="A80" s="1">
        <v>1</v>
      </c>
      <c r="B80" s="1">
        <f ca="1">NORMINV(RAND(),7%,5%)</f>
        <v>-3.0670560033665917E-2</v>
      </c>
      <c r="C80">
        <v>4.1207330418110366E-2</v>
      </c>
      <c r="F80" s="39">
        <f ca="1">NPV(B80,$H$78:$J$78)+$G$78</f>
        <v>795.73344985113317</v>
      </c>
      <c r="L80" s="39">
        <f ca="1">NPV(B80,$N$78:$P$78)+$M$78</f>
        <v>1264.8542217943163</v>
      </c>
    </row>
    <row r="81" spans="1:12" ht="16.5" x14ac:dyDescent="0.25">
      <c r="A81" s="1">
        <v>2</v>
      </c>
      <c r="B81" s="1">
        <f t="shared" ref="B81:B144" ca="1" si="3">NORMINV(RAND(),7%,5%)</f>
        <v>0.10903719779840301</v>
      </c>
      <c r="C81">
        <v>2.6510123411135289E-2</v>
      </c>
      <c r="F81" s="39">
        <f t="shared" ref="F81:F144" ca="1" si="4">NPV(B81,$H$78:$J$78)+$G$78</f>
        <v>261.99704021962134</v>
      </c>
      <c r="L81" s="39">
        <f t="shared" ref="L81:L144" ca="1" si="5">NPV(B81,$N$78:$P$78)+$M$78</f>
        <v>337.19825366734631</v>
      </c>
    </row>
    <row r="82" spans="1:12" ht="16.5" x14ac:dyDescent="0.25">
      <c r="A82" s="1">
        <v>3</v>
      </c>
      <c r="B82" s="1">
        <f t="shared" ca="1" si="3"/>
        <v>3.2073048782493202E-2</v>
      </c>
      <c r="C82">
        <v>6.854821908229497E-2</v>
      </c>
      <c r="F82" s="39">
        <f t="shared" ca="1" si="4"/>
        <v>530.35338402862226</v>
      </c>
      <c r="L82" s="39">
        <f t="shared" ca="1" si="5"/>
        <v>791.64030167011833</v>
      </c>
    </row>
    <row r="83" spans="1:12" ht="16.5" x14ac:dyDescent="0.25">
      <c r="A83" s="1">
        <v>4</v>
      </c>
      <c r="B83" s="1">
        <f t="shared" ca="1" si="3"/>
        <v>4.7044444548420827E-2</v>
      </c>
      <c r="C83">
        <v>8.1449742487457122E-2</v>
      </c>
      <c r="F83" s="39">
        <f t="shared" ca="1" si="4"/>
        <v>473.71028569704868</v>
      </c>
      <c r="L83" s="39">
        <f t="shared" ca="1" si="5"/>
        <v>693.62502828406741</v>
      </c>
    </row>
    <row r="84" spans="1:12" ht="16.5" x14ac:dyDescent="0.25">
      <c r="A84" s="1">
        <v>5</v>
      </c>
      <c r="B84" s="1">
        <f t="shared" ca="1" si="3"/>
        <v>7.2294365161164525E-2</v>
      </c>
      <c r="C84">
        <v>8.373598479403882E-2</v>
      </c>
      <c r="F84" s="39">
        <f t="shared" ca="1" si="4"/>
        <v>383.26282110947841</v>
      </c>
      <c r="L84" s="39">
        <f t="shared" ca="1" si="5"/>
        <v>539.40321583978812</v>
      </c>
    </row>
    <row r="85" spans="1:12" ht="16.5" x14ac:dyDescent="0.25">
      <c r="A85" s="1">
        <v>6</v>
      </c>
      <c r="B85" s="1">
        <f t="shared" ca="1" si="3"/>
        <v>0.11760910771013301</v>
      </c>
      <c r="C85">
        <v>2.6771944198408171E-2</v>
      </c>
      <c r="F85" s="39">
        <f t="shared" ca="1" si="4"/>
        <v>235.32310764563863</v>
      </c>
      <c r="L85" s="39">
        <f t="shared" ca="1" si="5"/>
        <v>293.44368467194272</v>
      </c>
    </row>
    <row r="86" spans="1:12" ht="16.5" x14ac:dyDescent="0.25">
      <c r="A86" s="1">
        <v>7</v>
      </c>
      <c r="B86" s="1">
        <f t="shared" ca="1" si="3"/>
        <v>8.605790128026404E-2</v>
      </c>
      <c r="C86">
        <v>2.6044803184340715E-2</v>
      </c>
      <c r="F86" s="39">
        <f t="shared" ca="1" si="4"/>
        <v>336.46984943053849</v>
      </c>
      <c r="L86" s="39">
        <f t="shared" ca="1" si="5"/>
        <v>460.74785850118224</v>
      </c>
    </row>
    <row r="87" spans="1:12" ht="16.5" x14ac:dyDescent="0.25">
      <c r="A87" s="1">
        <v>8</v>
      </c>
      <c r="B87" s="1">
        <f t="shared" ca="1" si="3"/>
        <v>7.8175937526591688E-2</v>
      </c>
      <c r="C87">
        <v>6.2728135111974559E-2</v>
      </c>
      <c r="F87" s="39">
        <f t="shared" ca="1" si="4"/>
        <v>363.05854689281978</v>
      </c>
      <c r="L87" s="39">
        <f t="shared" ca="1" si="5"/>
        <v>505.34546391399044</v>
      </c>
    </row>
    <row r="88" spans="1:12" ht="16.5" x14ac:dyDescent="0.25">
      <c r="A88" s="1">
        <v>9</v>
      </c>
      <c r="B88" s="1">
        <f t="shared" ca="1" si="3"/>
        <v>-2.9084265562254616E-2</v>
      </c>
      <c r="C88">
        <v>0.16424229574506172</v>
      </c>
      <c r="F88" s="39">
        <f t="shared" ca="1" si="4"/>
        <v>788.40707870750521</v>
      </c>
      <c r="L88" s="39">
        <f t="shared" ca="1" si="5"/>
        <v>1251.4915650881553</v>
      </c>
    </row>
    <row r="89" spans="1:12" ht="16.5" x14ac:dyDescent="0.25">
      <c r="A89" s="1">
        <v>10</v>
      </c>
      <c r="B89" s="1">
        <f t="shared" ca="1" si="3"/>
        <v>0.11976517045134294</v>
      </c>
      <c r="C89">
        <v>-5.2046913020312779E-2</v>
      </c>
      <c r="F89" s="39">
        <f t="shared" ca="1" si="4"/>
        <v>228.70473123651391</v>
      </c>
      <c r="L89" s="39">
        <f t="shared" ca="1" si="5"/>
        <v>282.62840387865526</v>
      </c>
    </row>
    <row r="90" spans="1:12" ht="16.5" x14ac:dyDescent="0.25">
      <c r="A90" s="1">
        <v>11</v>
      </c>
      <c r="B90" s="1">
        <f t="shared" ca="1" si="3"/>
        <v>0.17520039200670134</v>
      </c>
      <c r="C90">
        <v>5.3644852817524291E-3</v>
      </c>
      <c r="F90" s="39">
        <f t="shared" ca="1" si="4"/>
        <v>70.142429246374832</v>
      </c>
      <c r="L90" s="39">
        <f t="shared" ca="1" si="5"/>
        <v>28.535280316984199</v>
      </c>
    </row>
    <row r="91" spans="1:12" ht="16.5" x14ac:dyDescent="0.25">
      <c r="A91" s="1">
        <v>12</v>
      </c>
      <c r="B91" s="1">
        <f t="shared" ca="1" si="3"/>
        <v>9.4860948733514472E-2</v>
      </c>
      <c r="C91">
        <v>7.2787885478028336E-2</v>
      </c>
      <c r="F91" s="39">
        <f t="shared" ca="1" si="4"/>
        <v>307.41554281505159</v>
      </c>
      <c r="L91" s="39">
        <f t="shared" ca="1" si="5"/>
        <v>412.30611045430715</v>
      </c>
    </row>
    <row r="92" spans="1:12" ht="16.5" x14ac:dyDescent="0.25">
      <c r="A92" s="1">
        <v>13</v>
      </c>
      <c r="B92" s="1">
        <f t="shared" ca="1" si="3"/>
        <v>4.8756267551720189E-2</v>
      </c>
      <c r="C92">
        <v>0.10434536210988882</v>
      </c>
      <c r="F92" s="39">
        <f t="shared" ca="1" si="4"/>
        <v>467.38102431357174</v>
      </c>
      <c r="L92" s="39">
        <f t="shared" ca="1" si="5"/>
        <v>682.7407301296098</v>
      </c>
    </row>
    <row r="93" spans="1:12" ht="16.5" x14ac:dyDescent="0.25">
      <c r="A93" s="1">
        <v>14</v>
      </c>
      <c r="B93" s="1">
        <f t="shared" ca="1" si="3"/>
        <v>4.9411976664905169E-2</v>
      </c>
      <c r="C93">
        <v>3.8826500662544283E-2</v>
      </c>
      <c r="F93" s="39">
        <f t="shared" ca="1" si="4"/>
        <v>464.96444597323125</v>
      </c>
      <c r="L93" s="39">
        <f t="shared" ca="1" si="5"/>
        <v>678.58861804429625</v>
      </c>
    </row>
    <row r="94" spans="1:12" ht="16.5" x14ac:dyDescent="0.25">
      <c r="A94" s="1">
        <v>15</v>
      </c>
      <c r="B94" s="1">
        <f t="shared" ca="1" si="3"/>
        <v>0.11647807071107089</v>
      </c>
      <c r="C94">
        <v>6.3110577634070075E-2</v>
      </c>
      <c r="F94" s="39">
        <f t="shared" ca="1" si="4"/>
        <v>238.80947357581454</v>
      </c>
      <c r="L94" s="39">
        <f t="shared" ca="1" si="5"/>
        <v>299.147458216823</v>
      </c>
    </row>
    <row r="95" spans="1:12" ht="16.5" x14ac:dyDescent="0.25">
      <c r="A95" s="1">
        <v>16</v>
      </c>
      <c r="B95" s="1">
        <f t="shared" ca="1" si="3"/>
        <v>0.11390028086050694</v>
      </c>
      <c r="C95">
        <v>3.4973540045320994E-2</v>
      </c>
      <c r="F95" s="39">
        <f t="shared" ca="1" si="4"/>
        <v>246.79285309489342</v>
      </c>
      <c r="L95" s="39">
        <f t="shared" ca="1" si="5"/>
        <v>312.22556748999887</v>
      </c>
    </row>
    <row r="96" spans="1:12" ht="16.5" x14ac:dyDescent="0.25">
      <c r="A96" s="1">
        <v>17</v>
      </c>
      <c r="B96" s="1">
        <f t="shared" ca="1" si="3"/>
        <v>0.13463380478377668</v>
      </c>
      <c r="C96">
        <v>0.13647837835771498</v>
      </c>
      <c r="F96" s="39">
        <f t="shared" ca="1" si="4"/>
        <v>184.02719907531446</v>
      </c>
      <c r="L96" s="39">
        <f t="shared" ca="1" si="5"/>
        <v>210.05209494231804</v>
      </c>
    </row>
    <row r="97" spans="1:12" ht="16.5" x14ac:dyDescent="0.25">
      <c r="A97" s="1">
        <v>18</v>
      </c>
      <c r="B97" s="1">
        <f t="shared" ca="1" si="3"/>
        <v>3.1812305292117496E-2</v>
      </c>
      <c r="C97">
        <v>-9.7276011336361323E-4</v>
      </c>
      <c r="F97" s="39">
        <f t="shared" ca="1" si="4"/>
        <v>531.36082558965381</v>
      </c>
      <c r="L97" s="39">
        <f t="shared" ca="1" si="5"/>
        <v>793.39339256409448</v>
      </c>
    </row>
    <row r="98" spans="1:12" ht="16.5" x14ac:dyDescent="0.25">
      <c r="A98" s="1">
        <v>19</v>
      </c>
      <c r="B98" s="1">
        <f t="shared" ca="1" si="3"/>
        <v>0.12223903939790753</v>
      </c>
      <c r="C98">
        <v>7.6275911346165237E-2</v>
      </c>
      <c r="F98" s="39">
        <f t="shared" ca="1" si="4"/>
        <v>221.15506679507052</v>
      </c>
      <c r="L98" s="39">
        <f t="shared" ca="1" si="5"/>
        <v>270.31136915988327</v>
      </c>
    </row>
    <row r="99" spans="1:12" ht="16.5" x14ac:dyDescent="0.25">
      <c r="A99" s="1">
        <v>20</v>
      </c>
      <c r="B99" s="1">
        <f t="shared" ca="1" si="3"/>
        <v>3.7145559065628997E-2</v>
      </c>
      <c r="C99">
        <v>3.2510628392919905E-2</v>
      </c>
      <c r="F99" s="39">
        <f t="shared" ca="1" si="4"/>
        <v>510.89905732473244</v>
      </c>
      <c r="L99" s="39">
        <f t="shared" ca="1" si="5"/>
        <v>757.85397697283224</v>
      </c>
    </row>
    <row r="100" spans="1:12" ht="16.5" x14ac:dyDescent="0.25">
      <c r="A100" s="1">
        <v>21</v>
      </c>
      <c r="B100" s="1">
        <f t="shared" ca="1" si="3"/>
        <v>0.10785918176936825</v>
      </c>
      <c r="C100">
        <v>4.4905222188681371E-2</v>
      </c>
      <c r="F100" s="39">
        <f t="shared" ca="1" si="4"/>
        <v>265.70852242001229</v>
      </c>
      <c r="L100" s="39">
        <f t="shared" ca="1" si="5"/>
        <v>343.3073522298032</v>
      </c>
    </row>
    <row r="101" spans="1:12" ht="16.5" x14ac:dyDescent="0.25">
      <c r="A101" s="1">
        <v>22</v>
      </c>
      <c r="B101" s="1">
        <f t="shared" ca="1" si="3"/>
        <v>4.6364529224638643E-2</v>
      </c>
      <c r="C101">
        <v>-7.9446054366417163E-3</v>
      </c>
      <c r="F101" s="39">
        <f t="shared" ca="1" si="4"/>
        <v>476.23242363576492</v>
      </c>
      <c r="L101" s="39">
        <f t="shared" ca="1" si="5"/>
        <v>697.96612197191143</v>
      </c>
    </row>
    <row r="102" spans="1:12" ht="16.5" x14ac:dyDescent="0.25">
      <c r="A102" s="1">
        <v>23</v>
      </c>
      <c r="B102" s="1">
        <f t="shared" ca="1" si="3"/>
        <v>7.0360352022757991E-2</v>
      </c>
      <c r="C102">
        <v>4.8045991610997596E-2</v>
      </c>
      <c r="F102" s="39">
        <f t="shared" ca="1" si="4"/>
        <v>389.97574693966862</v>
      </c>
      <c r="L102" s="39">
        <f t="shared" ca="1" si="5"/>
        <v>550.75105134263276</v>
      </c>
    </row>
    <row r="103" spans="1:12" ht="16.5" x14ac:dyDescent="0.25">
      <c r="A103" s="1">
        <v>24</v>
      </c>
      <c r="B103" s="1">
        <f t="shared" ca="1" si="3"/>
        <v>0.1378441469263918</v>
      </c>
      <c r="C103">
        <v>0.13615584879909876</v>
      </c>
      <c r="F103" s="39">
        <f t="shared" ca="1" si="4"/>
        <v>174.59651902745691</v>
      </c>
      <c r="L103" s="39">
        <f t="shared" ca="1" si="5"/>
        <v>194.82952161265803</v>
      </c>
    </row>
    <row r="104" spans="1:12" ht="16.5" x14ac:dyDescent="0.25">
      <c r="A104" s="1">
        <v>25</v>
      </c>
      <c r="B104" s="1">
        <f t="shared" ca="1" si="3"/>
        <v>2.4300462574060738E-3</v>
      </c>
      <c r="C104">
        <v>8.4026113603904384E-2</v>
      </c>
      <c r="F104" s="39">
        <f t="shared" ca="1" si="4"/>
        <v>649.75686591650265</v>
      </c>
      <c r="L104" s="39">
        <f t="shared" ca="1" si="5"/>
        <v>1001.7583957223642</v>
      </c>
    </row>
    <row r="105" spans="1:12" ht="16.5" x14ac:dyDescent="0.25">
      <c r="A105" s="1">
        <v>26</v>
      </c>
      <c r="B105" s="1">
        <f t="shared" ca="1" si="3"/>
        <v>4.8542676385435135E-2</v>
      </c>
      <c r="C105">
        <v>0.13293544174695854</v>
      </c>
      <c r="F105" s="39">
        <f t="shared" ca="1" si="4"/>
        <v>468.16913675282694</v>
      </c>
      <c r="L105" s="39">
        <f t="shared" ca="1" si="5"/>
        <v>684.09528142379122</v>
      </c>
    </row>
    <row r="106" spans="1:12" ht="16.5" x14ac:dyDescent="0.25">
      <c r="A106" s="1">
        <v>27</v>
      </c>
      <c r="B106" s="1">
        <f t="shared" ca="1" si="3"/>
        <v>0.10065783048725818</v>
      </c>
      <c r="C106">
        <v>3.8215547596628319E-2</v>
      </c>
      <c r="F106" s="39">
        <f t="shared" ca="1" si="4"/>
        <v>288.64259028195102</v>
      </c>
      <c r="L106" s="39">
        <f t="shared" ca="1" si="5"/>
        <v>381.16968233490979</v>
      </c>
    </row>
    <row r="107" spans="1:12" ht="16.5" x14ac:dyDescent="0.25">
      <c r="A107" s="1">
        <v>28</v>
      </c>
      <c r="B107" s="1">
        <f t="shared" ca="1" si="3"/>
        <v>0.11408874330602163</v>
      </c>
      <c r="C107">
        <v>0.10613013177528047</v>
      </c>
      <c r="F107" s="39">
        <f t="shared" ca="1" si="4"/>
        <v>246.20741526164284</v>
      </c>
      <c r="L107" s="39">
        <f t="shared" ca="1" si="5"/>
        <v>311.26571391145444</v>
      </c>
    </row>
    <row r="108" spans="1:12" ht="16.5" x14ac:dyDescent="0.25">
      <c r="A108" s="1">
        <v>29</v>
      </c>
      <c r="B108" s="1">
        <f t="shared" ca="1" si="3"/>
        <v>9.9411760036135971E-2</v>
      </c>
      <c r="C108">
        <v>1.5485114949406131E-2</v>
      </c>
      <c r="F108" s="39">
        <f t="shared" ca="1" si="4"/>
        <v>292.6542373161019</v>
      </c>
      <c r="L108" s="39">
        <f t="shared" ca="1" si="5"/>
        <v>387.81248020717385</v>
      </c>
    </row>
    <row r="109" spans="1:12" ht="16.5" x14ac:dyDescent="0.25">
      <c r="A109" s="1">
        <v>30</v>
      </c>
      <c r="B109" s="1">
        <f t="shared" ca="1" si="3"/>
        <v>0.12086972364439419</v>
      </c>
      <c r="C109">
        <v>0.11525350050244015</v>
      </c>
      <c r="F109" s="39">
        <f t="shared" ca="1" si="4"/>
        <v>225.32807254577756</v>
      </c>
      <c r="L109" s="39">
        <f t="shared" ca="1" si="5"/>
        <v>277.11684375157847</v>
      </c>
    </row>
    <row r="110" spans="1:12" ht="16.5" x14ac:dyDescent="0.25">
      <c r="A110" s="1">
        <v>31</v>
      </c>
      <c r="B110" s="1">
        <f t="shared" ca="1" si="3"/>
        <v>1.5194214441405847E-2</v>
      </c>
      <c r="C110">
        <v>7.8627694114693447E-2</v>
      </c>
      <c r="F110" s="39">
        <f t="shared" ca="1" si="4"/>
        <v>597.11050295083442</v>
      </c>
      <c r="L110" s="39">
        <f t="shared" ca="1" si="5"/>
        <v>908.53789915063908</v>
      </c>
    </row>
    <row r="111" spans="1:12" ht="16.5" x14ac:dyDescent="0.25">
      <c r="A111" s="1">
        <v>32</v>
      </c>
      <c r="B111" s="1">
        <f t="shared" ca="1" si="3"/>
        <v>2.959020400718642E-2</v>
      </c>
      <c r="C111">
        <v>0.13313007361313794</v>
      </c>
      <c r="F111" s="39">
        <f t="shared" ca="1" si="4"/>
        <v>539.97617237998202</v>
      </c>
      <c r="L111" s="39">
        <f t="shared" ca="1" si="5"/>
        <v>808.39921162410974</v>
      </c>
    </row>
    <row r="112" spans="1:12" ht="16.5" x14ac:dyDescent="0.25">
      <c r="A112" s="1">
        <v>33</v>
      </c>
      <c r="B112" s="1">
        <f t="shared" ca="1" si="3"/>
        <v>8.3050908735971804E-2</v>
      </c>
      <c r="C112">
        <v>0.11478874870983419</v>
      </c>
      <c r="F112" s="39">
        <f t="shared" ca="1" si="4"/>
        <v>346.54854976555271</v>
      </c>
      <c r="L112" s="39">
        <f t="shared" ca="1" si="5"/>
        <v>477.62315595615019</v>
      </c>
    </row>
    <row r="113" spans="1:12" ht="16.5" x14ac:dyDescent="0.25">
      <c r="A113" s="1">
        <v>34</v>
      </c>
      <c r="B113" s="1">
        <f t="shared" ca="1" si="3"/>
        <v>6.7817715028305622E-2</v>
      </c>
      <c r="C113">
        <v>0.13662685336777941</v>
      </c>
      <c r="F113" s="39">
        <f t="shared" ca="1" si="4"/>
        <v>398.85401600648265</v>
      </c>
      <c r="L113" s="39">
        <f t="shared" ca="1" si="5"/>
        <v>565.78372790547201</v>
      </c>
    </row>
    <row r="114" spans="1:12" ht="16.5" x14ac:dyDescent="0.25">
      <c r="A114" s="1">
        <v>35</v>
      </c>
      <c r="B114" s="1">
        <f t="shared" ca="1" si="3"/>
        <v>-5.4539580743873231E-2</v>
      </c>
      <c r="C114">
        <v>0.1381541223457316</v>
      </c>
      <c r="F114" s="39">
        <f t="shared" ca="1" si="4"/>
        <v>910.32614394059283</v>
      </c>
      <c r="L114" s="39">
        <f t="shared" ca="1" si="5"/>
        <v>1475.974729152631</v>
      </c>
    </row>
    <row r="115" spans="1:12" ht="16.5" x14ac:dyDescent="0.25">
      <c r="A115" s="1">
        <v>36</v>
      </c>
      <c r="B115" s="1">
        <f t="shared" ca="1" si="3"/>
        <v>7.504196476184781E-2</v>
      </c>
      <c r="C115">
        <v>-1.4778093878412613E-2</v>
      </c>
      <c r="F115" s="39">
        <f t="shared" ca="1" si="4"/>
        <v>373.78510314248024</v>
      </c>
      <c r="L115" s="39">
        <f t="shared" ca="1" si="5"/>
        <v>523.40883435843398</v>
      </c>
    </row>
    <row r="116" spans="1:12" ht="16.5" x14ac:dyDescent="0.25">
      <c r="A116" s="1">
        <v>37</v>
      </c>
      <c r="B116" s="1">
        <f t="shared" ca="1" si="3"/>
        <v>1.8038799582532669E-2</v>
      </c>
      <c r="C116">
        <v>9.5647238999226836E-2</v>
      </c>
      <c r="F116" s="39">
        <f t="shared" ca="1" si="4"/>
        <v>585.63646014186133</v>
      </c>
      <c r="L116" s="39">
        <f t="shared" ca="1" si="5"/>
        <v>888.34090911744124</v>
      </c>
    </row>
    <row r="117" spans="1:12" ht="16.5" x14ac:dyDescent="0.25">
      <c r="A117" s="1">
        <v>38</v>
      </c>
      <c r="B117" s="1">
        <f t="shared" ca="1" si="3"/>
        <v>3.5321442212083637E-2</v>
      </c>
      <c r="C117">
        <v>9.0007462353532908E-2</v>
      </c>
      <c r="F117" s="39">
        <f t="shared" ca="1" si="4"/>
        <v>517.86349726128174</v>
      </c>
      <c r="L117" s="39">
        <f t="shared" ca="1" si="5"/>
        <v>769.93446330546885</v>
      </c>
    </row>
    <row r="118" spans="1:12" ht="16.5" x14ac:dyDescent="0.25">
      <c r="A118" s="1">
        <v>39</v>
      </c>
      <c r="B118" s="1">
        <f t="shared" ca="1" si="3"/>
        <v>0.11395072350815338</v>
      </c>
      <c r="C118">
        <v>5.6625141445983906E-2</v>
      </c>
      <c r="F118" s="39">
        <f t="shared" ca="1" si="4"/>
        <v>246.6361310807506</v>
      </c>
      <c r="L118" s="39">
        <f t="shared" ca="1" si="5"/>
        <v>311.96860165333737</v>
      </c>
    </row>
    <row r="119" spans="1:12" ht="16.5" x14ac:dyDescent="0.25">
      <c r="A119" s="1">
        <v>40</v>
      </c>
      <c r="B119" s="1">
        <f t="shared" ca="1" si="3"/>
        <v>1.9936257067156814E-2</v>
      </c>
      <c r="C119">
        <v>0.10529589776007925</v>
      </c>
      <c r="F119" s="39">
        <f t="shared" ca="1" si="4"/>
        <v>578.03397575627696</v>
      </c>
      <c r="L119" s="39">
        <f t="shared" ca="1" si="5"/>
        <v>874.98262021157097</v>
      </c>
    </row>
    <row r="120" spans="1:12" ht="16.5" x14ac:dyDescent="0.25">
      <c r="A120" s="1">
        <v>41</v>
      </c>
      <c r="B120" s="1">
        <f t="shared" ca="1" si="3"/>
        <v>3.5251932670962945E-2</v>
      </c>
      <c r="C120">
        <v>8.9375489045050993E-3</v>
      </c>
      <c r="F120" s="39">
        <f t="shared" ca="1" si="4"/>
        <v>518.12958000123172</v>
      </c>
      <c r="L120" s="39">
        <f t="shared" ca="1" si="5"/>
        <v>770.39633384339231</v>
      </c>
    </row>
    <row r="121" spans="1:12" ht="16.5" x14ac:dyDescent="0.25">
      <c r="A121" s="1">
        <v>42</v>
      </c>
      <c r="B121" s="1">
        <f t="shared" ca="1" si="3"/>
        <v>8.9689756850329636E-2</v>
      </c>
      <c r="C121">
        <v>8.6822355064505252E-2</v>
      </c>
      <c r="F121" s="39">
        <f t="shared" ca="1" si="4"/>
        <v>324.40210466803683</v>
      </c>
      <c r="L121" s="39">
        <f t="shared" ca="1" si="5"/>
        <v>440.59037815890588</v>
      </c>
    </row>
    <row r="122" spans="1:12" ht="16.5" x14ac:dyDescent="0.25">
      <c r="A122" s="1">
        <v>43</v>
      </c>
      <c r="B122" s="1">
        <f t="shared" ca="1" si="3"/>
        <v>6.0107004013867912E-2</v>
      </c>
      <c r="C122">
        <v>6.0811671067494966E-3</v>
      </c>
      <c r="F122" s="39">
        <f t="shared" ca="1" si="4"/>
        <v>426.15051627925413</v>
      </c>
      <c r="L122" s="39">
        <f t="shared" ca="1" si="5"/>
        <v>612.17560303799792</v>
      </c>
    </row>
    <row r="123" spans="1:12" ht="16.5" x14ac:dyDescent="0.25">
      <c r="A123" s="1">
        <v>44</v>
      </c>
      <c r="B123" s="1">
        <f t="shared" ca="1" si="3"/>
        <v>-4.0895148208633936E-3</v>
      </c>
      <c r="C123">
        <v>0.11988442015019246</v>
      </c>
      <c r="F123" s="39">
        <f t="shared" ca="1" si="4"/>
        <v>677.40140283864639</v>
      </c>
      <c r="L123" s="39">
        <f t="shared" ca="1" si="5"/>
        <v>1051.0665573747428</v>
      </c>
    </row>
    <row r="124" spans="1:12" ht="16.5" x14ac:dyDescent="0.25">
      <c r="A124" s="1">
        <v>45</v>
      </c>
      <c r="B124" s="1">
        <f t="shared" ca="1" si="3"/>
        <v>2.1944526904787147E-2</v>
      </c>
      <c r="C124">
        <v>0.15799270290182904</v>
      </c>
      <c r="F124" s="39">
        <f t="shared" ca="1" si="4"/>
        <v>570.03172216614576</v>
      </c>
      <c r="L124" s="39">
        <f t="shared" ca="1" si="5"/>
        <v>860.9425047607715</v>
      </c>
    </row>
    <row r="125" spans="1:12" ht="16.5" x14ac:dyDescent="0.25">
      <c r="A125" s="1">
        <v>46</v>
      </c>
      <c r="B125" s="1">
        <f t="shared" ca="1" si="3"/>
        <v>0.14404121187649049</v>
      </c>
      <c r="C125">
        <v>0.10168617013216136</v>
      </c>
      <c r="F125" s="39">
        <f t="shared" ca="1" si="4"/>
        <v>156.60270703694323</v>
      </c>
      <c r="L125" s="39">
        <f t="shared" ca="1" si="5"/>
        <v>165.87949528446552</v>
      </c>
    </row>
    <row r="126" spans="1:12" ht="16.5" x14ac:dyDescent="0.25">
      <c r="A126" s="1">
        <v>47</v>
      </c>
      <c r="B126" s="1">
        <f t="shared" ca="1" si="3"/>
        <v>9.4164085250767651E-2</v>
      </c>
      <c r="C126">
        <v>-2.6139501692960032E-2</v>
      </c>
      <c r="F126" s="39">
        <f t="shared" ca="1" si="4"/>
        <v>309.69133896515632</v>
      </c>
      <c r="L126" s="39">
        <f t="shared" ca="1" si="5"/>
        <v>416.08944551170862</v>
      </c>
    </row>
    <row r="127" spans="1:12" ht="16.5" x14ac:dyDescent="0.25">
      <c r="A127" s="1">
        <v>48</v>
      </c>
      <c r="B127" s="1">
        <f t="shared" ca="1" si="3"/>
        <v>9.4975893405621528E-2</v>
      </c>
      <c r="C127">
        <v>9.9041302695986821E-2</v>
      </c>
      <c r="F127" s="39">
        <f t="shared" ca="1" si="4"/>
        <v>307.04055512382092</v>
      </c>
      <c r="L127" s="39">
        <f t="shared" ca="1" si="5"/>
        <v>411.68290350652296</v>
      </c>
    </row>
    <row r="128" spans="1:12" ht="16.5" x14ac:dyDescent="0.25">
      <c r="A128" s="1">
        <v>49</v>
      </c>
      <c r="B128" s="1">
        <f t="shared" ca="1" si="3"/>
        <v>4.4123370130713956E-2</v>
      </c>
      <c r="C128">
        <v>2.7010459183948121E-2</v>
      </c>
      <c r="F128" s="39">
        <f t="shared" ca="1" si="4"/>
        <v>484.57931628315055</v>
      </c>
      <c r="L128" s="39">
        <f t="shared" ca="1" si="5"/>
        <v>712.3482756298713</v>
      </c>
    </row>
    <row r="129" spans="1:12" ht="16.5" x14ac:dyDescent="0.25">
      <c r="A129" s="1">
        <v>50</v>
      </c>
      <c r="B129" s="1">
        <f t="shared" ca="1" si="3"/>
        <v>2.8950933214588581E-2</v>
      </c>
      <c r="C129">
        <v>0.13071718416933437</v>
      </c>
      <c r="F129" s="39">
        <f t="shared" ca="1" si="4"/>
        <v>542.46460577443122</v>
      </c>
      <c r="L129" s="39">
        <f t="shared" ca="1" si="5"/>
        <v>812.73807653595713</v>
      </c>
    </row>
    <row r="130" spans="1:12" ht="16.5" x14ac:dyDescent="0.25">
      <c r="A130" s="1">
        <v>51</v>
      </c>
      <c r="B130" s="1">
        <f t="shared" ca="1" si="3"/>
        <v>6.3333835150696807E-2</v>
      </c>
      <c r="C130">
        <v>8.602302290848457E-2</v>
      </c>
      <c r="F130" s="39">
        <f t="shared" ca="1" si="4"/>
        <v>414.65849822355722</v>
      </c>
      <c r="L130" s="39">
        <f t="shared" ca="1" si="5"/>
        <v>592.6124885645504</v>
      </c>
    </row>
    <row r="131" spans="1:12" ht="16.5" x14ac:dyDescent="0.25">
      <c r="A131" s="1">
        <v>52</v>
      </c>
      <c r="B131" s="1">
        <f t="shared" ca="1" si="3"/>
        <v>6.8549727156691539E-2</v>
      </c>
      <c r="C131">
        <v>0.14666812962270342</v>
      </c>
      <c r="F131" s="39">
        <f t="shared" ca="1" si="4"/>
        <v>396.29182840391195</v>
      </c>
      <c r="L131" s="39">
        <f t="shared" ca="1" si="5"/>
        <v>561.44258094488441</v>
      </c>
    </row>
    <row r="132" spans="1:12" ht="16.5" x14ac:dyDescent="0.25">
      <c r="A132" s="1">
        <v>53</v>
      </c>
      <c r="B132" s="1">
        <f t="shared" ca="1" si="3"/>
        <v>7.5263439928231313E-2</v>
      </c>
      <c r="C132">
        <v>-6.8472387334331863E-2</v>
      </c>
      <c r="F132" s="39">
        <f t="shared" ca="1" si="4"/>
        <v>373.02414014287615</v>
      </c>
      <c r="L132" s="39">
        <f t="shared" ca="1" si="5"/>
        <v>522.12603366201756</v>
      </c>
    </row>
    <row r="133" spans="1:12" ht="16.5" x14ac:dyDescent="0.25">
      <c r="A133" s="1">
        <v>54</v>
      </c>
      <c r="B133" s="1">
        <f t="shared" ca="1" si="3"/>
        <v>7.0398919847793756E-2</v>
      </c>
      <c r="C133">
        <v>7.9066695838555467E-2</v>
      </c>
      <c r="F133" s="39">
        <f t="shared" ca="1" si="4"/>
        <v>389.84154055854196</v>
      </c>
      <c r="L133" s="39">
        <f t="shared" ca="1" si="5"/>
        <v>550.52402666452554</v>
      </c>
    </row>
    <row r="134" spans="1:12" ht="16.5" x14ac:dyDescent="0.25">
      <c r="A134" s="1">
        <v>55</v>
      </c>
      <c r="B134" s="1">
        <f t="shared" ca="1" si="3"/>
        <v>3.1475609028778218E-2</v>
      </c>
      <c r="C134">
        <v>0.10648358415375697</v>
      </c>
      <c r="F134" s="39">
        <f t="shared" ca="1" si="4"/>
        <v>532.66281008831356</v>
      </c>
      <c r="L134" s="39">
        <f t="shared" ca="1" si="5"/>
        <v>795.65953430232139</v>
      </c>
    </row>
    <row r="135" spans="1:12" ht="16.5" x14ac:dyDescent="0.25">
      <c r="A135" s="1">
        <v>56</v>
      </c>
      <c r="B135" s="1">
        <f t="shared" ca="1" si="3"/>
        <v>6.6578725777750786E-2</v>
      </c>
      <c r="C135">
        <v>5.4379087436536799E-2</v>
      </c>
      <c r="F135" s="39">
        <f t="shared" ca="1" si="4"/>
        <v>403.20216428987396</v>
      </c>
      <c r="L135" s="39">
        <f t="shared" ca="1" si="5"/>
        <v>573.15613999546167</v>
      </c>
    </row>
    <row r="136" spans="1:12" ht="16.5" x14ac:dyDescent="0.25">
      <c r="A136" s="1">
        <v>57</v>
      </c>
      <c r="B136" s="1">
        <f t="shared" ca="1" si="3"/>
        <v>8.8969142021883413E-3</v>
      </c>
      <c r="C136">
        <v>0.10334014309075429</v>
      </c>
      <c r="F136" s="39">
        <f t="shared" ca="1" si="4"/>
        <v>622.84391223635112</v>
      </c>
      <c r="L136" s="39">
        <f t="shared" ca="1" si="5"/>
        <v>953.99136677475735</v>
      </c>
    </row>
    <row r="137" spans="1:12" ht="16.5" x14ac:dyDescent="0.25">
      <c r="A137" s="1">
        <v>58</v>
      </c>
      <c r="B137" s="1">
        <f t="shared" ca="1" si="3"/>
        <v>2.3030237021560596E-2</v>
      </c>
      <c r="C137">
        <v>2.2096004562918103E-2</v>
      </c>
      <c r="F137" s="39">
        <f t="shared" ca="1" si="4"/>
        <v>565.72435895344188</v>
      </c>
      <c r="L137" s="39">
        <f t="shared" ca="1" si="5"/>
        <v>853.39391911145276</v>
      </c>
    </row>
    <row r="138" spans="1:12" ht="16.5" x14ac:dyDescent="0.25">
      <c r="A138" s="1">
        <v>59</v>
      </c>
      <c r="B138" s="1">
        <f t="shared" ca="1" si="3"/>
        <v>5.5454724257951768E-2</v>
      </c>
      <c r="C138">
        <v>5.8086415214638698E-2</v>
      </c>
      <c r="F138" s="39">
        <f t="shared" ca="1" si="4"/>
        <v>442.89615678361224</v>
      </c>
      <c r="L138" s="39">
        <f t="shared" ca="1" si="5"/>
        <v>640.76444318010363</v>
      </c>
    </row>
    <row r="139" spans="1:12" ht="16.5" x14ac:dyDescent="0.25">
      <c r="A139" s="1">
        <v>60</v>
      </c>
      <c r="B139" s="1">
        <f t="shared" ca="1" si="3"/>
        <v>9.0577291154964254E-3</v>
      </c>
      <c r="C139">
        <v>5.7368937581777579E-2</v>
      </c>
      <c r="F139" s="39">
        <f t="shared" ca="1" si="4"/>
        <v>622.18098924356491</v>
      </c>
      <c r="L139" s="39">
        <f t="shared" ca="1" si="5"/>
        <v>952.8177239790989</v>
      </c>
    </row>
    <row r="140" spans="1:12" ht="16.5" x14ac:dyDescent="0.25">
      <c r="A140" s="1">
        <v>61</v>
      </c>
      <c r="B140" s="1">
        <f t="shared" ca="1" si="3"/>
        <v>8.670246683619541E-2</v>
      </c>
      <c r="C140">
        <v>2.3593828649900395E-2</v>
      </c>
      <c r="F140" s="39">
        <f t="shared" ca="1" si="4"/>
        <v>334.31974523582721</v>
      </c>
      <c r="L140" s="39">
        <f t="shared" ca="1" si="5"/>
        <v>457.15256007640983</v>
      </c>
    </row>
    <row r="141" spans="1:12" ht="16.5" x14ac:dyDescent="0.25">
      <c r="A141" s="1">
        <v>62</v>
      </c>
      <c r="B141" s="1">
        <f t="shared" ca="1" si="3"/>
        <v>0.16758937878833635</v>
      </c>
      <c r="C141">
        <v>6.3060441738634843E-2</v>
      </c>
      <c r="F141" s="39">
        <f t="shared" ca="1" si="4"/>
        <v>90.664337924135452</v>
      </c>
      <c r="L141" s="39">
        <f t="shared" ca="1" si="5"/>
        <v>60.868050385603055</v>
      </c>
    </row>
    <row r="142" spans="1:12" ht="16.5" x14ac:dyDescent="0.25">
      <c r="A142" s="1">
        <v>63</v>
      </c>
      <c r="B142" s="1">
        <f t="shared" ca="1" si="3"/>
        <v>8.3932568103156635E-4</v>
      </c>
      <c r="C142">
        <v>9.9000602808082483E-2</v>
      </c>
      <c r="F142" s="39">
        <f t="shared" ca="1" si="4"/>
        <v>656.45395176401416</v>
      </c>
      <c r="L142" s="39">
        <f t="shared" ca="1" si="5"/>
        <v>1013.6811650357968</v>
      </c>
    </row>
    <row r="143" spans="1:12" ht="16.5" x14ac:dyDescent="0.25">
      <c r="A143" s="1">
        <v>64</v>
      </c>
      <c r="B143" s="1">
        <f t="shared" ca="1" si="3"/>
        <v>0.10144083542296047</v>
      </c>
      <c r="C143">
        <v>7.6106347427703447E-2</v>
      </c>
      <c r="F143" s="39">
        <f t="shared" ca="1" si="4"/>
        <v>286.12834074002694</v>
      </c>
      <c r="L143" s="39">
        <f t="shared" ca="1" si="5"/>
        <v>377.00940259149684</v>
      </c>
    </row>
    <row r="144" spans="1:12" ht="16.5" x14ac:dyDescent="0.25">
      <c r="A144" s="1">
        <v>65</v>
      </c>
      <c r="B144" s="1">
        <f t="shared" ca="1" si="3"/>
        <v>0.20970236666933975</v>
      </c>
      <c r="C144">
        <v>0.14714243110967801</v>
      </c>
      <c r="F144" s="39">
        <f t="shared" ca="1" si="4"/>
        <v>-18.392311047119847</v>
      </c>
      <c r="L144" s="39">
        <f t="shared" ca="1" si="5"/>
        <v>-109.00437821989703</v>
      </c>
    </row>
    <row r="145" spans="1:12" ht="16.5" x14ac:dyDescent="0.25">
      <c r="A145" s="1">
        <v>66</v>
      </c>
      <c r="B145" s="1">
        <f t="shared" ref="B145:B179" ca="1" si="6">NORMINV(RAND(),7%,5%)</f>
        <v>3.9433654034284241E-2</v>
      </c>
      <c r="C145">
        <v>1.2852468848286669E-2</v>
      </c>
      <c r="F145" s="39">
        <f t="shared" ref="F145:F179" ca="1" si="7">NPV(B145,$H$78:$J$78)+$G$78</f>
        <v>502.21269596561388</v>
      </c>
      <c r="L145" s="39">
        <f t="shared" ref="L145:L179" ca="1" si="8">NPV(B145,$N$78:$P$78)+$M$78</f>
        <v>742.80963490689464</v>
      </c>
    </row>
    <row r="146" spans="1:12" ht="16.5" x14ac:dyDescent="0.25">
      <c r="A146" s="1">
        <v>67</v>
      </c>
      <c r="B146" s="1">
        <f t="shared" ca="1" si="6"/>
        <v>5.7543402054466633E-2</v>
      </c>
      <c r="C146">
        <v>-5.0247932500205927E-2</v>
      </c>
      <c r="F146" s="39">
        <f t="shared" ca="1" si="7"/>
        <v>435.35201701497726</v>
      </c>
      <c r="L146" s="39">
        <f t="shared" ca="1" si="8"/>
        <v>627.87271877464855</v>
      </c>
    </row>
    <row r="147" spans="1:12" ht="16.5" x14ac:dyDescent="0.25">
      <c r="A147" s="1">
        <v>68</v>
      </c>
      <c r="B147" s="1">
        <f t="shared" ca="1" si="6"/>
        <v>4.370144267700829E-2</v>
      </c>
      <c r="C147">
        <v>0.1638835000852123</v>
      </c>
      <c r="F147" s="39">
        <f t="shared" ca="1" si="7"/>
        <v>486.15647474586149</v>
      </c>
      <c r="L147" s="39">
        <f t="shared" ca="1" si="8"/>
        <v>715.06847890525023</v>
      </c>
    </row>
    <row r="148" spans="1:12" ht="16.5" x14ac:dyDescent="0.25">
      <c r="A148" s="1">
        <v>69</v>
      </c>
      <c r="B148" s="1">
        <f t="shared" ca="1" si="6"/>
        <v>3.9183630215052181E-2</v>
      </c>
      <c r="C148">
        <v>0.14655671652173624</v>
      </c>
      <c r="F148" s="39">
        <f t="shared" ca="1" si="7"/>
        <v>503.15919935162174</v>
      </c>
      <c r="L148" s="39">
        <f t="shared" ca="1" si="8"/>
        <v>744.4476907033395</v>
      </c>
    </row>
    <row r="149" spans="1:12" ht="16.5" x14ac:dyDescent="0.25">
      <c r="A149" s="1">
        <v>70</v>
      </c>
      <c r="B149" s="1">
        <f t="shared" ca="1" si="6"/>
        <v>4.2345615528751185E-2</v>
      </c>
      <c r="C149">
        <v>0.1598905909707537</v>
      </c>
      <c r="F149" s="39">
        <f t="shared" ca="1" si="7"/>
        <v>491.23692841582715</v>
      </c>
      <c r="L149" s="39">
        <f t="shared" ca="1" si="8"/>
        <v>723.83675427768549</v>
      </c>
    </row>
    <row r="150" spans="1:12" ht="16.5" x14ac:dyDescent="0.25">
      <c r="A150" s="1">
        <v>71</v>
      </c>
      <c r="B150" s="1">
        <f t="shared" ca="1" si="6"/>
        <v>0.17150004894138093</v>
      </c>
      <c r="C150">
        <v>1.5905983622651554E-2</v>
      </c>
      <c r="F150" s="39">
        <f t="shared" ca="1" si="7"/>
        <v>80.073119457133089</v>
      </c>
      <c r="L150" s="39">
        <f t="shared" ca="1" si="8"/>
        <v>44.160377727237574</v>
      </c>
    </row>
    <row r="151" spans="1:12" ht="16.5" x14ac:dyDescent="0.25">
      <c r="A151" s="1">
        <v>72</v>
      </c>
      <c r="B151" s="1">
        <f t="shared" ca="1" si="6"/>
        <v>2.2130904447695679E-2</v>
      </c>
      <c r="C151">
        <v>3.0801460474613129E-2</v>
      </c>
      <c r="F151" s="39">
        <f t="shared" ca="1" si="7"/>
        <v>569.29136620643067</v>
      </c>
      <c r="L151" s="39">
        <f t="shared" ca="1" si="8"/>
        <v>859.64460543516952</v>
      </c>
    </row>
    <row r="152" spans="1:12" ht="16.5" x14ac:dyDescent="0.25">
      <c r="A152" s="1">
        <v>73</v>
      </c>
      <c r="B152" s="1">
        <f t="shared" ca="1" si="6"/>
        <v>-2.4153705353229554E-2</v>
      </c>
      <c r="C152">
        <v>7.6982077138673055E-2</v>
      </c>
      <c r="F152" s="39">
        <f t="shared" ca="1" si="7"/>
        <v>765.85550571982094</v>
      </c>
      <c r="L152" s="39">
        <f t="shared" ca="1" si="8"/>
        <v>1210.4630572598398</v>
      </c>
    </row>
    <row r="153" spans="1:12" ht="16.5" x14ac:dyDescent="0.25">
      <c r="A153" s="1">
        <v>74</v>
      </c>
      <c r="B153" s="1">
        <f t="shared" ca="1" si="6"/>
        <v>0.15695471135738165</v>
      </c>
      <c r="C153">
        <v>2.474649949755986E-2</v>
      </c>
      <c r="F153" s="39">
        <f t="shared" ca="1" si="7"/>
        <v>119.97585752219629</v>
      </c>
      <c r="L153" s="39">
        <f t="shared" ca="1" si="8"/>
        <v>107.33844216424814</v>
      </c>
    </row>
    <row r="154" spans="1:12" ht="16.5" x14ac:dyDescent="0.25">
      <c r="A154" s="1">
        <v>75</v>
      </c>
      <c r="B154" s="1">
        <f t="shared" ca="1" si="6"/>
        <v>6.4515734612760667E-2</v>
      </c>
      <c r="C154">
        <v>0.11383150553621818</v>
      </c>
      <c r="F154" s="39">
        <f t="shared" ca="1" si="7"/>
        <v>410.47416596235098</v>
      </c>
      <c r="L154" s="39">
        <f t="shared" ca="1" si="8"/>
        <v>585.50087976034683</v>
      </c>
    </row>
    <row r="155" spans="1:12" ht="16.5" x14ac:dyDescent="0.25">
      <c r="A155" s="1">
        <v>76</v>
      </c>
      <c r="B155" s="1">
        <f t="shared" ca="1" si="6"/>
        <v>6.9214664240201715E-2</v>
      </c>
      <c r="C155">
        <v>8.0181111065321609E-2</v>
      </c>
      <c r="F155" s="39">
        <f t="shared" ca="1" si="7"/>
        <v>393.96875383812494</v>
      </c>
      <c r="L155" s="39">
        <f t="shared" ca="1" si="8"/>
        <v>557.50856628417978</v>
      </c>
    </row>
    <row r="156" spans="1:12" ht="16.5" x14ac:dyDescent="0.25">
      <c r="A156" s="1">
        <v>77</v>
      </c>
      <c r="B156" s="1">
        <f t="shared" ca="1" si="6"/>
        <v>-3.6905014810732883E-2</v>
      </c>
      <c r="C156">
        <v>4.0926978676288861E-2</v>
      </c>
      <c r="F156" s="39">
        <f t="shared" ca="1" si="7"/>
        <v>824.86811135468542</v>
      </c>
      <c r="L156" s="39">
        <f t="shared" ca="1" si="8"/>
        <v>1318.1555056990455</v>
      </c>
    </row>
    <row r="157" spans="1:12" ht="16.5" x14ac:dyDescent="0.25">
      <c r="A157" s="1">
        <v>78</v>
      </c>
      <c r="B157" s="1">
        <f t="shared" ca="1" si="6"/>
        <v>9.656499716669549E-2</v>
      </c>
      <c r="C157">
        <v>0.10181253305228893</v>
      </c>
      <c r="F157" s="39">
        <f t="shared" ca="1" si="7"/>
        <v>301.86780636510866</v>
      </c>
      <c r="L157" s="39">
        <f t="shared" ca="1" si="8"/>
        <v>403.09133976536623</v>
      </c>
    </row>
    <row r="158" spans="1:12" ht="16.5" x14ac:dyDescent="0.25">
      <c r="A158" s="1">
        <v>79</v>
      </c>
      <c r="B158" s="1">
        <f t="shared" ca="1" si="6"/>
        <v>9.9132859757151609E-2</v>
      </c>
      <c r="C158">
        <v>5.8679746820707812E-2</v>
      </c>
      <c r="F158" s="39">
        <f t="shared" ca="1" si="7"/>
        <v>293.55390777738285</v>
      </c>
      <c r="L158" s="39">
        <f t="shared" ca="1" si="8"/>
        <v>389.30303468031889</v>
      </c>
    </row>
    <row r="159" spans="1:12" ht="16.5" x14ac:dyDescent="0.25">
      <c r="A159" s="1">
        <v>80</v>
      </c>
      <c r="B159" s="1">
        <f t="shared" ca="1" si="6"/>
        <v>9.7488140951681984E-2</v>
      </c>
      <c r="C159">
        <v>8.4735746844962712E-2</v>
      </c>
      <c r="F159" s="39">
        <f t="shared" ca="1" si="7"/>
        <v>298.87261016801585</v>
      </c>
      <c r="L159" s="39">
        <f t="shared" ca="1" si="8"/>
        <v>398.12100029130715</v>
      </c>
    </row>
    <row r="160" spans="1:12" ht="16.5" x14ac:dyDescent="0.25">
      <c r="A160" s="1">
        <v>81</v>
      </c>
      <c r="B160" s="1">
        <f t="shared" ca="1" si="6"/>
        <v>8.6470913273684363E-2</v>
      </c>
      <c r="C160">
        <v>0.10495813416520833</v>
      </c>
      <c r="F160" s="39">
        <f t="shared" ca="1" si="7"/>
        <v>335.09173050862228</v>
      </c>
      <c r="L160" s="39">
        <f t="shared" ca="1" si="8"/>
        <v>458.44324403486235</v>
      </c>
    </row>
    <row r="161" spans="1:12" ht="16.5" x14ac:dyDescent="0.25">
      <c r="A161" s="1">
        <v>82</v>
      </c>
      <c r="B161" s="1">
        <f t="shared" ca="1" si="6"/>
        <v>-1.346159495276221E-2</v>
      </c>
      <c r="C161">
        <v>3.9340478855883709E-2</v>
      </c>
      <c r="F161" s="39">
        <f t="shared" ca="1" si="7"/>
        <v>718.0703755819527</v>
      </c>
      <c r="L161" s="39">
        <f t="shared" ca="1" si="8"/>
        <v>1124.0478720131146</v>
      </c>
    </row>
    <row r="162" spans="1:12" ht="16.5" x14ac:dyDescent="0.25">
      <c r="A162" s="1">
        <v>83</v>
      </c>
      <c r="B162" s="1">
        <f t="shared" ca="1" si="6"/>
        <v>5.3864737661483295E-2</v>
      </c>
      <c r="C162">
        <v>0.10912572310582619</v>
      </c>
      <c r="F162" s="39">
        <f t="shared" ca="1" si="7"/>
        <v>448.66774864519539</v>
      </c>
      <c r="L162" s="39">
        <f t="shared" ca="1" si="8"/>
        <v>650.64048427886519</v>
      </c>
    </row>
    <row r="163" spans="1:12" ht="16.5" x14ac:dyDescent="0.25">
      <c r="A163" s="1">
        <v>84</v>
      </c>
      <c r="B163" s="1">
        <f t="shared" ca="1" si="6"/>
        <v>0.21143619459261268</v>
      </c>
      <c r="C163">
        <v>-5.3529389384202652E-2</v>
      </c>
      <c r="F163" s="39">
        <f t="shared" ca="1" si="7"/>
        <v>-22.656394693715811</v>
      </c>
      <c r="L163" s="39">
        <f t="shared" ca="1" si="8"/>
        <v>-115.54755656408406</v>
      </c>
    </row>
    <row r="164" spans="1:12" ht="16.5" x14ac:dyDescent="0.25">
      <c r="A164" s="1">
        <v>85</v>
      </c>
      <c r="B164" s="1">
        <f t="shared" ca="1" si="6"/>
        <v>0.10603113686679838</v>
      </c>
      <c r="C164">
        <v>0.1141129941464169</v>
      </c>
      <c r="F164" s="39">
        <f t="shared" ca="1" si="7"/>
        <v>271.49019595665777</v>
      </c>
      <c r="L164" s="39">
        <f t="shared" ca="1" si="8"/>
        <v>352.8341441900252</v>
      </c>
    </row>
    <row r="165" spans="1:12" ht="16.5" x14ac:dyDescent="0.25">
      <c r="A165" s="1">
        <v>86</v>
      </c>
      <c r="B165" s="1">
        <f t="shared" ca="1" si="6"/>
        <v>2.9929951882972372E-2</v>
      </c>
      <c r="C165">
        <v>2.3405222186120234E-2</v>
      </c>
      <c r="F165" s="39">
        <f t="shared" ca="1" si="7"/>
        <v>538.65547130043751</v>
      </c>
      <c r="L165" s="39">
        <f t="shared" ca="1" si="8"/>
        <v>806.09726130657782</v>
      </c>
    </row>
    <row r="166" spans="1:12" ht="16.5" x14ac:dyDescent="0.25">
      <c r="A166" s="1">
        <v>87</v>
      </c>
      <c r="B166" s="1">
        <f t="shared" ca="1" si="6"/>
        <v>0.11378271378565839</v>
      </c>
      <c r="C166">
        <v>8.7264255802729174E-2</v>
      </c>
      <c r="F166" s="39">
        <f t="shared" ca="1" si="7"/>
        <v>247.15820432832743</v>
      </c>
      <c r="L166" s="39">
        <f t="shared" ca="1" si="8"/>
        <v>312.82464325279261</v>
      </c>
    </row>
    <row r="167" spans="1:12" ht="16.5" x14ac:dyDescent="0.25">
      <c r="A167" s="1">
        <v>88</v>
      </c>
      <c r="B167" s="1">
        <f t="shared" ca="1" si="6"/>
        <v>5.648521093508313E-2</v>
      </c>
      <c r="C167">
        <v>6.2376160662388436E-2</v>
      </c>
      <c r="F167" s="39">
        <f t="shared" ca="1" si="7"/>
        <v>439.16879000486915</v>
      </c>
      <c r="L167" s="39">
        <f t="shared" ca="1" si="8"/>
        <v>634.39250345810069</v>
      </c>
    </row>
    <row r="168" spans="1:12" ht="16.5" x14ac:dyDescent="0.25">
      <c r="A168" s="1">
        <v>89</v>
      </c>
      <c r="B168" s="1">
        <f t="shared" ca="1" si="6"/>
        <v>-1.9888268022017652E-2</v>
      </c>
      <c r="C168">
        <v>6.4363520272600006E-2</v>
      </c>
      <c r="F168" s="39">
        <f t="shared" ca="1" si="7"/>
        <v>746.61116918766902</v>
      </c>
      <c r="L168" s="39">
        <f t="shared" ca="1" si="8"/>
        <v>1175.5757979478094</v>
      </c>
    </row>
    <row r="169" spans="1:12" ht="16.5" x14ac:dyDescent="0.25">
      <c r="A169" s="1">
        <v>90</v>
      </c>
      <c r="B169" s="1">
        <f t="shared" ca="1" si="6"/>
        <v>0.18539339632804541</v>
      </c>
      <c r="C169">
        <v>9.5294525585195522E-2</v>
      </c>
      <c r="F169" s="39">
        <f t="shared" ca="1" si="7"/>
        <v>43.235227241139455</v>
      </c>
      <c r="L169" s="39">
        <f t="shared" ca="1" si="8"/>
        <v>-13.602228136965323</v>
      </c>
    </row>
    <row r="170" spans="1:12" ht="16.5" x14ac:dyDescent="0.25">
      <c r="A170" s="1">
        <v>91</v>
      </c>
      <c r="B170" s="1">
        <f t="shared" ca="1" si="6"/>
        <v>0.16419654510047488</v>
      </c>
      <c r="C170">
        <v>0.13590880730072968</v>
      </c>
      <c r="F170" s="39">
        <f t="shared" ca="1" si="7"/>
        <v>99.934094311540321</v>
      </c>
      <c r="L170" s="39">
        <f t="shared" ca="1" si="8"/>
        <v>75.527635382999051</v>
      </c>
    </row>
    <row r="171" spans="1:12" ht="16.5" x14ac:dyDescent="0.25">
      <c r="A171" s="1">
        <v>92</v>
      </c>
      <c r="B171" s="1">
        <f t="shared" ca="1" si="6"/>
        <v>2.7948526459628739E-2</v>
      </c>
      <c r="C171">
        <v>8.6640342437312945E-2</v>
      </c>
      <c r="F171" s="39">
        <f t="shared" ca="1" si="7"/>
        <v>546.37554370864746</v>
      </c>
      <c r="L171" s="39">
        <f t="shared" ca="1" si="8"/>
        <v>819.56142050089147</v>
      </c>
    </row>
    <row r="172" spans="1:12" ht="16.5" x14ac:dyDescent="0.25">
      <c r="A172" s="1">
        <v>93</v>
      </c>
      <c r="B172" s="1">
        <f t="shared" ca="1" si="6"/>
        <v>6.6361061176731018E-2</v>
      </c>
      <c r="C172">
        <v>6.15702346697799E-2</v>
      </c>
      <c r="F172" s="39">
        <f t="shared" ca="1" si="7"/>
        <v>403.96753280555049</v>
      </c>
      <c r="L172" s="39">
        <f t="shared" ca="1" si="8"/>
        <v>574.45453290298201</v>
      </c>
    </row>
    <row r="173" spans="1:12" ht="16.5" x14ac:dyDescent="0.25">
      <c r="A173" s="1">
        <v>94</v>
      </c>
      <c r="B173" s="1">
        <f t="shared" ca="1" si="6"/>
        <v>1.037554772224239E-2</v>
      </c>
      <c r="C173">
        <v>5.9138473210914533E-2</v>
      </c>
      <c r="F173" s="39">
        <f t="shared" ca="1" si="7"/>
        <v>616.76003967045699</v>
      </c>
      <c r="L173" s="39">
        <f t="shared" ca="1" si="8"/>
        <v>943.2258038014993</v>
      </c>
    </row>
    <row r="174" spans="1:12" ht="16.5" x14ac:dyDescent="0.25">
      <c r="A174" s="1">
        <v>95</v>
      </c>
      <c r="B174" s="1">
        <f t="shared" ca="1" si="6"/>
        <v>8.2083947323909112E-2</v>
      </c>
      <c r="C174">
        <v>0.12451488505059388</v>
      </c>
      <c r="F174" s="39">
        <f t="shared" ca="1" si="7"/>
        <v>349.80651430164789</v>
      </c>
      <c r="L174" s="39">
        <f t="shared" ca="1" si="8"/>
        <v>483.08594501842254</v>
      </c>
    </row>
    <row r="175" spans="1:12" ht="16.5" x14ac:dyDescent="0.25">
      <c r="A175" s="1">
        <v>96</v>
      </c>
      <c r="B175" s="1">
        <f t="shared" ca="1" si="6"/>
        <v>-2.277280735184517E-3</v>
      </c>
      <c r="C175">
        <v>2.2301436678681064E-2</v>
      </c>
      <c r="F175" s="39">
        <f t="shared" ca="1" si="7"/>
        <v>669.66468233019941</v>
      </c>
      <c r="L175" s="39">
        <f t="shared" ca="1" si="8"/>
        <v>1037.2423130922507</v>
      </c>
    </row>
    <row r="176" spans="1:12" ht="16.5" x14ac:dyDescent="0.25">
      <c r="A176" s="1">
        <v>97</v>
      </c>
      <c r="B176" s="1">
        <f t="shared" ca="1" si="6"/>
        <v>1.1177781975656595E-2</v>
      </c>
      <c r="C176">
        <v>4.5497871673724155E-2</v>
      </c>
      <c r="F176" s="39">
        <f t="shared" ca="1" si="7"/>
        <v>613.46995742144736</v>
      </c>
      <c r="L176" s="39">
        <f t="shared" ca="1" si="8"/>
        <v>937.40894032288406</v>
      </c>
    </row>
    <row r="177" spans="1:12" ht="16.5" x14ac:dyDescent="0.25">
      <c r="A177" s="1">
        <v>98</v>
      </c>
      <c r="B177" s="1">
        <f t="shared" ca="1" si="6"/>
        <v>4.3160045767823549E-2</v>
      </c>
      <c r="C177">
        <v>1.1395003588695551E-2</v>
      </c>
      <c r="F177" s="39">
        <f t="shared" ca="1" si="7"/>
        <v>488.18288680327896</v>
      </c>
      <c r="L177" s="39">
        <f t="shared" ca="1" si="8"/>
        <v>718.56477727307174</v>
      </c>
    </row>
    <row r="178" spans="1:12" ht="16.5" x14ac:dyDescent="0.25">
      <c r="A178" s="1">
        <v>99</v>
      </c>
      <c r="B178" s="1">
        <f t="shared" ca="1" si="6"/>
        <v>4.3208104283896737E-2</v>
      </c>
      <c r="C178">
        <v>2.756684256775771E-2</v>
      </c>
      <c r="F178" s="39">
        <f t="shared" ca="1" si="7"/>
        <v>488.00288511270219</v>
      </c>
      <c r="L178" s="39">
        <f t="shared" ca="1" si="8"/>
        <v>718.25415219075012</v>
      </c>
    </row>
    <row r="179" spans="1:12" ht="16.5" x14ac:dyDescent="0.25">
      <c r="A179" s="1">
        <v>100</v>
      </c>
      <c r="B179" s="1">
        <f t="shared" ca="1" si="6"/>
        <v>0.11079164657713937</v>
      </c>
      <c r="C179">
        <v>4.8943833411904059E-2</v>
      </c>
      <c r="F179" s="39">
        <f t="shared" ca="1" si="7"/>
        <v>256.49009898443501</v>
      </c>
      <c r="L179" s="39">
        <f t="shared" ca="1" si="8"/>
        <v>328.14324447510489</v>
      </c>
    </row>
    <row r="180" spans="1:12" x14ac:dyDescent="0.25">
      <c r="E180" s="1" t="s">
        <v>170</v>
      </c>
      <c r="F180" s="39">
        <f ca="1">AVERAGE(F80:F179)</f>
        <v>414.16069881200383</v>
      </c>
      <c r="G180" s="39"/>
      <c r="H180" s="39"/>
      <c r="I180" s="39"/>
      <c r="J180" s="39"/>
      <c r="K180" s="39"/>
      <c r="L180" s="39">
        <f t="shared" ref="L180" ca="1" si="9">AVERAGE(L80:L179)</f>
        <v>597.9916084061399</v>
      </c>
    </row>
    <row r="181" spans="1:12" x14ac:dyDescent="0.25">
      <c r="E181" s="1" t="s">
        <v>169</v>
      </c>
      <c r="F181" s="46">
        <f ca="1">STDEV(F80:F180)</f>
        <v>188.52571880670993</v>
      </c>
      <c r="L181" s="47">
        <f t="shared" ref="L181" ca="1" si="10">STDEV(L80:L180)</f>
        <v>320.62457555486094</v>
      </c>
    </row>
    <row r="182" spans="1:12" x14ac:dyDescent="0.25">
      <c r="L182" s="1" t="s">
        <v>171</v>
      </c>
    </row>
    <row r="185" spans="1:12" ht="20.25" x14ac:dyDescent="0.25">
      <c r="A185" s="8" t="s">
        <v>59</v>
      </c>
    </row>
    <row r="186" spans="1:12" x14ac:dyDescent="0.25">
      <c r="A186" s="9"/>
    </row>
    <row r="187" spans="1:12" x14ac:dyDescent="0.25">
      <c r="A187" s="1" t="s">
        <v>30</v>
      </c>
    </row>
    <row r="188" spans="1:12" x14ac:dyDescent="0.25">
      <c r="A188" s="1" t="s">
        <v>31</v>
      </c>
    </row>
    <row r="189" spans="1:12" x14ac:dyDescent="0.25">
      <c r="A189" s="1" t="s">
        <v>32</v>
      </c>
    </row>
    <row r="190" spans="1:12" x14ac:dyDescent="0.25">
      <c r="A190" s="1" t="s">
        <v>33</v>
      </c>
    </row>
    <row r="191" spans="1:12" x14ac:dyDescent="0.25">
      <c r="A191" s="9"/>
    </row>
    <row r="192" spans="1:12" x14ac:dyDescent="0.25">
      <c r="A192" s="1" t="s">
        <v>34</v>
      </c>
    </row>
    <row r="193" spans="1:7" x14ac:dyDescent="0.25">
      <c r="A193" s="1" t="s">
        <v>35</v>
      </c>
    </row>
    <row r="194" spans="1:7" x14ac:dyDescent="0.25">
      <c r="A194" s="1" t="s">
        <v>36</v>
      </c>
      <c r="G194" s="1" t="s">
        <v>37</v>
      </c>
    </row>
    <row r="195" spans="1:7" x14ac:dyDescent="0.25">
      <c r="A195" s="1" t="s">
        <v>38</v>
      </c>
    </row>
    <row r="196" spans="1:7" x14ac:dyDescent="0.25">
      <c r="A196" s="1" t="s">
        <v>39</v>
      </c>
    </row>
    <row r="197" spans="1:7" x14ac:dyDescent="0.25">
      <c r="A197" s="1" t="s">
        <v>40</v>
      </c>
    </row>
    <row r="198" spans="1:7" x14ac:dyDescent="0.25">
      <c r="A198" s="1" t="s">
        <v>41</v>
      </c>
    </row>
    <row r="200" spans="1:7" x14ac:dyDescent="0.25">
      <c r="A200" s="6" t="s">
        <v>4</v>
      </c>
      <c r="B200" s="1">
        <v>0</v>
      </c>
      <c r="C200" s="1">
        <v>1</v>
      </c>
      <c r="D200" s="1">
        <v>2</v>
      </c>
      <c r="E200" s="1">
        <v>3</v>
      </c>
    </row>
    <row r="201" spans="1:7" x14ac:dyDescent="0.25">
      <c r="A201" s="1" t="s">
        <v>152</v>
      </c>
      <c r="B201" s="1">
        <v>-2000</v>
      </c>
      <c r="C201" s="1">
        <v>1400</v>
      </c>
      <c r="D201" s="1">
        <v>950</v>
      </c>
      <c r="E201" s="1">
        <v>310</v>
      </c>
    </row>
    <row r="202" spans="1:7" x14ac:dyDescent="0.25">
      <c r="A202" s="1" t="s">
        <v>172</v>
      </c>
      <c r="B202" s="4">
        <f>IRR(B201:E201)</f>
        <v>0.20230236270705038</v>
      </c>
    </row>
    <row r="204" spans="1:7" x14ac:dyDescent="0.25">
      <c r="A204" s="6" t="s">
        <v>5</v>
      </c>
      <c r="B204" s="1">
        <v>0</v>
      </c>
      <c r="C204" s="1">
        <v>1</v>
      </c>
      <c r="D204" s="1">
        <v>2</v>
      </c>
      <c r="E204" s="1">
        <v>3</v>
      </c>
    </row>
    <row r="205" spans="1:7" x14ac:dyDescent="0.25">
      <c r="A205" s="1" t="s">
        <v>152</v>
      </c>
      <c r="B205" s="1">
        <v>-2000</v>
      </c>
      <c r="C205" s="1">
        <v>200</v>
      </c>
      <c r="D205" s="1">
        <v>1120</v>
      </c>
      <c r="E205" s="1">
        <v>1700</v>
      </c>
    </row>
    <row r="206" spans="1:7" x14ac:dyDescent="0.25">
      <c r="A206" s="1" t="s">
        <v>172</v>
      </c>
      <c r="B206" s="4">
        <f>IRR(B205:E205)</f>
        <v>0.18206828213395565</v>
      </c>
    </row>
    <row r="216" spans="1:4" ht="20.25" x14ac:dyDescent="0.25">
      <c r="A216" s="8" t="s">
        <v>60</v>
      </c>
    </row>
    <row r="217" spans="1:4" x14ac:dyDescent="0.25">
      <c r="A217" s="1" t="s">
        <v>42</v>
      </c>
    </row>
    <row r="218" spans="1:4" x14ac:dyDescent="0.25">
      <c r="A218" s="1" t="s">
        <v>43</v>
      </c>
    </row>
    <row r="219" spans="1:4" x14ac:dyDescent="0.25">
      <c r="A219" s="1" t="s">
        <v>44</v>
      </c>
    </row>
    <row r="220" spans="1:4" x14ac:dyDescent="0.25">
      <c r="A220" s="1" t="s">
        <v>45</v>
      </c>
      <c r="D220" s="1" t="s">
        <v>46</v>
      </c>
    </row>
    <row r="221" spans="1:4" x14ac:dyDescent="0.25">
      <c r="A221" s="1" t="s">
        <v>47</v>
      </c>
      <c r="D221" s="1" t="s">
        <v>48</v>
      </c>
    </row>
    <row r="222" spans="1:4" x14ac:dyDescent="0.25">
      <c r="A222" s="1" t="s">
        <v>49</v>
      </c>
      <c r="D222" s="1" t="s">
        <v>50</v>
      </c>
    </row>
    <row r="223" spans="1:4" x14ac:dyDescent="0.25">
      <c r="A223" s="1" t="s">
        <v>51</v>
      </c>
      <c r="D223" s="1" t="s">
        <v>52</v>
      </c>
    </row>
    <row r="225" spans="1:10" x14ac:dyDescent="0.25">
      <c r="A225" s="44" t="s">
        <v>53</v>
      </c>
      <c r="B225" s="44"/>
      <c r="C225" s="44"/>
      <c r="D225" s="44"/>
    </row>
    <row r="226" spans="1:10" x14ac:dyDescent="0.25">
      <c r="A226" s="44" t="s">
        <v>54</v>
      </c>
      <c r="B226" s="44"/>
      <c r="C226" s="44"/>
      <c r="D226" s="44"/>
    </row>
    <row r="227" spans="1:10" x14ac:dyDescent="0.25">
      <c r="A227" s="44" t="s">
        <v>55</v>
      </c>
      <c r="B227" s="44"/>
      <c r="C227" s="44"/>
      <c r="D227" s="44"/>
    </row>
    <row r="229" spans="1:10" x14ac:dyDescent="0.25">
      <c r="E229" s="1" t="s">
        <v>45</v>
      </c>
    </row>
    <row r="230" spans="1:10" x14ac:dyDescent="0.25">
      <c r="B230" s="1" t="s">
        <v>45</v>
      </c>
      <c r="C230" s="40">
        <f>E230/200</f>
        <v>0.12</v>
      </c>
      <c r="E230" s="1">
        <v>24</v>
      </c>
    </row>
    <row r="231" spans="1:10" x14ac:dyDescent="0.25">
      <c r="A231" s="6" t="s">
        <v>4</v>
      </c>
      <c r="B231" s="1">
        <v>0</v>
      </c>
      <c r="C231" s="1">
        <v>1</v>
      </c>
      <c r="D231" s="1">
        <v>2</v>
      </c>
      <c r="E231" s="1">
        <v>3</v>
      </c>
      <c r="G231" s="1" t="s">
        <v>173</v>
      </c>
      <c r="I231" s="1" t="s">
        <v>49</v>
      </c>
    </row>
    <row r="232" spans="1:10" x14ac:dyDescent="0.25">
      <c r="A232" s="1" t="s">
        <v>152</v>
      </c>
      <c r="B232" s="1">
        <f>-100*G232</f>
        <v>-2500</v>
      </c>
      <c r="C232" s="1">
        <f>J232*50+500</f>
        <v>1800</v>
      </c>
      <c r="D232" s="1">
        <v>950</v>
      </c>
      <c r="E232" s="1">
        <v>310</v>
      </c>
      <c r="G232" s="1">
        <v>25</v>
      </c>
      <c r="J232" s="1">
        <v>26</v>
      </c>
    </row>
    <row r="233" spans="1:10" x14ac:dyDescent="0.25">
      <c r="A233" s="1" t="s">
        <v>162</v>
      </c>
      <c r="B233" s="45">
        <f>NPV(C230,C232:E232)+B232</f>
        <v>85.128917638483927</v>
      </c>
    </row>
    <row r="235" spans="1:10" x14ac:dyDescent="0.25">
      <c r="A235" s="6" t="s">
        <v>5</v>
      </c>
      <c r="B235" s="1">
        <v>0</v>
      </c>
      <c r="C235" s="1">
        <v>1</v>
      </c>
      <c r="D235" s="1">
        <v>2</v>
      </c>
      <c r="E235" s="1">
        <v>3</v>
      </c>
      <c r="I235" s="1" t="s">
        <v>51</v>
      </c>
    </row>
    <row r="236" spans="1:10" x14ac:dyDescent="0.25">
      <c r="A236" s="1" t="s">
        <v>152</v>
      </c>
      <c r="B236" s="1">
        <f>-100*G232</f>
        <v>-2500</v>
      </c>
      <c r="C236" s="1">
        <v>200</v>
      </c>
      <c r="D236" s="1">
        <v>1120</v>
      </c>
      <c r="E236" s="1">
        <f>100*J236</f>
        <v>1500</v>
      </c>
      <c r="J236" s="1">
        <v>15</v>
      </c>
    </row>
    <row r="237" spans="1:10" x14ac:dyDescent="0.25">
      <c r="A237" s="1" t="s">
        <v>162</v>
      </c>
      <c r="B237" s="45">
        <f>NPV(C230,C236:E236)+B236</f>
        <v>-360.90105685131266</v>
      </c>
    </row>
    <row r="239" spans="1:10" x14ac:dyDescent="0.25">
      <c r="B239" s="1" t="str">
        <f>IF(B233&gt;B237,"GREAT","")</f>
        <v>GREAT</v>
      </c>
    </row>
  </sheetData>
  <mergeCells count="1">
    <mergeCell ref="A3:I9"/>
  </mergeCells>
  <phoneticPr fontId="3" type="noConversion"/>
  <conditionalFormatting sqref="B239">
    <cfRule type="containsText" dxfId="2" priority="1" operator="containsText" text="GREAT">
      <formula>NOT(ISERROR(SEARCH("GREAT",B239)))</formula>
    </cfRule>
    <cfRule type="containsText" dxfId="1" priority="2" operator="containsText" text="GREAT">
      <formula>NOT(ISERROR(SEARCH("GREAT",B239)))</formula>
    </cfRule>
    <cfRule type="cellIs" dxfId="0" priority="3" operator="equal">
      <formula>"GREAT"</formula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9217" r:id="rId3" name="ScrollBar1">
          <controlPr defaultSize="0" autoLine="0" linkedCell="M31" r:id="rId4">
            <anchor moveWithCells="1">
              <from>
                <xdr:col>13</xdr:col>
                <xdr:colOff>9525</xdr:colOff>
                <xdr:row>29</xdr:row>
                <xdr:rowOff>171450</xdr:rowOff>
              </from>
              <to>
                <xdr:col>13</xdr:col>
                <xdr:colOff>619125</xdr:colOff>
                <xdr:row>30</xdr:row>
                <xdr:rowOff>171450</xdr:rowOff>
              </to>
            </anchor>
          </controlPr>
        </control>
      </mc:Choice>
      <mc:Fallback>
        <control shapeId="9217" r:id="rId3" name="ScrollBar1"/>
      </mc:Fallback>
    </mc:AlternateContent>
    <mc:AlternateContent xmlns:mc="http://schemas.openxmlformats.org/markup-compatibility/2006">
      <mc:Choice Requires="x14">
        <control shapeId="9218" r:id="rId5" name="ScrollBar2">
          <controlPr defaultSize="0" autoLine="0" autoPict="0" linkedCell="E230" r:id="rId6">
            <anchor moveWithCells="1">
              <from>
                <xdr:col>2</xdr:col>
                <xdr:colOff>600075</xdr:colOff>
                <xdr:row>228</xdr:row>
                <xdr:rowOff>161925</xdr:rowOff>
              </from>
              <to>
                <xdr:col>3</xdr:col>
                <xdr:colOff>657225</xdr:colOff>
                <xdr:row>229</xdr:row>
                <xdr:rowOff>180975</xdr:rowOff>
              </to>
            </anchor>
          </controlPr>
        </control>
      </mc:Choice>
      <mc:Fallback>
        <control shapeId="9218" r:id="rId5" name="ScrollBar2"/>
      </mc:Fallback>
    </mc:AlternateContent>
    <mc:AlternateContent xmlns:mc="http://schemas.openxmlformats.org/markup-compatibility/2006">
      <mc:Choice Requires="x14">
        <control shapeId="9219" r:id="rId7" name="ScrollBar3">
          <controlPr defaultSize="0" autoLine="0" linkedCell="G232" r:id="rId8">
            <anchor moveWithCells="1">
              <from>
                <xdr:col>5</xdr:col>
                <xdr:colOff>38100</xdr:colOff>
                <xdr:row>230</xdr:row>
                <xdr:rowOff>190500</xdr:rowOff>
              </from>
              <to>
                <xdr:col>5</xdr:col>
                <xdr:colOff>885825</xdr:colOff>
                <xdr:row>232</xdr:row>
                <xdr:rowOff>9525</xdr:rowOff>
              </to>
            </anchor>
          </controlPr>
        </control>
      </mc:Choice>
      <mc:Fallback>
        <control shapeId="9219" r:id="rId7" name="ScrollBar3"/>
      </mc:Fallback>
    </mc:AlternateContent>
    <mc:AlternateContent xmlns:mc="http://schemas.openxmlformats.org/markup-compatibility/2006">
      <mc:Choice Requires="x14">
        <control shapeId="9220" r:id="rId9" name="ScrollBar4">
          <controlPr defaultSize="0" autoLine="0" linkedCell="J232" r:id="rId10">
            <anchor moveWithCells="1">
              <from>
                <xdr:col>8</xdr:col>
                <xdr:colOff>9525</xdr:colOff>
                <xdr:row>231</xdr:row>
                <xdr:rowOff>9525</xdr:rowOff>
              </from>
              <to>
                <xdr:col>8</xdr:col>
                <xdr:colOff>609600</xdr:colOff>
                <xdr:row>231</xdr:row>
                <xdr:rowOff>190500</xdr:rowOff>
              </to>
            </anchor>
          </controlPr>
        </control>
      </mc:Choice>
      <mc:Fallback>
        <control shapeId="9220" r:id="rId9" name="ScrollBar4"/>
      </mc:Fallback>
    </mc:AlternateContent>
    <mc:AlternateContent xmlns:mc="http://schemas.openxmlformats.org/markup-compatibility/2006">
      <mc:Choice Requires="x14">
        <control shapeId="9221" r:id="rId11" name="ScrollBar5">
          <controlPr defaultSize="0" autoLine="0" linkedCell="J236" r:id="rId12">
            <anchor moveWithCells="1">
              <from>
                <xdr:col>8</xdr:col>
                <xdr:colOff>9525</xdr:colOff>
                <xdr:row>235</xdr:row>
                <xdr:rowOff>0</xdr:rowOff>
              </from>
              <to>
                <xdr:col>8</xdr:col>
                <xdr:colOff>628650</xdr:colOff>
                <xdr:row>236</xdr:row>
                <xdr:rowOff>0</xdr:rowOff>
              </to>
            </anchor>
          </controlPr>
        </control>
      </mc:Choice>
      <mc:Fallback>
        <control shapeId="9221" r:id="rId11" name="ScrollBar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5"/>
  <dimension ref="A1:E50"/>
  <sheetViews>
    <sheetView topLeftCell="A31" workbookViewId="0">
      <selection activeCell="B50" sqref="B50"/>
    </sheetView>
  </sheetViews>
  <sheetFormatPr defaultColWidth="9" defaultRowHeight="15.75" x14ac:dyDescent="0.25"/>
  <cols>
    <col min="1" max="1" width="19.5" style="1" customWidth="1"/>
    <col min="2" max="16384" width="9" style="1"/>
  </cols>
  <sheetData>
    <row r="1" spans="1:1" x14ac:dyDescent="0.25">
      <c r="A1" s="1" t="s">
        <v>90</v>
      </c>
    </row>
    <row r="2" spans="1:1" x14ac:dyDescent="0.25">
      <c r="A2" s="1" t="s">
        <v>91</v>
      </c>
    </row>
    <row r="22" spans="1:4" x14ac:dyDescent="0.25">
      <c r="A22" s="1" t="s">
        <v>69</v>
      </c>
    </row>
    <row r="23" spans="1:4" x14ac:dyDescent="0.25">
      <c r="A23" s="1" t="s">
        <v>70</v>
      </c>
    </row>
    <row r="24" spans="1:4" x14ac:dyDescent="0.25">
      <c r="B24" s="1" t="s">
        <v>79</v>
      </c>
      <c r="C24" s="1" t="s">
        <v>78</v>
      </c>
      <c r="D24" s="1" t="s">
        <v>80</v>
      </c>
    </row>
    <row r="25" spans="1:4" x14ac:dyDescent="0.25">
      <c r="A25" s="1" t="s">
        <v>71</v>
      </c>
      <c r="B25" s="1">
        <f>10000*5</f>
        <v>50000</v>
      </c>
      <c r="C25" s="1">
        <f>10000*5</f>
        <v>50000</v>
      </c>
      <c r="D25" s="1">
        <f>10000*5</f>
        <v>50000</v>
      </c>
    </row>
    <row r="26" spans="1:4" x14ac:dyDescent="0.25">
      <c r="A26" s="1" t="s">
        <v>72</v>
      </c>
      <c r="B26" s="1">
        <f>10000*3</f>
        <v>30000</v>
      </c>
      <c r="C26" s="1">
        <f t="shared" ref="C26:D26" si="0">10000*3</f>
        <v>30000</v>
      </c>
      <c r="D26" s="1">
        <f t="shared" si="0"/>
        <v>30000</v>
      </c>
    </row>
    <row r="27" spans="1:4" x14ac:dyDescent="0.25">
      <c r="A27" s="1" t="s">
        <v>73</v>
      </c>
      <c r="B27" s="1">
        <v>5000</v>
      </c>
      <c r="C27" s="1">
        <v>5000</v>
      </c>
      <c r="D27" s="1">
        <v>5000</v>
      </c>
    </row>
    <row r="28" spans="1:4" x14ac:dyDescent="0.25">
      <c r="A28" s="1" t="s">
        <v>74</v>
      </c>
      <c r="B28" s="1">
        <v>7000</v>
      </c>
      <c r="C28" s="1">
        <v>7000</v>
      </c>
      <c r="D28" s="1">
        <v>7000</v>
      </c>
    </row>
    <row r="29" spans="1:4" x14ac:dyDescent="0.25">
      <c r="A29" s="1" t="s">
        <v>75</v>
      </c>
      <c r="B29" s="1">
        <f>B25-B26-B27-B28</f>
        <v>8000</v>
      </c>
      <c r="C29" s="1">
        <f t="shared" ref="C29:D29" si="1">C25-C26-C27-C28</f>
        <v>8000</v>
      </c>
      <c r="D29" s="1">
        <f t="shared" si="1"/>
        <v>8000</v>
      </c>
    </row>
    <row r="30" spans="1:4" x14ac:dyDescent="0.25">
      <c r="A30" s="1" t="s">
        <v>76</v>
      </c>
      <c r="B30" s="13">
        <f>B29*0.34</f>
        <v>2720</v>
      </c>
      <c r="C30" s="13">
        <f t="shared" ref="C30:D30" si="2">C29*0.34</f>
        <v>2720</v>
      </c>
      <c r="D30" s="13">
        <f t="shared" si="2"/>
        <v>2720</v>
      </c>
    </row>
    <row r="31" spans="1:4" ht="16.5" thickBot="1" x14ac:dyDescent="0.3">
      <c r="A31" s="1" t="s">
        <v>77</v>
      </c>
      <c r="B31" s="14">
        <f>B29-B30</f>
        <v>5280</v>
      </c>
      <c r="C31" s="14">
        <f t="shared" ref="C31:D31" si="3">C29-C30</f>
        <v>5280</v>
      </c>
      <c r="D31" s="14">
        <f t="shared" si="3"/>
        <v>5280</v>
      </c>
    </row>
    <row r="32" spans="1:4" ht="16.5" thickTop="1" x14ac:dyDescent="0.25"/>
    <row r="33" spans="1:5" x14ac:dyDescent="0.25">
      <c r="A33" s="1" t="s">
        <v>81</v>
      </c>
    </row>
    <row r="34" spans="1:5" x14ac:dyDescent="0.25">
      <c r="A34" s="1" t="s">
        <v>82</v>
      </c>
      <c r="D34" s="44">
        <f>C29+C28-C30</f>
        <v>12280</v>
      </c>
      <c r="E34" s="1">
        <f>3*(B29+B28-B30)</f>
        <v>36840</v>
      </c>
    </row>
    <row r="36" spans="1:5" x14ac:dyDescent="0.25">
      <c r="A36" s="1" t="s">
        <v>83</v>
      </c>
    </row>
    <row r="37" spans="1:5" x14ac:dyDescent="0.25">
      <c r="A37" s="1" t="s">
        <v>84</v>
      </c>
      <c r="B37" s="1">
        <v>0</v>
      </c>
      <c r="C37" s="1">
        <v>1</v>
      </c>
      <c r="D37" s="1">
        <v>2</v>
      </c>
      <c r="E37" s="1">
        <v>3</v>
      </c>
    </row>
    <row r="38" spans="1:5" x14ac:dyDescent="0.25">
      <c r="A38" s="1" t="s">
        <v>85</v>
      </c>
      <c r="C38" s="1">
        <f>B29+B28-B30</f>
        <v>12280</v>
      </c>
      <c r="D38" s="1">
        <f t="shared" ref="D38:E38" si="4">C29+C28-C30</f>
        <v>12280</v>
      </c>
      <c r="E38" s="1">
        <f t="shared" si="4"/>
        <v>12280</v>
      </c>
    </row>
    <row r="39" spans="1:5" x14ac:dyDescent="0.25">
      <c r="A39" s="1" t="s">
        <v>86</v>
      </c>
      <c r="B39" s="1">
        <v>-10000</v>
      </c>
      <c r="E39" s="1">
        <v>10000</v>
      </c>
    </row>
    <row r="40" spans="1:5" x14ac:dyDescent="0.25">
      <c r="A40" s="1" t="s">
        <v>87</v>
      </c>
      <c r="B40" s="1">
        <v>-21000</v>
      </c>
    </row>
    <row r="41" spans="1:5" x14ac:dyDescent="0.25">
      <c r="A41" s="1" t="s">
        <v>88</v>
      </c>
      <c r="B41" s="1">
        <f>B39+B40</f>
        <v>-31000</v>
      </c>
      <c r="C41" s="1">
        <f>SUM(C38:C40)</f>
        <v>12280</v>
      </c>
      <c r="D41" s="1">
        <f t="shared" ref="D41:E41" si="5">SUM(D38:D40)</f>
        <v>12280</v>
      </c>
      <c r="E41" s="1">
        <f t="shared" si="5"/>
        <v>22280</v>
      </c>
    </row>
    <row r="43" spans="1:5" x14ac:dyDescent="0.25">
      <c r="A43" s="1" t="s">
        <v>89</v>
      </c>
    </row>
    <row r="45" spans="1:5" x14ac:dyDescent="0.25">
      <c r="A45" s="1" t="s">
        <v>84</v>
      </c>
      <c r="B45" s="1">
        <v>0</v>
      </c>
      <c r="C45" s="1">
        <v>1</v>
      </c>
      <c r="D45" s="1">
        <v>2</v>
      </c>
      <c r="E45" s="1">
        <v>3</v>
      </c>
    </row>
    <row r="46" spans="1:5" x14ac:dyDescent="0.25">
      <c r="A46" s="1" t="s">
        <v>174</v>
      </c>
      <c r="B46" s="1">
        <v>-31000</v>
      </c>
      <c r="C46" s="1">
        <v>12280</v>
      </c>
      <c r="D46" s="1">
        <v>12280</v>
      </c>
      <c r="E46" s="1">
        <v>22280</v>
      </c>
    </row>
    <row r="47" spans="1:5" x14ac:dyDescent="0.25">
      <c r="A47" s="1" t="s">
        <v>175</v>
      </c>
      <c r="B47" s="1">
        <f>B46</f>
        <v>-31000</v>
      </c>
      <c r="C47" s="1">
        <f>B47+C46</f>
        <v>-18720</v>
      </c>
      <c r="D47" s="1">
        <f t="shared" ref="D47:E47" si="6">C47+D46</f>
        <v>-6440</v>
      </c>
      <c r="E47" s="1">
        <f t="shared" si="6"/>
        <v>15840</v>
      </c>
    </row>
    <row r="48" spans="1:5" x14ac:dyDescent="0.25">
      <c r="A48" s="1" t="s">
        <v>176</v>
      </c>
      <c r="E48" s="1">
        <f>D45-D47/E46</f>
        <v>2.289048473967684</v>
      </c>
    </row>
    <row r="49" spans="1:2" x14ac:dyDescent="0.25">
      <c r="A49" s="1" t="s">
        <v>177</v>
      </c>
      <c r="B49" s="39">
        <f>NPV(0.2,C46:E46)+B46</f>
        <v>654.62962962963502</v>
      </c>
    </row>
    <row r="50" spans="1:2" x14ac:dyDescent="0.25">
      <c r="A50" s="1" t="s">
        <v>178</v>
      </c>
      <c r="B50" s="4">
        <f>IRR(B46:E46)</f>
        <v>0.2121144929638934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6"/>
  <dimension ref="A1:AA50"/>
  <sheetViews>
    <sheetView zoomScale="78" zoomScaleNormal="78" workbookViewId="0">
      <selection activeCell="F13" sqref="F13"/>
    </sheetView>
  </sheetViews>
  <sheetFormatPr defaultRowHeight="16.5" x14ac:dyDescent="0.25"/>
  <cols>
    <col min="4" max="4" width="10.5" bestFit="1" customWidth="1"/>
    <col min="5" max="5" width="12.75" bestFit="1" customWidth="1"/>
    <col min="6" max="7" width="10.5" bestFit="1" customWidth="1"/>
  </cols>
  <sheetData>
    <row r="1" spans="1:27" x14ac:dyDescent="0.25">
      <c r="A1" t="s">
        <v>101</v>
      </c>
      <c r="M1" s="15"/>
      <c r="N1" s="15">
        <v>1101</v>
      </c>
      <c r="O1" s="15">
        <v>1439</v>
      </c>
      <c r="P1" s="15">
        <v>2539</v>
      </c>
      <c r="Q1" s="15">
        <v>3008</v>
      </c>
      <c r="R1" s="15">
        <v>8463</v>
      </c>
      <c r="S1" t="s">
        <v>97</v>
      </c>
      <c r="U1" t="s">
        <v>181</v>
      </c>
      <c r="Z1" t="s">
        <v>182</v>
      </c>
    </row>
    <row r="2" spans="1:27" x14ac:dyDescent="0.25">
      <c r="A2" t="s">
        <v>102</v>
      </c>
      <c r="M2" s="16"/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98</v>
      </c>
      <c r="U2" s="15">
        <v>1101</v>
      </c>
      <c r="V2" s="15">
        <v>1439</v>
      </c>
      <c r="W2" s="15">
        <v>2539</v>
      </c>
      <c r="X2" s="15">
        <v>3008</v>
      </c>
      <c r="Y2" s="15">
        <v>8463</v>
      </c>
      <c r="Z2" s="19" t="s">
        <v>182</v>
      </c>
      <c r="AA2" s="16">
        <v>1</v>
      </c>
    </row>
    <row r="3" spans="1:27" x14ac:dyDescent="0.25">
      <c r="A3" t="s">
        <v>99</v>
      </c>
      <c r="G3" s="19" t="s">
        <v>92</v>
      </c>
      <c r="H3" s="19" t="s">
        <v>93</v>
      </c>
      <c r="I3" s="19" t="s">
        <v>94</v>
      </c>
      <c r="J3" s="19" t="s">
        <v>95</v>
      </c>
      <c r="K3" s="19" t="s">
        <v>96</v>
      </c>
      <c r="M3" s="17">
        <v>201511</v>
      </c>
      <c r="N3" s="18">
        <v>-18.6464</v>
      </c>
      <c r="O3" s="18">
        <v>-5.3638000000000003</v>
      </c>
      <c r="P3" s="18">
        <v>3.0975000000000001</v>
      </c>
      <c r="Q3" s="18">
        <v>-0.78900000000000003</v>
      </c>
      <c r="R3" s="18">
        <v>-7.2405999999999997</v>
      </c>
      <c r="S3">
        <v>-2.7296999999999998</v>
      </c>
      <c r="T3">
        <f>AVERAGE(S3:S50)</f>
        <v>0.9774999999999997</v>
      </c>
      <c r="U3">
        <f>N3-0.3</f>
        <v>-18.946400000000001</v>
      </c>
      <c r="V3" s="19">
        <f t="shared" ref="V3:Z3" si="0">O3-0.3</f>
        <v>-5.6638000000000002</v>
      </c>
      <c r="W3" s="19">
        <f t="shared" si="0"/>
        <v>2.7975000000000003</v>
      </c>
      <c r="X3" s="19">
        <f t="shared" si="0"/>
        <v>-1.089</v>
      </c>
      <c r="Y3" s="19">
        <f t="shared" si="0"/>
        <v>-7.5405999999999995</v>
      </c>
      <c r="Z3" s="19">
        <f t="shared" si="0"/>
        <v>-3.0296999999999996</v>
      </c>
      <c r="AA3">
        <v>1</v>
      </c>
    </row>
    <row r="4" spans="1:27" x14ac:dyDescent="0.25">
      <c r="A4" t="s">
        <v>100</v>
      </c>
      <c r="F4" t="s">
        <v>208</v>
      </c>
      <c r="G4">
        <f>AVERAGE(N3:N50)</f>
        <v>1.1609729166666674</v>
      </c>
      <c r="H4" s="19">
        <f t="shared" ref="H4:K4" si="1">AVERAGE(O3:O50)</f>
        <v>2.8035770833333333</v>
      </c>
      <c r="I4" s="19">
        <f t="shared" si="1"/>
        <v>1.912485416666666</v>
      </c>
      <c r="J4" s="19">
        <f t="shared" si="1"/>
        <v>1.8449791666666673</v>
      </c>
      <c r="K4" s="19">
        <f t="shared" si="1"/>
        <v>2.0672354166666667</v>
      </c>
      <c r="M4" s="17">
        <v>201512</v>
      </c>
      <c r="N4" s="18">
        <v>-7.3003</v>
      </c>
      <c r="O4" s="18">
        <v>8.9072999999999993</v>
      </c>
      <c r="P4" s="18">
        <v>7.2961999999999998</v>
      </c>
      <c r="Q4" s="18">
        <v>-9.7416999999999998</v>
      </c>
      <c r="R4" s="18">
        <v>2.9535999999999998</v>
      </c>
      <c r="S4">
        <v>0.20960000000000001</v>
      </c>
      <c r="U4" s="19">
        <f t="shared" ref="U4:U50" si="2">N4-0.3</f>
        <v>-7.6002999999999998</v>
      </c>
      <c r="V4" s="19">
        <f t="shared" ref="V4:V50" si="3">O4-0.3</f>
        <v>8.6072999999999986</v>
      </c>
      <c r="W4" s="19">
        <f t="shared" ref="W4:W50" si="4">P4-0.3</f>
        <v>6.9962</v>
      </c>
      <c r="X4" s="19">
        <f t="shared" ref="X4:X50" si="5">Q4-0.3</f>
        <v>-10.041700000000001</v>
      </c>
      <c r="Y4" s="19">
        <f t="shared" ref="Y4:Y50" si="6">R4-0.3</f>
        <v>2.6536</v>
      </c>
      <c r="Z4" s="19">
        <f t="shared" ref="Z4:Z50" si="7">S4-0.3</f>
        <v>-9.039999999999998E-2</v>
      </c>
      <c r="AA4" s="19">
        <v>1</v>
      </c>
    </row>
    <row r="5" spans="1:27" x14ac:dyDescent="0.25">
      <c r="A5" t="s">
        <v>103</v>
      </c>
      <c r="M5" s="17">
        <v>201601</v>
      </c>
      <c r="N5" s="18">
        <v>-2.0000000000000001E-4</v>
      </c>
      <c r="O5" s="18">
        <v>-1.1152</v>
      </c>
      <c r="P5" s="18">
        <v>-1</v>
      </c>
      <c r="Q5" s="18">
        <v>10.132300000000001</v>
      </c>
      <c r="R5" s="18">
        <v>-12.09</v>
      </c>
      <c r="S5">
        <v>-2.3129</v>
      </c>
      <c r="U5" s="19">
        <f t="shared" si="2"/>
        <v>-0.30019999999999997</v>
      </c>
      <c r="V5" s="19">
        <f t="shared" si="3"/>
        <v>-1.4152</v>
      </c>
      <c r="W5" s="19">
        <f t="shared" si="4"/>
        <v>-1.3</v>
      </c>
      <c r="X5" s="19">
        <f t="shared" si="5"/>
        <v>9.8323</v>
      </c>
      <c r="Y5" s="19">
        <f t="shared" si="6"/>
        <v>-12.39</v>
      </c>
      <c r="Z5" s="19">
        <f t="shared" si="7"/>
        <v>-2.6128999999999998</v>
      </c>
      <c r="AA5" s="19">
        <v>1</v>
      </c>
    </row>
    <row r="6" spans="1:27" x14ac:dyDescent="0.25">
      <c r="A6" t="s">
        <v>104</v>
      </c>
      <c r="M6" s="17">
        <v>201602</v>
      </c>
      <c r="N6" s="18">
        <v>9.89</v>
      </c>
      <c r="O6" s="18">
        <v>-0.376</v>
      </c>
      <c r="P6" s="18">
        <v>-0.60609999999999997</v>
      </c>
      <c r="Q6" s="18">
        <v>1.4</v>
      </c>
      <c r="R6" s="18">
        <v>3.9628000000000001</v>
      </c>
      <c r="S6">
        <v>3.2650999999999999</v>
      </c>
      <c r="U6" s="19">
        <f t="shared" si="2"/>
        <v>9.59</v>
      </c>
      <c r="V6" s="19">
        <f t="shared" si="3"/>
        <v>-0.67599999999999993</v>
      </c>
      <c r="W6" s="19">
        <f t="shared" si="4"/>
        <v>-0.90609999999999991</v>
      </c>
      <c r="X6" s="19">
        <f t="shared" si="5"/>
        <v>1.0999999999999999</v>
      </c>
      <c r="Y6" s="19">
        <f t="shared" si="6"/>
        <v>3.6628000000000003</v>
      </c>
      <c r="Z6" s="19">
        <f t="shared" si="7"/>
        <v>2.9651000000000001</v>
      </c>
      <c r="AA6" s="19">
        <v>1</v>
      </c>
    </row>
    <row r="7" spans="1:27" ht="19.5" x14ac:dyDescent="0.25">
      <c r="A7" t="s">
        <v>105</v>
      </c>
      <c r="M7" s="17">
        <v>201603</v>
      </c>
      <c r="N7" s="18">
        <v>4.9997999999999996</v>
      </c>
      <c r="O7" s="18">
        <v>3.3963000000000001</v>
      </c>
      <c r="P7" s="18">
        <v>24.39</v>
      </c>
      <c r="Q7" s="18">
        <v>-1.5779000000000001</v>
      </c>
      <c r="R7" s="18">
        <v>-4.2603</v>
      </c>
      <c r="S7">
        <v>3.9670000000000001</v>
      </c>
      <c r="U7" s="19">
        <f t="shared" si="2"/>
        <v>4.6997999999999998</v>
      </c>
      <c r="V7" s="19">
        <f t="shared" si="3"/>
        <v>3.0963000000000003</v>
      </c>
      <c r="W7" s="19">
        <f t="shared" si="4"/>
        <v>24.09</v>
      </c>
      <c r="X7" s="19">
        <f t="shared" si="5"/>
        <v>-1.8779000000000001</v>
      </c>
      <c r="Y7" s="19">
        <f t="shared" si="6"/>
        <v>-4.5602999999999998</v>
      </c>
      <c r="Z7" s="19">
        <f t="shared" si="7"/>
        <v>3.6670000000000003</v>
      </c>
      <c r="AA7" s="19">
        <v>1</v>
      </c>
    </row>
    <row r="8" spans="1:27" x14ac:dyDescent="0.25">
      <c r="A8" t="s">
        <v>106</v>
      </c>
      <c r="M8" s="17">
        <v>201604</v>
      </c>
      <c r="N8" s="18">
        <v>4.4446000000000003</v>
      </c>
      <c r="O8" s="18">
        <v>-2.5548999999999999</v>
      </c>
      <c r="P8" s="18">
        <v>-5.8822999999999999</v>
      </c>
      <c r="Q8" s="18">
        <v>-9.0178999999999991</v>
      </c>
      <c r="R8" s="18">
        <v>-4.4497</v>
      </c>
      <c r="S8">
        <v>-4.1959999999999997</v>
      </c>
      <c r="U8" s="19">
        <f t="shared" si="2"/>
        <v>4.1446000000000005</v>
      </c>
      <c r="V8" s="19">
        <f t="shared" si="3"/>
        <v>-2.8548999999999998</v>
      </c>
      <c r="W8" s="19">
        <f t="shared" si="4"/>
        <v>-6.1822999999999997</v>
      </c>
      <c r="X8" s="19">
        <f t="shared" si="5"/>
        <v>-9.3178999999999998</v>
      </c>
      <c r="Y8" s="19">
        <f t="shared" si="6"/>
        <v>-4.7496999999999998</v>
      </c>
      <c r="Z8" s="19">
        <f t="shared" si="7"/>
        <v>-4.4959999999999996</v>
      </c>
      <c r="AA8" s="19">
        <v>1</v>
      </c>
    </row>
    <row r="9" spans="1:27" x14ac:dyDescent="0.25">
      <c r="A9" t="s">
        <v>209</v>
      </c>
      <c r="M9" s="17">
        <v>201605</v>
      </c>
      <c r="N9" s="18">
        <v>-8.6625999999999994</v>
      </c>
      <c r="O9" s="18">
        <v>-1.1238999999999999</v>
      </c>
      <c r="P9" s="18">
        <v>2.7776999999999998</v>
      </c>
      <c r="Q9" s="18">
        <v>19.823799999999999</v>
      </c>
      <c r="R9" s="18">
        <v>-8.3335000000000008</v>
      </c>
      <c r="S9">
        <v>1.8888</v>
      </c>
      <c r="U9" s="19">
        <f t="shared" si="2"/>
        <v>-8.9626000000000001</v>
      </c>
      <c r="V9" s="19">
        <f t="shared" si="3"/>
        <v>-1.4238999999999999</v>
      </c>
      <c r="W9" s="19">
        <f t="shared" si="4"/>
        <v>2.4777</v>
      </c>
      <c r="X9" s="19">
        <f t="shared" si="5"/>
        <v>19.523799999999998</v>
      </c>
      <c r="Y9" s="19">
        <f t="shared" si="6"/>
        <v>-8.6335000000000015</v>
      </c>
      <c r="Z9" s="19">
        <f t="shared" si="7"/>
        <v>1.5888</v>
      </c>
      <c r="AA9" s="19">
        <v>1</v>
      </c>
    </row>
    <row r="10" spans="1:27" x14ac:dyDescent="0.25">
      <c r="M10" s="17">
        <v>201606</v>
      </c>
      <c r="N10" s="18">
        <v>6.6553000000000004</v>
      </c>
      <c r="O10" s="18">
        <v>-1.5149999999999999</v>
      </c>
      <c r="P10" s="18">
        <v>-0.67569999999999997</v>
      </c>
      <c r="Q10" s="18">
        <v>8.2719000000000005</v>
      </c>
      <c r="R10" s="18">
        <v>1.6043000000000001</v>
      </c>
      <c r="S10">
        <v>2.6476999999999999</v>
      </c>
      <c r="U10" s="19">
        <f t="shared" si="2"/>
        <v>6.3553000000000006</v>
      </c>
      <c r="V10" s="19">
        <f t="shared" si="3"/>
        <v>-1.8149999999999999</v>
      </c>
      <c r="W10" s="19">
        <f t="shared" si="4"/>
        <v>-0.97570000000000001</v>
      </c>
      <c r="X10" s="19">
        <f t="shared" si="5"/>
        <v>7.9719000000000007</v>
      </c>
      <c r="Y10" s="19">
        <f t="shared" si="6"/>
        <v>1.3043</v>
      </c>
      <c r="Z10" s="19">
        <f t="shared" si="7"/>
        <v>2.3477000000000001</v>
      </c>
      <c r="AA10" s="19">
        <v>1</v>
      </c>
    </row>
    <row r="11" spans="1:27" x14ac:dyDescent="0.25">
      <c r="A11" t="s">
        <v>179</v>
      </c>
      <c r="D11" t="s">
        <v>180</v>
      </c>
      <c r="E11" t="s">
        <v>211</v>
      </c>
      <c r="F11" t="s">
        <v>210</v>
      </c>
      <c r="M11" s="17">
        <v>201607</v>
      </c>
      <c r="N11" s="18">
        <v>9.8977000000000004</v>
      </c>
      <c r="O11" s="18">
        <v>17.3279</v>
      </c>
      <c r="P11" s="18">
        <v>2.3811</v>
      </c>
      <c r="Q11" s="18">
        <v>16.129200000000001</v>
      </c>
      <c r="R11" s="18">
        <v>-0.27779999999999999</v>
      </c>
      <c r="S11">
        <v>5.4287000000000001</v>
      </c>
      <c r="U11" s="19">
        <f t="shared" si="2"/>
        <v>9.5976999999999997</v>
      </c>
      <c r="V11" s="19">
        <f t="shared" si="3"/>
        <v>17.027899999999999</v>
      </c>
      <c r="W11" s="19">
        <f t="shared" si="4"/>
        <v>2.0811000000000002</v>
      </c>
      <c r="X11" s="19">
        <f t="shared" si="5"/>
        <v>15.8292</v>
      </c>
      <c r="Y11" s="19">
        <f t="shared" si="6"/>
        <v>-0.57779999999999998</v>
      </c>
      <c r="Z11" s="19">
        <f t="shared" si="7"/>
        <v>5.1287000000000003</v>
      </c>
      <c r="AA11" s="19">
        <v>1</v>
      </c>
    </row>
    <row r="12" spans="1:27" x14ac:dyDescent="0.25">
      <c r="A12" s="21">
        <v>3.0000000000000001E-3</v>
      </c>
      <c r="D12" s="48" t="s">
        <v>183</v>
      </c>
      <c r="M12" s="17">
        <v>201608</v>
      </c>
      <c r="N12" s="18">
        <v>6.9321000000000002</v>
      </c>
      <c r="O12" s="18">
        <v>0.68030000000000002</v>
      </c>
      <c r="P12" s="18">
        <v>3.7503000000000002</v>
      </c>
      <c r="Q12" s="18">
        <v>5.9020999999999999</v>
      </c>
      <c r="R12" s="18">
        <v>-2.7856999999999998</v>
      </c>
      <c r="S12">
        <v>1.8928</v>
      </c>
      <c r="U12" s="19">
        <f t="shared" si="2"/>
        <v>6.6321000000000003</v>
      </c>
      <c r="V12" s="19">
        <f t="shared" si="3"/>
        <v>0.38030000000000003</v>
      </c>
      <c r="W12" s="19">
        <f t="shared" si="4"/>
        <v>3.4503000000000004</v>
      </c>
      <c r="X12" s="19">
        <f t="shared" si="5"/>
        <v>5.6021000000000001</v>
      </c>
      <c r="Y12" s="19">
        <f t="shared" si="6"/>
        <v>-3.0856999999999997</v>
      </c>
      <c r="Z12" s="19">
        <f t="shared" si="7"/>
        <v>1.5928</v>
      </c>
      <c r="AA12" s="19">
        <v>1</v>
      </c>
    </row>
    <row r="13" spans="1:27" x14ac:dyDescent="0.25">
      <c r="C13" s="15">
        <v>1101</v>
      </c>
      <c r="D13">
        <f t="array" ref="D13">MMULT(MMULT(MINVERSE(MMULT(TRANSPOSE(Z3:AA50),Z3:AA50)),TRANSPOSE(Z3:AA50)),U3:U50)</f>
        <v>0.97580483341091528</v>
      </c>
      <c r="E13">
        <f>G4-D13*$T$3</f>
        <v>0.20712369200749792</v>
      </c>
      <c r="F13">
        <f>0.3+D13*($T$3-0.3)</f>
        <v>0.96110777463589492</v>
      </c>
      <c r="M13" s="17">
        <v>201609</v>
      </c>
      <c r="N13" s="18">
        <v>-1.6551</v>
      </c>
      <c r="O13" s="18">
        <v>29.729600000000001</v>
      </c>
      <c r="P13" s="18">
        <v>-0.79679999999999995</v>
      </c>
      <c r="Q13" s="18">
        <v>6.1797000000000004</v>
      </c>
      <c r="R13" s="18">
        <v>1.7193000000000001</v>
      </c>
      <c r="S13">
        <v>1.4149</v>
      </c>
      <c r="U13" s="19">
        <f t="shared" si="2"/>
        <v>-1.9551000000000001</v>
      </c>
      <c r="V13" s="19">
        <f t="shared" si="3"/>
        <v>29.429600000000001</v>
      </c>
      <c r="W13" s="19">
        <f t="shared" si="4"/>
        <v>-1.0968</v>
      </c>
      <c r="X13" s="19">
        <f t="shared" si="5"/>
        <v>5.8797000000000006</v>
      </c>
      <c r="Y13" s="19">
        <f t="shared" si="6"/>
        <v>1.4193</v>
      </c>
      <c r="Z13" s="19">
        <f t="shared" si="7"/>
        <v>1.1149</v>
      </c>
      <c r="AA13" s="19">
        <v>1</v>
      </c>
    </row>
    <row r="14" spans="1:27" x14ac:dyDescent="0.25">
      <c r="C14" s="15">
        <v>1439</v>
      </c>
      <c r="D14">
        <f t="array" ref="D14">MMULT(MMULT(MINVERSE(MMULT(TRANSPOSE(Z3:AA50),Z3:AA50)),TRANSPOSE(Z3:AA50)),V3:V50)</f>
        <v>-0.69553638347364311</v>
      </c>
      <c r="E14" s="19">
        <f>H4-D14*$T$3</f>
        <v>3.4834638981788193</v>
      </c>
      <c r="F14" s="19">
        <f t="shared" ref="F14:F17" si="8">0.3+D14*($T$3-0.3)</f>
        <v>-0.17122589980339303</v>
      </c>
      <c r="M14" s="17">
        <v>201610</v>
      </c>
      <c r="N14" s="18">
        <v>6.1711999999999998</v>
      </c>
      <c r="O14" s="18">
        <v>-14.0626</v>
      </c>
      <c r="P14" s="18">
        <v>-0.20080000000000001</v>
      </c>
      <c r="Q14" s="18">
        <v>-1.1902999999999999</v>
      </c>
      <c r="R14" s="18">
        <v>-6.4790000000000001</v>
      </c>
      <c r="S14">
        <v>1.3533999999999999</v>
      </c>
      <c r="U14" s="19">
        <f t="shared" si="2"/>
        <v>5.8712</v>
      </c>
      <c r="V14" s="19">
        <f t="shared" si="3"/>
        <v>-14.3626</v>
      </c>
      <c r="W14" s="19">
        <f t="shared" si="4"/>
        <v>-0.50080000000000002</v>
      </c>
      <c r="X14" s="19">
        <f t="shared" si="5"/>
        <v>-1.4903</v>
      </c>
      <c r="Y14" s="19">
        <f t="shared" si="6"/>
        <v>-6.7789999999999999</v>
      </c>
      <c r="Z14" s="19">
        <f t="shared" si="7"/>
        <v>1.0533999999999999</v>
      </c>
      <c r="AA14" s="19">
        <v>1</v>
      </c>
    </row>
    <row r="15" spans="1:27" x14ac:dyDescent="0.25">
      <c r="C15" s="15">
        <v>2539</v>
      </c>
      <c r="D15">
        <f t="array" ref="D15">MMULT(MMULT(MINVERSE(MMULT(TRANSPOSE(Z3:AA50),Z3:AA50)),TRANSPOSE(Z3:AA50)),W3:W50)</f>
        <v>0.44606180865906525</v>
      </c>
      <c r="E15" s="19">
        <f>I4-D15*$T$3</f>
        <v>1.4764599987024298</v>
      </c>
      <c r="F15" s="19">
        <f t="shared" si="8"/>
        <v>0.60220687536651663</v>
      </c>
      <c r="M15" s="17">
        <v>201611</v>
      </c>
      <c r="N15" s="18">
        <v>-2.6419999999999999</v>
      </c>
      <c r="O15" s="18">
        <v>3.0301</v>
      </c>
      <c r="P15" s="18">
        <v>0.60370000000000001</v>
      </c>
      <c r="Q15" s="18">
        <v>-1.2048000000000001</v>
      </c>
      <c r="R15" s="18">
        <v>8.4338999999999995</v>
      </c>
      <c r="S15">
        <v>-0.5212</v>
      </c>
      <c r="U15" s="19">
        <f t="shared" si="2"/>
        <v>-2.9419999999999997</v>
      </c>
      <c r="V15" s="19">
        <f t="shared" si="3"/>
        <v>2.7301000000000002</v>
      </c>
      <c r="W15" s="19">
        <f t="shared" si="4"/>
        <v>0.30370000000000003</v>
      </c>
      <c r="X15" s="19">
        <f t="shared" si="5"/>
        <v>-1.5048000000000001</v>
      </c>
      <c r="Y15" s="19">
        <f t="shared" si="6"/>
        <v>8.1338999999999988</v>
      </c>
      <c r="Z15" s="19">
        <f t="shared" si="7"/>
        <v>-0.82119999999999993</v>
      </c>
      <c r="AA15" s="19">
        <v>1</v>
      </c>
    </row>
    <row r="16" spans="1:27" x14ac:dyDescent="0.25">
      <c r="C16" s="15">
        <v>3008</v>
      </c>
      <c r="D16">
        <f t="array" ref="D16">MMULT(MMULT(MINVERSE(MMULT(TRANSPOSE(Z3:AA50),Z3:AA50)),TRANSPOSE(Z3:AA50)),X3:X50)</f>
        <v>1.7197570234599242</v>
      </c>
      <c r="E16" s="19">
        <f>J4-D16*$T$3</f>
        <v>0.16391667623459183</v>
      </c>
      <c r="F16" s="53">
        <f t="shared" si="8"/>
        <v>1.4651353833940983</v>
      </c>
      <c r="M16" s="17">
        <v>201612</v>
      </c>
      <c r="N16" s="18">
        <v>-4.6134000000000004</v>
      </c>
      <c r="O16" s="18">
        <v>-7.3525999999999998</v>
      </c>
      <c r="P16" s="18">
        <v>0.8</v>
      </c>
      <c r="Q16" s="18">
        <v>2.7099000000000002</v>
      </c>
      <c r="R16" s="18">
        <v>-3.8887999999999998</v>
      </c>
      <c r="S16">
        <v>0.1384</v>
      </c>
      <c r="U16" s="19">
        <f t="shared" si="2"/>
        <v>-4.9134000000000002</v>
      </c>
      <c r="V16" s="19">
        <f t="shared" si="3"/>
        <v>-7.6525999999999996</v>
      </c>
      <c r="W16" s="19">
        <f t="shared" si="4"/>
        <v>0.5</v>
      </c>
      <c r="X16" s="19">
        <f t="shared" si="5"/>
        <v>2.4099000000000004</v>
      </c>
      <c r="Y16" s="19">
        <f t="shared" si="6"/>
        <v>-4.1887999999999996</v>
      </c>
      <c r="Z16" s="19">
        <f t="shared" si="7"/>
        <v>-0.16159999999999999</v>
      </c>
      <c r="AA16" s="19">
        <v>1</v>
      </c>
    </row>
    <row r="17" spans="1:27" x14ac:dyDescent="0.25">
      <c r="C17" s="15">
        <v>8463</v>
      </c>
      <c r="D17">
        <f t="array" ref="D17">MMULT(MMULT(MINVERSE(MMULT(TRANSPOSE(Z3:AA50),Z3:AA50)),TRANSPOSE(Z3:AA50)),Y3:Y50)</f>
        <v>0.80933608141354563</v>
      </c>
      <c r="E17" s="19">
        <f>K4-D17*$T$3</f>
        <v>1.2761093970849262</v>
      </c>
      <c r="F17" s="19">
        <f t="shared" si="8"/>
        <v>0.8483251951576769</v>
      </c>
      <c r="M17" s="17">
        <v>201701</v>
      </c>
      <c r="N17" s="18">
        <v>0.71120000000000005</v>
      </c>
      <c r="O17" s="18">
        <v>21.2697</v>
      </c>
      <c r="P17" s="18">
        <v>1.1901999999999999</v>
      </c>
      <c r="Q17" s="18">
        <v>17.414100000000001</v>
      </c>
      <c r="R17" s="18">
        <v>0.57789999999999997</v>
      </c>
      <c r="S17">
        <v>2.1013999999999999</v>
      </c>
      <c r="U17" s="19">
        <f t="shared" si="2"/>
        <v>0.41120000000000007</v>
      </c>
      <c r="V17" s="19">
        <f t="shared" si="3"/>
        <v>20.9697</v>
      </c>
      <c r="W17" s="19">
        <f t="shared" si="4"/>
        <v>0.89019999999999988</v>
      </c>
      <c r="X17" s="19">
        <f t="shared" si="5"/>
        <v>17.114100000000001</v>
      </c>
      <c r="Y17" s="19">
        <f t="shared" si="6"/>
        <v>0.27789999999999998</v>
      </c>
      <c r="Z17" s="19">
        <f t="shared" si="7"/>
        <v>1.8013999999999999</v>
      </c>
      <c r="AA17" s="19">
        <v>1</v>
      </c>
    </row>
    <row r="18" spans="1:27" x14ac:dyDescent="0.25">
      <c r="M18" s="17">
        <v>201702</v>
      </c>
      <c r="N18" s="18">
        <v>6.3559999999999999</v>
      </c>
      <c r="O18" s="18">
        <v>28.272300000000001</v>
      </c>
      <c r="P18" s="18">
        <v>6.6665000000000001</v>
      </c>
      <c r="Q18" s="18">
        <v>2.472</v>
      </c>
      <c r="R18" s="18">
        <v>4.5978000000000003</v>
      </c>
      <c r="S18">
        <v>3.2019000000000002</v>
      </c>
      <c r="U18" s="19">
        <f t="shared" si="2"/>
        <v>6.056</v>
      </c>
      <c r="V18" s="19">
        <f t="shared" si="3"/>
        <v>27.972300000000001</v>
      </c>
      <c r="W18" s="19">
        <f t="shared" si="4"/>
        <v>6.3665000000000003</v>
      </c>
      <c r="X18" s="19">
        <f t="shared" si="5"/>
        <v>2.1720000000000002</v>
      </c>
      <c r="Y18" s="19">
        <f t="shared" si="6"/>
        <v>4.2978000000000005</v>
      </c>
      <c r="Z18" s="19">
        <f t="shared" si="7"/>
        <v>2.9019000000000004</v>
      </c>
      <c r="AA18" s="19">
        <v>1</v>
      </c>
    </row>
    <row r="19" spans="1:27" x14ac:dyDescent="0.25">
      <c r="M19" s="17">
        <v>201703</v>
      </c>
      <c r="N19" s="18">
        <v>-3.5857000000000001</v>
      </c>
      <c r="O19" s="18">
        <v>-15.9184</v>
      </c>
      <c r="P19" s="18">
        <v>4.2279</v>
      </c>
      <c r="Q19" s="18">
        <v>4.8247</v>
      </c>
      <c r="R19" s="18">
        <v>14.8353</v>
      </c>
      <c r="S19">
        <v>0.62619999999999998</v>
      </c>
      <c r="U19" s="19">
        <f t="shared" si="2"/>
        <v>-3.8856999999999999</v>
      </c>
      <c r="V19" s="19">
        <f t="shared" si="3"/>
        <v>-16.218399999999999</v>
      </c>
      <c r="W19" s="19">
        <f t="shared" si="4"/>
        <v>3.9279000000000002</v>
      </c>
      <c r="X19" s="19">
        <f t="shared" si="5"/>
        <v>4.5247000000000002</v>
      </c>
      <c r="Y19" s="19">
        <f t="shared" si="6"/>
        <v>14.535299999999999</v>
      </c>
      <c r="Z19" s="19">
        <f t="shared" si="7"/>
        <v>0.32619999999999999</v>
      </c>
      <c r="AA19" s="19">
        <v>1</v>
      </c>
    </row>
    <row r="20" spans="1:27" x14ac:dyDescent="0.25">
      <c r="M20" s="17">
        <v>201704</v>
      </c>
      <c r="N20" s="18">
        <v>-3.3058999999999998</v>
      </c>
      <c r="O20" s="18">
        <v>-4.3691000000000004</v>
      </c>
      <c r="P20" s="18">
        <v>-3.1745000000000001</v>
      </c>
      <c r="Q20" s="18">
        <v>4.9162999999999997</v>
      </c>
      <c r="R20" s="18">
        <v>-8.3732000000000006</v>
      </c>
      <c r="S20">
        <v>0.61639999999999995</v>
      </c>
      <c r="U20" s="19">
        <f t="shared" si="2"/>
        <v>-3.6058999999999997</v>
      </c>
      <c r="V20" s="19">
        <f t="shared" si="3"/>
        <v>-4.6691000000000003</v>
      </c>
      <c r="W20" s="19">
        <f t="shared" si="4"/>
        <v>-3.4744999999999999</v>
      </c>
      <c r="X20" s="19">
        <f t="shared" si="5"/>
        <v>4.6162999999999998</v>
      </c>
      <c r="Y20" s="19">
        <f t="shared" si="6"/>
        <v>-8.6732000000000014</v>
      </c>
      <c r="Z20" s="19">
        <f t="shared" si="7"/>
        <v>0.31639999999999996</v>
      </c>
      <c r="AA20" s="19">
        <v>1</v>
      </c>
    </row>
    <row r="21" spans="1:27" x14ac:dyDescent="0.25">
      <c r="M21" s="17">
        <v>201705</v>
      </c>
      <c r="N21" s="18">
        <v>-1.9943</v>
      </c>
      <c r="O21" s="18">
        <v>20.812100000000001</v>
      </c>
      <c r="P21" s="18">
        <v>4.0073999999999996</v>
      </c>
      <c r="Q21" s="18">
        <v>-5.2842000000000002</v>
      </c>
      <c r="R21" s="18">
        <v>-0.7833</v>
      </c>
      <c r="S21">
        <v>1.7134</v>
      </c>
      <c r="U21" s="19">
        <f t="shared" si="2"/>
        <v>-2.2942999999999998</v>
      </c>
      <c r="V21" s="19">
        <f t="shared" si="3"/>
        <v>20.5121</v>
      </c>
      <c r="W21" s="19">
        <f t="shared" si="4"/>
        <v>3.7073999999999998</v>
      </c>
      <c r="X21" s="19">
        <f t="shared" si="5"/>
        <v>-5.5842000000000001</v>
      </c>
      <c r="Y21" s="19">
        <f t="shared" si="6"/>
        <v>-1.0832999999999999</v>
      </c>
      <c r="Z21" s="19">
        <f t="shared" si="7"/>
        <v>1.4134</v>
      </c>
      <c r="AA21" s="19">
        <v>1</v>
      </c>
    </row>
    <row r="22" spans="1:27" x14ac:dyDescent="0.25">
      <c r="M22" s="17">
        <v>201706</v>
      </c>
      <c r="N22" s="18">
        <v>2.3256000000000001</v>
      </c>
      <c r="O22" s="18">
        <v>-5.4623999999999997</v>
      </c>
      <c r="P22" s="18">
        <v>2.1013000000000002</v>
      </c>
      <c r="Q22" s="18">
        <v>2.1053999999999999</v>
      </c>
      <c r="R22" s="18">
        <v>1.0527</v>
      </c>
      <c r="S22">
        <v>4.4901</v>
      </c>
      <c r="U22" s="19">
        <f t="shared" si="2"/>
        <v>2.0256000000000003</v>
      </c>
      <c r="V22" s="19">
        <f t="shared" si="3"/>
        <v>-5.7623999999999995</v>
      </c>
      <c r="W22" s="19">
        <f t="shared" si="4"/>
        <v>1.8013000000000001</v>
      </c>
      <c r="X22" s="19">
        <f t="shared" si="5"/>
        <v>1.8053999999999999</v>
      </c>
      <c r="Y22" s="19">
        <f t="shared" si="6"/>
        <v>0.75269999999999992</v>
      </c>
      <c r="Z22" s="19">
        <f t="shared" si="7"/>
        <v>4.1901000000000002</v>
      </c>
      <c r="AA22" s="19">
        <v>1</v>
      </c>
    </row>
    <row r="23" spans="1:27" x14ac:dyDescent="0.25">
      <c r="A23">
        <v>8463</v>
      </c>
      <c r="M23" s="17">
        <v>201707</v>
      </c>
      <c r="N23" s="18">
        <v>3.6049000000000002</v>
      </c>
      <c r="O23" s="18">
        <v>3.1817000000000002</v>
      </c>
      <c r="P23" s="18">
        <v>3.9449999999999998</v>
      </c>
      <c r="Q23" s="18">
        <v>13.6082</v>
      </c>
      <c r="R23" s="18">
        <v>-0.61470000000000002</v>
      </c>
      <c r="S23">
        <v>2.3089</v>
      </c>
      <c r="U23" s="19">
        <f t="shared" si="2"/>
        <v>3.3049000000000004</v>
      </c>
      <c r="V23" s="19">
        <f t="shared" si="3"/>
        <v>2.8817000000000004</v>
      </c>
      <c r="W23" s="19">
        <f t="shared" si="4"/>
        <v>3.645</v>
      </c>
      <c r="X23" s="19">
        <f t="shared" si="5"/>
        <v>13.308199999999999</v>
      </c>
      <c r="Y23" s="19">
        <f t="shared" si="6"/>
        <v>-0.91470000000000007</v>
      </c>
      <c r="Z23" s="19">
        <f t="shared" si="7"/>
        <v>2.0089000000000001</v>
      </c>
      <c r="AA23" s="19">
        <v>1</v>
      </c>
    </row>
    <row r="24" spans="1:27" ht="17.25" thickBot="1" x14ac:dyDescent="0.3">
      <c r="M24" s="17">
        <v>201708</v>
      </c>
      <c r="N24" s="18">
        <v>-0.42870000000000003</v>
      </c>
      <c r="O24" s="18">
        <v>-7.9295</v>
      </c>
      <c r="P24" s="18">
        <v>4.2390999999999996</v>
      </c>
      <c r="Q24" s="18">
        <v>7.0202999999999998</v>
      </c>
      <c r="R24" s="18">
        <v>-1.1109</v>
      </c>
      <c r="S24">
        <v>2.3820999999999999</v>
      </c>
      <c r="U24" s="19">
        <f t="shared" si="2"/>
        <v>-0.72870000000000001</v>
      </c>
      <c r="V24" s="19">
        <f t="shared" si="3"/>
        <v>-8.2294999999999998</v>
      </c>
      <c r="W24" s="19">
        <f t="shared" si="4"/>
        <v>3.9390999999999998</v>
      </c>
      <c r="X24" s="19">
        <f t="shared" si="5"/>
        <v>6.7202999999999999</v>
      </c>
      <c r="Y24" s="19">
        <f t="shared" si="6"/>
        <v>-1.4109</v>
      </c>
      <c r="Z24" s="19">
        <f t="shared" si="7"/>
        <v>2.0821000000000001</v>
      </c>
      <c r="AA24" s="19">
        <v>1</v>
      </c>
    </row>
    <row r="25" spans="1:27" x14ac:dyDescent="0.25">
      <c r="A25" s="52" t="s">
        <v>184</v>
      </c>
      <c r="B25" s="52"/>
      <c r="M25" s="17">
        <v>201709</v>
      </c>
      <c r="N25" s="18">
        <v>-3.0131000000000001</v>
      </c>
      <c r="O25" s="18">
        <v>-3.8277999999999999</v>
      </c>
      <c r="P25" s="18">
        <v>0.18329999999999999</v>
      </c>
      <c r="Q25" s="18">
        <v>-7.8045999999999998</v>
      </c>
      <c r="R25" s="18">
        <v>-4.7750000000000004</v>
      </c>
      <c r="S25">
        <v>-1.82</v>
      </c>
      <c r="U25" s="19">
        <f t="shared" si="2"/>
        <v>-3.3130999999999999</v>
      </c>
      <c r="V25" s="19">
        <f t="shared" si="3"/>
        <v>-4.1277999999999997</v>
      </c>
      <c r="W25" s="19">
        <f t="shared" si="4"/>
        <v>-0.1167</v>
      </c>
      <c r="X25" s="19">
        <f t="shared" si="5"/>
        <v>-8.1045999999999996</v>
      </c>
      <c r="Y25" s="19">
        <f t="shared" si="6"/>
        <v>-5.0750000000000002</v>
      </c>
      <c r="Z25" s="19">
        <f t="shared" si="7"/>
        <v>-2.12</v>
      </c>
      <c r="AA25" s="19">
        <v>1</v>
      </c>
    </row>
    <row r="26" spans="1:27" x14ac:dyDescent="0.25">
      <c r="A26" s="49" t="s">
        <v>185</v>
      </c>
      <c r="B26" s="49">
        <v>0.22309522430153161</v>
      </c>
      <c r="M26" s="17">
        <v>201710</v>
      </c>
      <c r="N26" s="18">
        <v>-0.88759999999999994</v>
      </c>
      <c r="O26" s="18">
        <v>-1.2438</v>
      </c>
      <c r="P26" s="18">
        <v>3.1078000000000001</v>
      </c>
      <c r="Q26" s="18">
        <v>6.3258000000000001</v>
      </c>
      <c r="R26" s="18">
        <v>6.1947999999999999</v>
      </c>
      <c r="S26">
        <v>3.9542000000000002</v>
      </c>
      <c r="U26" s="19">
        <f t="shared" si="2"/>
        <v>-1.1876</v>
      </c>
      <c r="V26" s="19">
        <f t="shared" si="3"/>
        <v>-1.5438000000000001</v>
      </c>
      <c r="W26" s="19">
        <f t="shared" si="4"/>
        <v>2.8078000000000003</v>
      </c>
      <c r="X26" s="19">
        <f t="shared" si="5"/>
        <v>6.0258000000000003</v>
      </c>
      <c r="Y26" s="19">
        <f t="shared" si="6"/>
        <v>5.8948</v>
      </c>
      <c r="Z26" s="19">
        <f t="shared" si="7"/>
        <v>3.6542000000000003</v>
      </c>
      <c r="AA26" s="19">
        <v>1</v>
      </c>
    </row>
    <row r="27" spans="1:27" x14ac:dyDescent="0.25">
      <c r="A27" s="49" t="s">
        <v>186</v>
      </c>
      <c r="B27" s="49">
        <v>4.97714791061507E-2</v>
      </c>
      <c r="M27" s="17">
        <v>201711</v>
      </c>
      <c r="N27" s="18">
        <v>0.14929999999999999</v>
      </c>
      <c r="O27" s="18">
        <v>-2.2669999999999999</v>
      </c>
      <c r="P27" s="18">
        <v>2.4824000000000002</v>
      </c>
      <c r="Q27" s="18">
        <v>-10.061199999999999</v>
      </c>
      <c r="R27" s="18">
        <v>-2.2222</v>
      </c>
      <c r="S27">
        <v>-2.1604999999999999</v>
      </c>
      <c r="U27" s="19">
        <f t="shared" si="2"/>
        <v>-0.1507</v>
      </c>
      <c r="V27" s="19">
        <f t="shared" si="3"/>
        <v>-2.5669999999999997</v>
      </c>
      <c r="W27" s="19">
        <f t="shared" si="4"/>
        <v>2.1824000000000003</v>
      </c>
      <c r="X27" s="19">
        <f t="shared" si="5"/>
        <v>-10.3612</v>
      </c>
      <c r="Y27" s="19">
        <f t="shared" si="6"/>
        <v>-2.5221999999999998</v>
      </c>
      <c r="Z27" s="19">
        <f t="shared" si="7"/>
        <v>-2.4604999999999997</v>
      </c>
      <c r="AA27" s="19">
        <v>1</v>
      </c>
    </row>
    <row r="28" spans="1:27" x14ac:dyDescent="0.25">
      <c r="A28" s="49" t="s">
        <v>187</v>
      </c>
      <c r="B28" s="49">
        <v>2.911433734758876E-2</v>
      </c>
      <c r="M28" s="17">
        <v>201712</v>
      </c>
      <c r="N28" s="18">
        <v>8.6439000000000004</v>
      </c>
      <c r="O28" s="18">
        <v>6.4433999999999996</v>
      </c>
      <c r="P28" s="18">
        <v>-2.7682000000000002</v>
      </c>
      <c r="Q28" s="18">
        <v>-21.789899999999999</v>
      </c>
      <c r="R28" s="18">
        <v>-0.56830000000000003</v>
      </c>
      <c r="S28">
        <v>0.78220000000000001</v>
      </c>
      <c r="U28" s="19">
        <f t="shared" si="2"/>
        <v>8.3438999999999997</v>
      </c>
      <c r="V28" s="19">
        <f t="shared" si="3"/>
        <v>6.1433999999999997</v>
      </c>
      <c r="W28" s="19">
        <f t="shared" si="4"/>
        <v>-3.0682</v>
      </c>
      <c r="X28" s="19">
        <f t="shared" si="5"/>
        <v>-22.0899</v>
      </c>
      <c r="Y28" s="19">
        <f t="shared" si="6"/>
        <v>-0.86830000000000007</v>
      </c>
      <c r="Z28" s="19">
        <f t="shared" si="7"/>
        <v>0.48220000000000002</v>
      </c>
      <c r="AA28" s="19">
        <v>1</v>
      </c>
    </row>
    <row r="29" spans="1:27" x14ac:dyDescent="0.25">
      <c r="A29" s="49" t="s">
        <v>188</v>
      </c>
      <c r="B29" s="49">
        <v>10.70274364452523</v>
      </c>
      <c r="M29" s="17">
        <v>201801</v>
      </c>
      <c r="N29" s="18">
        <v>3.2921999999999998</v>
      </c>
      <c r="O29" s="18">
        <v>-1.9371</v>
      </c>
      <c r="P29" s="18">
        <v>0.88970000000000005</v>
      </c>
      <c r="Q29" s="18">
        <v>-0.373</v>
      </c>
      <c r="R29" s="18">
        <v>1.7141999999999999</v>
      </c>
      <c r="S29">
        <v>4.3308</v>
      </c>
      <c r="U29" s="19">
        <f t="shared" si="2"/>
        <v>2.9922</v>
      </c>
      <c r="V29" s="19">
        <f t="shared" si="3"/>
        <v>-2.2370999999999999</v>
      </c>
      <c r="W29" s="19">
        <f t="shared" si="4"/>
        <v>0.58970000000000011</v>
      </c>
      <c r="X29" s="19">
        <f t="shared" si="5"/>
        <v>-0.67300000000000004</v>
      </c>
      <c r="Y29" s="19">
        <f t="shared" si="6"/>
        <v>1.4141999999999999</v>
      </c>
      <c r="Z29" s="19">
        <f t="shared" si="7"/>
        <v>4.0308000000000002</v>
      </c>
      <c r="AA29" s="19">
        <v>1</v>
      </c>
    </row>
    <row r="30" spans="1:27" ht="17.25" thickBot="1" x14ac:dyDescent="0.3">
      <c r="A30" s="50" t="s">
        <v>189</v>
      </c>
      <c r="B30" s="50">
        <v>48</v>
      </c>
      <c r="M30" s="17">
        <v>201802</v>
      </c>
      <c r="N30" s="18">
        <v>-1.7265999999999999</v>
      </c>
      <c r="O30" s="18">
        <v>16.543299999999999</v>
      </c>
      <c r="P30" s="18">
        <v>-0.52910000000000001</v>
      </c>
      <c r="Q30" s="18">
        <v>-7.7401999999999997</v>
      </c>
      <c r="R30" s="18">
        <v>-0.28079999999999999</v>
      </c>
      <c r="S30">
        <v>-2.5964999999999998</v>
      </c>
      <c r="U30" s="19">
        <f t="shared" si="2"/>
        <v>-2.0265999999999997</v>
      </c>
      <c r="V30" s="19">
        <f t="shared" si="3"/>
        <v>16.243299999999998</v>
      </c>
      <c r="W30" s="19">
        <f t="shared" si="4"/>
        <v>-0.82909999999999995</v>
      </c>
      <c r="X30" s="19">
        <f t="shared" si="5"/>
        <v>-8.0402000000000005</v>
      </c>
      <c r="Y30" s="19">
        <f t="shared" si="6"/>
        <v>-0.58079999999999998</v>
      </c>
      <c r="Z30" s="19">
        <f t="shared" si="7"/>
        <v>-2.8964999999999996</v>
      </c>
      <c r="AA30" s="19">
        <v>1</v>
      </c>
    </row>
    <row r="31" spans="1:27" x14ac:dyDescent="0.25">
      <c r="M31" s="17">
        <v>201803</v>
      </c>
      <c r="N31" s="18">
        <v>-1.2161</v>
      </c>
      <c r="O31" s="18">
        <v>19.279699999999998</v>
      </c>
      <c r="P31" s="18">
        <v>3.9007999999999998</v>
      </c>
      <c r="Q31" s="18">
        <v>-9.3369999999999997</v>
      </c>
      <c r="R31" s="18">
        <v>1.4085000000000001</v>
      </c>
      <c r="S31">
        <v>0.9617</v>
      </c>
      <c r="U31" s="19">
        <f t="shared" si="2"/>
        <v>-1.5161</v>
      </c>
      <c r="V31" s="19">
        <f t="shared" si="3"/>
        <v>18.979699999999998</v>
      </c>
      <c r="W31" s="19">
        <f t="shared" si="4"/>
        <v>3.6008</v>
      </c>
      <c r="X31" s="19">
        <f t="shared" si="5"/>
        <v>-9.6370000000000005</v>
      </c>
      <c r="Y31" s="19">
        <f t="shared" si="6"/>
        <v>1.1085</v>
      </c>
      <c r="Z31" s="19">
        <f t="shared" si="7"/>
        <v>0.66169999999999995</v>
      </c>
      <c r="AA31" s="19">
        <v>1</v>
      </c>
    </row>
    <row r="32" spans="1:27" ht="17.25" thickBot="1" x14ac:dyDescent="0.3">
      <c r="A32" t="s">
        <v>190</v>
      </c>
      <c r="M32" s="17">
        <v>201804</v>
      </c>
      <c r="N32" s="18">
        <v>11.764900000000001</v>
      </c>
      <c r="O32" s="18">
        <v>76.731800000000007</v>
      </c>
      <c r="P32" s="18">
        <v>-0.5121</v>
      </c>
      <c r="Q32" s="18">
        <v>3.8805999999999998</v>
      </c>
      <c r="R32" s="18">
        <v>32.777799999999999</v>
      </c>
      <c r="S32">
        <v>-2.3957999999999999</v>
      </c>
      <c r="U32" s="19">
        <f t="shared" si="2"/>
        <v>11.4649</v>
      </c>
      <c r="V32" s="19">
        <f t="shared" si="3"/>
        <v>76.43180000000001</v>
      </c>
      <c r="W32" s="19">
        <f t="shared" si="4"/>
        <v>-0.81210000000000004</v>
      </c>
      <c r="X32" s="19">
        <f t="shared" si="5"/>
        <v>3.5806</v>
      </c>
      <c r="Y32" s="19">
        <f t="shared" si="6"/>
        <v>32.477800000000002</v>
      </c>
      <c r="Z32" s="19">
        <f t="shared" si="7"/>
        <v>-2.6957999999999998</v>
      </c>
      <c r="AA32" s="19">
        <v>1</v>
      </c>
    </row>
    <row r="33" spans="1:27" x14ac:dyDescent="0.25">
      <c r="A33" s="51"/>
      <c r="B33" s="51" t="s">
        <v>195</v>
      </c>
      <c r="C33" s="51" t="s">
        <v>196</v>
      </c>
      <c r="D33" s="51" t="s">
        <v>197</v>
      </c>
      <c r="E33" s="51" t="s">
        <v>198</v>
      </c>
      <c r="F33" s="51" t="s">
        <v>199</v>
      </c>
      <c r="M33" s="17">
        <v>201805</v>
      </c>
      <c r="N33" s="18">
        <v>6.7317999999999998</v>
      </c>
      <c r="O33" s="18">
        <v>-24.522600000000001</v>
      </c>
      <c r="P33" s="18">
        <v>0.85750000000000004</v>
      </c>
      <c r="Q33" s="18">
        <v>17.815999999999999</v>
      </c>
      <c r="R33" s="18">
        <v>15.899800000000001</v>
      </c>
      <c r="S33">
        <v>2.0392999999999999</v>
      </c>
      <c r="U33" s="19">
        <f t="shared" si="2"/>
        <v>6.4318</v>
      </c>
      <c r="V33" s="19">
        <f t="shared" si="3"/>
        <v>-24.822600000000001</v>
      </c>
      <c r="W33" s="19">
        <f t="shared" si="4"/>
        <v>0.55750000000000011</v>
      </c>
      <c r="X33" s="19">
        <f t="shared" si="5"/>
        <v>17.515999999999998</v>
      </c>
      <c r="Y33" s="19">
        <f t="shared" si="6"/>
        <v>15.5998</v>
      </c>
      <c r="Z33" s="19">
        <f t="shared" si="7"/>
        <v>1.7392999999999998</v>
      </c>
      <c r="AA33" s="19">
        <v>1</v>
      </c>
    </row>
    <row r="34" spans="1:27" x14ac:dyDescent="0.25">
      <c r="A34" s="49" t="s">
        <v>191</v>
      </c>
      <c r="B34" s="49">
        <v>1</v>
      </c>
      <c r="C34" s="49">
        <v>275.99458659023185</v>
      </c>
      <c r="D34" s="49">
        <v>275.99458659023185</v>
      </c>
      <c r="E34" s="49">
        <v>2.4094078303704087</v>
      </c>
      <c r="F34" s="49">
        <v>0.12746167392164931</v>
      </c>
      <c r="M34" s="17">
        <v>201806</v>
      </c>
      <c r="N34" s="18">
        <v>-2.8668</v>
      </c>
      <c r="O34" s="18">
        <v>5.7256999999999998</v>
      </c>
      <c r="P34" s="18">
        <v>1.7005999999999999</v>
      </c>
      <c r="Q34" s="18">
        <v>9.5120000000000005</v>
      </c>
      <c r="R34" s="18">
        <v>3.6099000000000001</v>
      </c>
      <c r="S34">
        <v>0.59930000000000005</v>
      </c>
      <c r="U34" s="19">
        <f t="shared" si="2"/>
        <v>-3.1667999999999998</v>
      </c>
      <c r="V34" s="19">
        <f t="shared" si="3"/>
        <v>5.4257</v>
      </c>
      <c r="W34" s="19">
        <f t="shared" si="4"/>
        <v>1.4005999999999998</v>
      </c>
      <c r="X34" s="19">
        <f t="shared" si="5"/>
        <v>9.2119999999999997</v>
      </c>
      <c r="Y34" s="19">
        <f t="shared" si="6"/>
        <v>3.3099000000000003</v>
      </c>
      <c r="Z34" s="19">
        <f t="shared" si="7"/>
        <v>0.29930000000000007</v>
      </c>
      <c r="AA34" s="19">
        <v>1</v>
      </c>
    </row>
    <row r="35" spans="1:27" x14ac:dyDescent="0.25">
      <c r="A35" s="49" t="s">
        <v>192</v>
      </c>
      <c r="B35" s="49">
        <v>46</v>
      </c>
      <c r="C35" s="49">
        <v>5269.2411899395593</v>
      </c>
      <c r="D35" s="49">
        <v>114.5487215204252</v>
      </c>
      <c r="E35" s="49"/>
      <c r="F35" s="49"/>
      <c r="M35" s="17">
        <v>201807</v>
      </c>
      <c r="N35" s="18">
        <v>5.6489000000000003</v>
      </c>
      <c r="O35" s="18">
        <v>-22.5441</v>
      </c>
      <c r="P35" s="18">
        <v>-0.50160000000000005</v>
      </c>
      <c r="Q35" s="18">
        <v>14.6991</v>
      </c>
      <c r="R35" s="18">
        <v>6.9678000000000004</v>
      </c>
      <c r="S35">
        <v>4.3113999999999999</v>
      </c>
      <c r="U35" s="19">
        <f t="shared" si="2"/>
        <v>5.3489000000000004</v>
      </c>
      <c r="V35" s="19">
        <f t="shared" si="3"/>
        <v>-22.844100000000001</v>
      </c>
      <c r="W35" s="19">
        <f t="shared" si="4"/>
        <v>-0.80160000000000009</v>
      </c>
      <c r="X35" s="19">
        <f t="shared" si="5"/>
        <v>14.399099999999999</v>
      </c>
      <c r="Y35" s="19">
        <f t="shared" si="6"/>
        <v>6.6678000000000006</v>
      </c>
      <c r="Z35" s="19">
        <f t="shared" si="7"/>
        <v>4.0114000000000001</v>
      </c>
      <c r="AA35" s="19">
        <v>1</v>
      </c>
    </row>
    <row r="36" spans="1:27" ht="17.25" thickBot="1" x14ac:dyDescent="0.3">
      <c r="A36" s="50" t="s">
        <v>193</v>
      </c>
      <c r="B36" s="50">
        <v>47</v>
      </c>
      <c r="C36" s="50">
        <v>5545.2357765297911</v>
      </c>
      <c r="D36" s="50"/>
      <c r="E36" s="50"/>
      <c r="F36" s="50"/>
      <c r="M36" s="17">
        <v>201808</v>
      </c>
      <c r="N36" s="18">
        <v>7.6238000000000001</v>
      </c>
      <c r="O36" s="18">
        <v>-11.5448</v>
      </c>
      <c r="P36" s="18">
        <v>3.5293999999999999</v>
      </c>
      <c r="Q36" s="18">
        <v>-7.1756000000000002</v>
      </c>
      <c r="R36" s="18">
        <v>-10.588100000000001</v>
      </c>
      <c r="S36">
        <v>0.83840000000000003</v>
      </c>
      <c r="U36" s="19">
        <f t="shared" si="2"/>
        <v>7.3238000000000003</v>
      </c>
      <c r="V36" s="19">
        <f t="shared" si="3"/>
        <v>-11.844800000000001</v>
      </c>
      <c r="W36" s="19">
        <f t="shared" si="4"/>
        <v>3.2294</v>
      </c>
      <c r="X36" s="19">
        <f t="shared" si="5"/>
        <v>-7.4756</v>
      </c>
      <c r="Y36" s="19">
        <f t="shared" si="6"/>
        <v>-10.888100000000001</v>
      </c>
      <c r="Z36" s="19">
        <f t="shared" si="7"/>
        <v>0.53839999999999999</v>
      </c>
      <c r="AA36" s="19">
        <v>1</v>
      </c>
    </row>
    <row r="37" spans="1:27" ht="17.25" thickBot="1" x14ac:dyDescent="0.3">
      <c r="M37" s="17">
        <v>201809</v>
      </c>
      <c r="N37" s="18">
        <v>-2.9516</v>
      </c>
      <c r="O37" s="18">
        <v>11.3971</v>
      </c>
      <c r="P37" s="18">
        <v>2.3157999999999999</v>
      </c>
      <c r="Q37" s="18">
        <v>-22.741800000000001</v>
      </c>
      <c r="R37" s="18">
        <v>20.300599999999999</v>
      </c>
      <c r="S37">
        <v>-0.41560000000000002</v>
      </c>
      <c r="U37" s="19">
        <f t="shared" si="2"/>
        <v>-3.2515999999999998</v>
      </c>
      <c r="V37" s="19">
        <f t="shared" si="3"/>
        <v>11.097099999999999</v>
      </c>
      <c r="W37" s="19">
        <f t="shared" si="4"/>
        <v>2.0158</v>
      </c>
      <c r="X37" s="19">
        <f t="shared" si="5"/>
        <v>-23.041800000000002</v>
      </c>
      <c r="Y37" s="19">
        <f t="shared" si="6"/>
        <v>20.000599999999999</v>
      </c>
      <c r="Z37" s="19">
        <f t="shared" si="7"/>
        <v>-0.71560000000000001</v>
      </c>
      <c r="AA37" s="19">
        <v>1</v>
      </c>
    </row>
    <row r="38" spans="1:27" x14ac:dyDescent="0.25">
      <c r="A38" s="51"/>
      <c r="B38" s="51" t="s">
        <v>200</v>
      </c>
      <c r="C38" s="51" t="s">
        <v>188</v>
      </c>
      <c r="D38" s="51" t="s">
        <v>201</v>
      </c>
      <c r="E38" s="51" t="s">
        <v>202</v>
      </c>
      <c r="F38" s="51" t="s">
        <v>203</v>
      </c>
      <c r="G38" s="51" t="s">
        <v>204</v>
      </c>
      <c r="H38" s="51" t="s">
        <v>205</v>
      </c>
      <c r="I38" s="51" t="s">
        <v>206</v>
      </c>
      <c r="M38" s="17">
        <v>201810</v>
      </c>
      <c r="N38" s="18">
        <v>-15.571899999999999</v>
      </c>
      <c r="O38" s="18">
        <v>6.7659000000000002</v>
      </c>
      <c r="P38" s="18">
        <v>-3.0575999999999999</v>
      </c>
      <c r="Q38" s="18">
        <v>-7.8403999999999998</v>
      </c>
      <c r="R38" s="18">
        <v>-5.3125999999999998</v>
      </c>
      <c r="S38">
        <v>-10.938800000000001</v>
      </c>
      <c r="U38" s="19">
        <f t="shared" si="2"/>
        <v>-15.8719</v>
      </c>
      <c r="V38" s="19">
        <f t="shared" si="3"/>
        <v>6.4659000000000004</v>
      </c>
      <c r="W38" s="19">
        <f t="shared" si="4"/>
        <v>-3.3575999999999997</v>
      </c>
      <c r="X38" s="19">
        <f t="shared" si="5"/>
        <v>-8.1403999999999996</v>
      </c>
      <c r="Y38" s="19">
        <f t="shared" si="6"/>
        <v>-5.6125999999999996</v>
      </c>
      <c r="Z38" s="19">
        <f t="shared" si="7"/>
        <v>-11.238800000000001</v>
      </c>
      <c r="AA38" s="19">
        <v>1</v>
      </c>
    </row>
    <row r="39" spans="1:27" x14ac:dyDescent="0.25">
      <c r="A39" s="49" t="s">
        <v>194</v>
      </c>
      <c r="B39" s="49">
        <v>1.276109397084926</v>
      </c>
      <c r="C39" s="49">
        <v>1.6267135359959601</v>
      </c>
      <c r="D39" s="49">
        <v>0.78447087876700072</v>
      </c>
      <c r="E39" s="49">
        <v>0.43678519545640626</v>
      </c>
      <c r="F39" s="49">
        <v>-1.9982951202240058</v>
      </c>
      <c r="G39" s="49">
        <v>4.550513914393858</v>
      </c>
      <c r="H39" s="49">
        <v>-1.9982951202240058</v>
      </c>
      <c r="I39" s="49">
        <v>4.550513914393858</v>
      </c>
      <c r="M39" s="17">
        <v>201811</v>
      </c>
      <c r="N39" s="18">
        <v>-0.57630000000000003</v>
      </c>
      <c r="O39" s="18">
        <v>3.7094999999999998</v>
      </c>
      <c r="P39" s="18">
        <v>0.74229999999999996</v>
      </c>
      <c r="Q39" s="18">
        <v>0.59709999999999996</v>
      </c>
      <c r="R39" s="18">
        <v>-10.5608</v>
      </c>
      <c r="S39">
        <v>0.8821</v>
      </c>
      <c r="U39" s="19">
        <f t="shared" si="2"/>
        <v>-0.87630000000000008</v>
      </c>
      <c r="V39" s="19">
        <f t="shared" si="3"/>
        <v>3.4095</v>
      </c>
      <c r="W39" s="19">
        <f t="shared" si="4"/>
        <v>0.44229999999999997</v>
      </c>
      <c r="X39" s="19">
        <f t="shared" si="5"/>
        <v>0.29709999999999998</v>
      </c>
      <c r="Y39" s="19">
        <f t="shared" si="6"/>
        <v>-10.860800000000001</v>
      </c>
      <c r="Z39" s="19">
        <f t="shared" si="7"/>
        <v>0.58210000000000006</v>
      </c>
      <c r="AA39" s="19">
        <v>1</v>
      </c>
    </row>
    <row r="40" spans="1:27" ht="17.25" thickBot="1" x14ac:dyDescent="0.3">
      <c r="A40" s="50" t="s">
        <v>207</v>
      </c>
      <c r="B40" s="50">
        <v>0.80933608141354574</v>
      </c>
      <c r="C40" s="50">
        <v>0.5214032616836789</v>
      </c>
      <c r="D40" s="50">
        <v>1.5522267329132049</v>
      </c>
      <c r="E40" s="50">
        <v>0.12746167392164931</v>
      </c>
      <c r="F40" s="50">
        <v>-0.24019424929176725</v>
      </c>
      <c r="G40" s="50">
        <v>1.8588664121188587</v>
      </c>
      <c r="H40" s="50">
        <v>-0.24019424929176725</v>
      </c>
      <c r="I40" s="50">
        <v>1.8588664121188587</v>
      </c>
      <c r="M40" s="17">
        <v>201812</v>
      </c>
      <c r="N40" s="18">
        <v>3.1884999999999999</v>
      </c>
      <c r="O40" s="18">
        <v>1E-4</v>
      </c>
      <c r="P40" s="18">
        <v>-0.55249999999999999</v>
      </c>
      <c r="Q40" s="18">
        <v>-4.5994999999999999</v>
      </c>
      <c r="R40" s="18">
        <v>-2.9521000000000002</v>
      </c>
      <c r="S40">
        <v>-1.6244000000000001</v>
      </c>
      <c r="U40" s="19">
        <f t="shared" si="2"/>
        <v>2.8885000000000001</v>
      </c>
      <c r="V40" s="19">
        <f t="shared" si="3"/>
        <v>-0.2999</v>
      </c>
      <c r="W40" s="19">
        <f t="shared" si="4"/>
        <v>-0.85250000000000004</v>
      </c>
      <c r="X40" s="19">
        <f t="shared" si="5"/>
        <v>-4.8994999999999997</v>
      </c>
      <c r="Y40" s="19">
        <f t="shared" si="6"/>
        <v>-3.2521</v>
      </c>
      <c r="Z40" s="19">
        <f t="shared" si="7"/>
        <v>-1.9244000000000001</v>
      </c>
      <c r="AA40" s="19">
        <v>1</v>
      </c>
    </row>
    <row r="41" spans="1:27" x14ac:dyDescent="0.25">
      <c r="M41" s="17">
        <v>201901</v>
      </c>
      <c r="N41" s="18">
        <v>4.9158999999999997</v>
      </c>
      <c r="O41" s="18">
        <v>-2.5335000000000001</v>
      </c>
      <c r="P41" s="18">
        <v>1E-4</v>
      </c>
      <c r="Q41" s="18">
        <v>17.573699999999999</v>
      </c>
      <c r="R41" s="18">
        <v>-0.76049999999999995</v>
      </c>
      <c r="S41">
        <v>2.1059999999999999</v>
      </c>
      <c r="U41" s="19">
        <f t="shared" si="2"/>
        <v>4.6158999999999999</v>
      </c>
      <c r="V41" s="19">
        <f t="shared" si="3"/>
        <v>-2.8334999999999999</v>
      </c>
      <c r="W41" s="19">
        <f t="shared" si="4"/>
        <v>-0.2999</v>
      </c>
      <c r="X41" s="19">
        <f t="shared" si="5"/>
        <v>17.273699999999998</v>
      </c>
      <c r="Y41" s="19">
        <f t="shared" si="6"/>
        <v>-1.0605</v>
      </c>
      <c r="Z41" s="19">
        <f t="shared" si="7"/>
        <v>1.8059999999999998</v>
      </c>
      <c r="AA41" s="19">
        <v>1</v>
      </c>
    </row>
    <row r="42" spans="1:27" x14ac:dyDescent="0.25">
      <c r="M42" s="17">
        <v>201902</v>
      </c>
      <c r="N42" s="18">
        <v>2.8113000000000001</v>
      </c>
      <c r="O42" s="18">
        <v>-5.8106</v>
      </c>
      <c r="P42" s="18">
        <v>2.4075000000000002</v>
      </c>
      <c r="Q42" s="18">
        <v>15.3437</v>
      </c>
      <c r="R42" s="18">
        <v>3.0651999999999999</v>
      </c>
      <c r="S42">
        <v>4.6002000000000001</v>
      </c>
      <c r="U42" s="19">
        <f t="shared" si="2"/>
        <v>2.5113000000000003</v>
      </c>
      <c r="V42" s="19">
        <f t="shared" si="3"/>
        <v>-6.1105999999999998</v>
      </c>
      <c r="W42" s="19">
        <f t="shared" si="4"/>
        <v>2.1075000000000004</v>
      </c>
      <c r="X42" s="19">
        <f t="shared" si="5"/>
        <v>15.043699999999999</v>
      </c>
      <c r="Y42" s="19">
        <f t="shared" si="6"/>
        <v>2.7652000000000001</v>
      </c>
      <c r="Z42" s="19">
        <f t="shared" si="7"/>
        <v>4.3002000000000002</v>
      </c>
      <c r="AA42" s="19">
        <v>1</v>
      </c>
    </row>
    <row r="43" spans="1:27" x14ac:dyDescent="0.25">
      <c r="M43" s="17">
        <v>201903</v>
      </c>
      <c r="N43" s="18">
        <v>7.4218999999999999</v>
      </c>
      <c r="O43" s="18">
        <v>2.9220999999999999</v>
      </c>
      <c r="P43" s="18">
        <v>2.5316000000000001</v>
      </c>
      <c r="Q43" s="18">
        <v>5.5045999999999999</v>
      </c>
      <c r="R43" s="18">
        <v>-2.9999999999999997E-4</v>
      </c>
      <c r="S43">
        <v>2.4243999999999999</v>
      </c>
      <c r="U43" s="19">
        <f t="shared" si="2"/>
        <v>7.1219000000000001</v>
      </c>
      <c r="V43" s="19">
        <f t="shared" si="3"/>
        <v>2.6221000000000001</v>
      </c>
      <c r="W43" s="19">
        <f t="shared" si="4"/>
        <v>2.2316000000000003</v>
      </c>
      <c r="X43" s="19">
        <f t="shared" si="5"/>
        <v>5.2046000000000001</v>
      </c>
      <c r="Y43" s="19">
        <f t="shared" si="6"/>
        <v>-0.30030000000000001</v>
      </c>
      <c r="Z43" s="19">
        <f t="shared" si="7"/>
        <v>2.1244000000000001</v>
      </c>
      <c r="AA43" s="19">
        <v>1</v>
      </c>
    </row>
    <row r="44" spans="1:27" x14ac:dyDescent="0.25">
      <c r="M44" s="17">
        <v>201904</v>
      </c>
      <c r="N44" s="18">
        <v>1.8180000000000001</v>
      </c>
      <c r="O44" s="18">
        <v>6.9402999999999997</v>
      </c>
      <c r="P44" s="18">
        <v>2.8216999999999999</v>
      </c>
      <c r="Q44" s="18">
        <v>1.087</v>
      </c>
      <c r="R44" s="18">
        <v>-1.8585</v>
      </c>
      <c r="S44">
        <v>3.0701000000000001</v>
      </c>
      <c r="U44" s="19">
        <f t="shared" si="2"/>
        <v>1.518</v>
      </c>
      <c r="V44" s="19">
        <f t="shared" si="3"/>
        <v>6.6402999999999999</v>
      </c>
      <c r="W44" s="19">
        <f t="shared" si="4"/>
        <v>2.5217000000000001</v>
      </c>
      <c r="X44" s="19">
        <f t="shared" si="5"/>
        <v>0.78699999999999992</v>
      </c>
      <c r="Y44" s="19">
        <f t="shared" si="6"/>
        <v>-2.1585000000000001</v>
      </c>
      <c r="Z44" s="19">
        <f t="shared" si="7"/>
        <v>2.7701000000000002</v>
      </c>
      <c r="AA44" s="19">
        <v>1</v>
      </c>
    </row>
    <row r="45" spans="1:27" x14ac:dyDescent="0.25">
      <c r="M45" s="17">
        <v>201905</v>
      </c>
      <c r="N45" s="18">
        <v>2.1427</v>
      </c>
      <c r="O45" s="18">
        <v>-9.7346000000000004</v>
      </c>
      <c r="P45" s="18">
        <v>1.5439000000000001</v>
      </c>
      <c r="Q45" s="18">
        <v>-18.924900000000001</v>
      </c>
      <c r="R45" s="18">
        <v>-5.3029999999999999</v>
      </c>
      <c r="S45">
        <v>-4.2747999999999999</v>
      </c>
      <c r="U45" s="19">
        <f t="shared" si="2"/>
        <v>1.8427</v>
      </c>
      <c r="V45" s="19">
        <f t="shared" si="3"/>
        <v>-10.034600000000001</v>
      </c>
      <c r="W45" s="19">
        <f t="shared" si="4"/>
        <v>1.2439</v>
      </c>
      <c r="X45" s="19">
        <f t="shared" si="5"/>
        <v>-19.224900000000002</v>
      </c>
      <c r="Y45" s="19">
        <f t="shared" si="6"/>
        <v>-5.6029999999999998</v>
      </c>
      <c r="Z45" s="19">
        <f t="shared" si="7"/>
        <v>-4.5747999999999998</v>
      </c>
      <c r="AA45" s="19">
        <v>1</v>
      </c>
    </row>
    <row r="46" spans="1:27" x14ac:dyDescent="0.25">
      <c r="M46" s="17">
        <v>201906</v>
      </c>
      <c r="N46" s="18">
        <v>7.3428000000000004</v>
      </c>
      <c r="O46" s="18">
        <v>2.7776000000000001</v>
      </c>
      <c r="P46" s="18">
        <v>1.5205</v>
      </c>
      <c r="Q46" s="18">
        <v>2.2545999999999999</v>
      </c>
      <c r="R46" s="18">
        <v>0.2</v>
      </c>
      <c r="S46">
        <v>3.2389999999999999</v>
      </c>
      <c r="U46" s="19">
        <f t="shared" si="2"/>
        <v>7.0428000000000006</v>
      </c>
      <c r="V46" s="19">
        <f t="shared" si="3"/>
        <v>2.4776000000000002</v>
      </c>
      <c r="W46" s="19">
        <f t="shared" si="4"/>
        <v>1.2204999999999999</v>
      </c>
      <c r="X46" s="19">
        <f t="shared" si="5"/>
        <v>1.9545999999999999</v>
      </c>
      <c r="Y46" s="19">
        <f t="shared" si="6"/>
        <v>-9.9999999999999978E-2</v>
      </c>
      <c r="Z46" s="19">
        <f t="shared" si="7"/>
        <v>2.9390000000000001</v>
      </c>
      <c r="AA46" s="19">
        <v>1</v>
      </c>
    </row>
    <row r="47" spans="1:27" x14ac:dyDescent="0.25">
      <c r="M47" s="17">
        <v>201907</v>
      </c>
      <c r="N47" s="18">
        <v>-2.9315000000000002</v>
      </c>
      <c r="O47" s="18">
        <v>-11.287800000000001</v>
      </c>
      <c r="P47" s="18">
        <v>2.3296000000000001</v>
      </c>
      <c r="Q47" s="18">
        <v>10.246499999999999</v>
      </c>
      <c r="R47" s="18">
        <v>0.99239999999999995</v>
      </c>
      <c r="S47">
        <v>3.1061000000000001</v>
      </c>
      <c r="U47" s="19">
        <f t="shared" si="2"/>
        <v>-3.2315</v>
      </c>
      <c r="V47" s="19">
        <f t="shared" si="3"/>
        <v>-11.587800000000001</v>
      </c>
      <c r="W47" s="19">
        <f t="shared" si="4"/>
        <v>2.0296000000000003</v>
      </c>
      <c r="X47" s="19">
        <f t="shared" si="5"/>
        <v>9.9464999999999986</v>
      </c>
      <c r="Y47" s="19">
        <f t="shared" si="6"/>
        <v>0.6923999999999999</v>
      </c>
      <c r="Z47" s="19">
        <f t="shared" si="7"/>
        <v>2.8061000000000003</v>
      </c>
      <c r="AA47" s="19">
        <v>1</v>
      </c>
    </row>
    <row r="48" spans="1:27" x14ac:dyDescent="0.25">
      <c r="M48" s="17">
        <v>201908</v>
      </c>
      <c r="N48" s="18">
        <v>-0.31990000000000002</v>
      </c>
      <c r="O48" s="18">
        <v>4.6595000000000004</v>
      </c>
      <c r="P48" s="18">
        <v>6.5067000000000004</v>
      </c>
      <c r="Q48" s="18">
        <v>-6.8432000000000004</v>
      </c>
      <c r="R48" s="18">
        <v>1.6261000000000001</v>
      </c>
      <c r="S48">
        <v>-1.1231</v>
      </c>
      <c r="U48" s="19">
        <f t="shared" si="2"/>
        <v>-0.61990000000000001</v>
      </c>
      <c r="V48" s="19">
        <f t="shared" si="3"/>
        <v>4.3595000000000006</v>
      </c>
      <c r="W48" s="19">
        <f t="shared" si="4"/>
        <v>6.2067000000000005</v>
      </c>
      <c r="X48" s="19">
        <f t="shared" si="5"/>
        <v>-7.1432000000000002</v>
      </c>
      <c r="Y48" s="19">
        <f t="shared" si="6"/>
        <v>1.3261000000000001</v>
      </c>
      <c r="Z48" s="19">
        <f t="shared" si="7"/>
        <v>-1.4231</v>
      </c>
      <c r="AA48" s="19">
        <v>1</v>
      </c>
    </row>
    <row r="49" spans="13:27" x14ac:dyDescent="0.25">
      <c r="M49" s="17">
        <v>201909</v>
      </c>
      <c r="N49" s="18">
        <v>3.1208</v>
      </c>
      <c r="O49" s="18">
        <v>0.34250000000000003</v>
      </c>
      <c r="P49" s="18">
        <v>0.52080000000000004</v>
      </c>
      <c r="Q49" s="18">
        <v>14.3962</v>
      </c>
      <c r="R49" s="18">
        <v>23.1999</v>
      </c>
      <c r="S49">
        <v>2.2315</v>
      </c>
      <c r="U49" s="19">
        <f t="shared" si="2"/>
        <v>2.8208000000000002</v>
      </c>
      <c r="V49" s="19">
        <f t="shared" si="3"/>
        <v>4.2500000000000038E-2</v>
      </c>
      <c r="W49" s="19">
        <f t="shared" si="4"/>
        <v>0.22080000000000005</v>
      </c>
      <c r="X49" s="19">
        <f t="shared" si="5"/>
        <v>14.0962</v>
      </c>
      <c r="Y49" s="19">
        <f t="shared" si="6"/>
        <v>22.899899999999999</v>
      </c>
      <c r="Z49" s="19">
        <f t="shared" si="7"/>
        <v>1.9315</v>
      </c>
      <c r="AA49" s="19">
        <v>1</v>
      </c>
    </row>
    <row r="50" spans="13:27" x14ac:dyDescent="0.25">
      <c r="M50" s="17">
        <v>201910</v>
      </c>
      <c r="N50" s="18">
        <v>2.0175999999999998</v>
      </c>
      <c r="O50" s="18">
        <v>-1.877</v>
      </c>
      <c r="P50" s="18">
        <v>0.69069999999999998</v>
      </c>
      <c r="Q50" s="18">
        <v>0.44929999999999998</v>
      </c>
      <c r="R50" s="18">
        <v>47.4024</v>
      </c>
      <c r="S50">
        <v>4.9058000000000002</v>
      </c>
      <c r="U50" s="19">
        <f t="shared" si="2"/>
        <v>1.7175999999999998</v>
      </c>
      <c r="V50" s="19">
        <f t="shared" si="3"/>
        <v>-2.177</v>
      </c>
      <c r="W50" s="19">
        <f t="shared" si="4"/>
        <v>0.39069999999999999</v>
      </c>
      <c r="X50" s="19">
        <f t="shared" si="5"/>
        <v>0.14929999999999999</v>
      </c>
      <c r="Y50" s="19">
        <f t="shared" si="6"/>
        <v>47.102400000000003</v>
      </c>
      <c r="Z50" s="19">
        <f t="shared" si="7"/>
        <v>4.6058000000000003</v>
      </c>
      <c r="AA50" s="19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7"/>
  <dimension ref="A1:X23"/>
  <sheetViews>
    <sheetView topLeftCell="F1" workbookViewId="0">
      <selection activeCell="K23" sqref="K23"/>
    </sheetView>
  </sheetViews>
  <sheetFormatPr defaultRowHeight="16.5" x14ac:dyDescent="0.25"/>
  <cols>
    <col min="13" max="13" width="16.75" customWidth="1"/>
    <col min="14" max="14" width="12.75" bestFit="1" customWidth="1"/>
  </cols>
  <sheetData>
    <row r="1" spans="1:24" x14ac:dyDescent="0.25">
      <c r="A1" t="s">
        <v>109</v>
      </c>
      <c r="M1" s="15" t="s">
        <v>107</v>
      </c>
      <c r="N1" s="15">
        <v>1210</v>
      </c>
      <c r="O1" s="15">
        <v>1215</v>
      </c>
      <c r="P1" s="15">
        <v>1307</v>
      </c>
      <c r="Q1" s="15">
        <v>1316</v>
      </c>
      <c r="R1" s="15">
        <v>1445</v>
      </c>
      <c r="S1" s="15">
        <v>1472</v>
      </c>
      <c r="T1" s="15">
        <v>1503</v>
      </c>
      <c r="U1" s="15">
        <v>1614</v>
      </c>
      <c r="V1" s="15">
        <v>1615</v>
      </c>
      <c r="W1" s="15">
        <v>1721</v>
      </c>
    </row>
    <row r="2" spans="1:24" x14ac:dyDescent="0.25">
      <c r="L2" s="57" t="s">
        <v>115</v>
      </c>
      <c r="M2" s="17">
        <v>201501</v>
      </c>
      <c r="N2" s="18">
        <v>1.4519</v>
      </c>
      <c r="O2" s="18">
        <v>8.9110999999999994</v>
      </c>
      <c r="P2" s="18">
        <v>12.333399999999999</v>
      </c>
      <c r="Q2" s="18">
        <v>-8.8802000000000003</v>
      </c>
      <c r="R2" s="18">
        <v>-1.8478000000000001</v>
      </c>
      <c r="S2" s="18">
        <v>-10.192399999999999</v>
      </c>
      <c r="T2" s="18">
        <v>0.50649999999999995</v>
      </c>
      <c r="U2" s="18">
        <v>-1.6232</v>
      </c>
      <c r="V2" s="18">
        <v>0.43109999999999998</v>
      </c>
      <c r="W2" s="18">
        <v>9.5238999999999994</v>
      </c>
    </row>
    <row r="3" spans="1:24" x14ac:dyDescent="0.25">
      <c r="A3" t="s">
        <v>110</v>
      </c>
      <c r="L3" s="57"/>
      <c r="M3" s="17">
        <v>201502</v>
      </c>
      <c r="N3" s="18">
        <v>-1.61</v>
      </c>
      <c r="O3" s="18">
        <v>2.5453999999999999</v>
      </c>
      <c r="P3" s="18">
        <v>17.5075</v>
      </c>
      <c r="Q3" s="18">
        <v>7.3048000000000002</v>
      </c>
      <c r="R3" s="18">
        <v>1.1072</v>
      </c>
      <c r="S3" s="18">
        <v>-8.5653000000000006</v>
      </c>
      <c r="T3" s="18">
        <v>0.50380000000000003</v>
      </c>
      <c r="U3" s="18">
        <v>-1.155</v>
      </c>
      <c r="V3" s="18">
        <v>-1.7168000000000001</v>
      </c>
      <c r="W3" s="18">
        <v>-1.3044</v>
      </c>
    </row>
    <row r="4" spans="1:24" x14ac:dyDescent="0.25">
      <c r="A4" t="s">
        <v>111</v>
      </c>
      <c r="L4" s="57"/>
      <c r="M4" s="17">
        <v>201503</v>
      </c>
      <c r="N4" s="18">
        <v>-4.5456000000000003</v>
      </c>
      <c r="O4" s="18">
        <v>2.6596000000000002</v>
      </c>
      <c r="P4" s="18">
        <v>0.88390000000000002</v>
      </c>
      <c r="Q4" s="18">
        <v>-4.8780999999999999</v>
      </c>
      <c r="R4" s="18">
        <v>0.98570000000000002</v>
      </c>
      <c r="S4" s="18">
        <v>1.171</v>
      </c>
      <c r="T4" s="18">
        <v>0.1255</v>
      </c>
      <c r="U4" s="18">
        <v>-2.8382000000000001</v>
      </c>
      <c r="V4" s="18">
        <v>3.4933999999999998</v>
      </c>
      <c r="W4" s="18">
        <v>-0.44059999999999999</v>
      </c>
    </row>
    <row r="5" spans="1:24" x14ac:dyDescent="0.25">
      <c r="A5" t="s">
        <v>112</v>
      </c>
      <c r="L5" s="57"/>
      <c r="M5" s="17">
        <v>201504</v>
      </c>
      <c r="N5" s="18">
        <v>-4.7619999999999996</v>
      </c>
      <c r="O5" s="18">
        <v>-1.9</v>
      </c>
      <c r="P5" s="18">
        <v>39.424399999999999</v>
      </c>
      <c r="Q5" s="18">
        <v>-1.7095</v>
      </c>
      <c r="R5" s="18">
        <v>25.271000000000001</v>
      </c>
      <c r="S5" s="18">
        <v>-3.9352999999999998</v>
      </c>
      <c r="T5" s="18">
        <v>3.7551000000000001</v>
      </c>
      <c r="U5" s="18">
        <v>5.3262999999999998</v>
      </c>
      <c r="V5" s="18">
        <v>-5.9073000000000002</v>
      </c>
      <c r="W5" s="18">
        <v>7.9645999999999999</v>
      </c>
    </row>
    <row r="6" spans="1:24" x14ac:dyDescent="0.25">
      <c r="A6" t="s">
        <v>113</v>
      </c>
      <c r="L6" s="57"/>
      <c r="M6" s="17">
        <v>201505</v>
      </c>
      <c r="N6" s="18">
        <v>-5.2000999999999999</v>
      </c>
      <c r="O6" s="18">
        <v>-4.7533000000000003</v>
      </c>
      <c r="P6" s="18">
        <v>-15.619300000000001</v>
      </c>
      <c r="Q6" s="18">
        <v>-0.43480000000000002</v>
      </c>
      <c r="R6" s="18">
        <v>-13.4199</v>
      </c>
      <c r="S6" s="18">
        <v>-39.277099999999997</v>
      </c>
      <c r="T6" s="18">
        <v>-7.8407</v>
      </c>
      <c r="U6" s="18">
        <v>-6.6885000000000003</v>
      </c>
      <c r="V6" s="18">
        <v>-3.1387999999999998</v>
      </c>
      <c r="W6" s="18">
        <v>-6.5575999999999999</v>
      </c>
    </row>
    <row r="7" spans="1:24" x14ac:dyDescent="0.25">
      <c r="A7" t="s">
        <v>114</v>
      </c>
      <c r="L7" s="57"/>
      <c r="M7" s="17">
        <v>201506</v>
      </c>
      <c r="N7" s="18">
        <v>-8.2278000000000002</v>
      </c>
      <c r="O7" s="18">
        <v>-3.8816999999999999</v>
      </c>
      <c r="P7" s="18">
        <v>-7.4470000000000001</v>
      </c>
      <c r="Q7" s="18">
        <v>-1.7468999999999999</v>
      </c>
      <c r="R7" s="18">
        <v>8.9999000000000002</v>
      </c>
      <c r="S7" s="18">
        <v>27.7776</v>
      </c>
      <c r="T7" s="18">
        <v>0.52339999999999998</v>
      </c>
      <c r="U7" s="18">
        <v>-4.3707000000000003</v>
      </c>
      <c r="V7" s="18">
        <v>-2.2734999999999999</v>
      </c>
      <c r="W7" s="18">
        <v>-2.1930000000000001</v>
      </c>
    </row>
    <row r="8" spans="1:24" x14ac:dyDescent="0.25">
      <c r="L8" s="57"/>
      <c r="M8" s="17">
        <v>201507</v>
      </c>
      <c r="N8" s="18">
        <v>-2.9885000000000002</v>
      </c>
      <c r="O8" s="18">
        <v>-2.6924999999999999</v>
      </c>
      <c r="P8" s="18">
        <v>-13.7776</v>
      </c>
      <c r="Q8" s="18">
        <v>-9.7776999999999994</v>
      </c>
      <c r="R8" s="18">
        <v>-5.9724000000000004</v>
      </c>
      <c r="S8" s="18">
        <v>-1.8634999999999999</v>
      </c>
      <c r="T8" s="18">
        <v>1.7453000000000001</v>
      </c>
      <c r="U8" s="18">
        <v>-0.37569999999999998</v>
      </c>
      <c r="V8" s="18">
        <v>-2.4390000000000001</v>
      </c>
      <c r="W8" s="18">
        <v>-4.9326999999999996</v>
      </c>
    </row>
    <row r="9" spans="1:24" x14ac:dyDescent="0.25">
      <c r="L9" s="57"/>
      <c r="M9" s="17">
        <v>201508</v>
      </c>
      <c r="N9" s="18">
        <v>-13.9673</v>
      </c>
      <c r="O9" s="18">
        <v>-10.7765</v>
      </c>
      <c r="P9" s="18">
        <v>-2.5790000000000002</v>
      </c>
      <c r="Q9" s="18">
        <v>-7.3890000000000002</v>
      </c>
      <c r="R9" s="18">
        <v>-5.2313999999999998</v>
      </c>
      <c r="S9" s="18">
        <v>-21.8353</v>
      </c>
      <c r="T9" s="18">
        <v>3.4620000000000002</v>
      </c>
      <c r="U9" s="18">
        <v>-6.415</v>
      </c>
      <c r="V9" s="18">
        <v>-2.2000999999999999</v>
      </c>
      <c r="W9" s="18">
        <v>-9.6227</v>
      </c>
    </row>
    <row r="10" spans="1:24" x14ac:dyDescent="0.25">
      <c r="L10" s="57"/>
      <c r="M10" s="17">
        <v>201509</v>
      </c>
      <c r="N10" s="18">
        <v>5.5395000000000003</v>
      </c>
      <c r="O10" s="18">
        <v>8.9057999999999993</v>
      </c>
      <c r="P10" s="18">
        <v>38.235399999999998</v>
      </c>
      <c r="Q10" s="18">
        <v>3.9361999999999999</v>
      </c>
      <c r="R10" s="18">
        <v>4.7773000000000003</v>
      </c>
      <c r="S10" s="18">
        <v>13.3604</v>
      </c>
      <c r="T10" s="18">
        <v>2.9601999999999999</v>
      </c>
      <c r="U10" s="18">
        <v>-1.613</v>
      </c>
      <c r="V10" s="18">
        <v>-3.3742000000000001</v>
      </c>
      <c r="W10" s="18">
        <v>7.5155000000000003</v>
      </c>
    </row>
    <row r="11" spans="1:24" x14ac:dyDescent="0.25">
      <c r="L11" s="57"/>
      <c r="M11" s="17">
        <v>201510</v>
      </c>
      <c r="N11" s="18">
        <v>8.8398000000000003</v>
      </c>
      <c r="O11" s="18">
        <v>3.0371999999999999</v>
      </c>
      <c r="P11" s="18">
        <v>-13.936199999999999</v>
      </c>
      <c r="Q11" s="18">
        <v>2.2517999999999998</v>
      </c>
      <c r="R11" s="18">
        <v>-1.4186000000000001</v>
      </c>
      <c r="S11" s="18">
        <v>3.2143999999999999</v>
      </c>
      <c r="T11" s="18">
        <v>-0.24990000000000001</v>
      </c>
      <c r="U11" s="18">
        <v>9.6311</v>
      </c>
      <c r="V11" s="18">
        <v>5.8201999999999998</v>
      </c>
      <c r="W11" s="18">
        <v>10.1943</v>
      </c>
    </row>
    <row r="12" spans="1:24" ht="17.25" thickBot="1" x14ac:dyDescent="0.3">
      <c r="A12" t="s">
        <v>230</v>
      </c>
      <c r="L12" s="57"/>
      <c r="M12" s="17">
        <v>201511</v>
      </c>
      <c r="N12" s="18">
        <v>-1.2690999999999999</v>
      </c>
      <c r="O12" s="18">
        <v>8.8437000000000001</v>
      </c>
      <c r="P12" s="18">
        <v>0.37080000000000002</v>
      </c>
      <c r="Q12" s="18">
        <v>-1.101</v>
      </c>
      <c r="R12" s="18">
        <v>-4.8304999999999998</v>
      </c>
      <c r="S12" s="18">
        <v>5.5362</v>
      </c>
      <c r="T12" s="18">
        <v>-0.75190000000000001</v>
      </c>
      <c r="U12" s="18">
        <v>-1.4951000000000001</v>
      </c>
      <c r="V12" s="18">
        <v>-3.0001000000000002</v>
      </c>
      <c r="W12" s="18">
        <v>16.299299999999999</v>
      </c>
    </row>
    <row r="13" spans="1:24" x14ac:dyDescent="0.25">
      <c r="A13" s="51"/>
      <c r="B13" s="51" t="s">
        <v>220</v>
      </c>
      <c r="C13" s="51" t="s">
        <v>221</v>
      </c>
      <c r="D13" s="51" t="s">
        <v>222</v>
      </c>
      <c r="E13" s="51" t="s">
        <v>223</v>
      </c>
      <c r="F13" s="51" t="s">
        <v>224</v>
      </c>
      <c r="G13" s="51" t="s">
        <v>225</v>
      </c>
      <c r="H13" s="51" t="s">
        <v>226</v>
      </c>
      <c r="I13" s="51" t="s">
        <v>227</v>
      </c>
      <c r="J13" s="51" t="s">
        <v>228</v>
      </c>
      <c r="K13" s="51" t="s">
        <v>229</v>
      </c>
      <c r="L13" s="57"/>
      <c r="M13" s="17">
        <v>201512</v>
      </c>
      <c r="N13" s="18">
        <v>6.4264000000000001</v>
      </c>
      <c r="O13" s="18">
        <v>-4.1669</v>
      </c>
      <c r="P13" s="18">
        <v>-4.5567000000000002</v>
      </c>
      <c r="Q13" s="18">
        <v>-1.8219000000000001</v>
      </c>
      <c r="R13" s="18">
        <v>0.86380000000000001</v>
      </c>
      <c r="S13" s="18">
        <v>-8.1967999999999996</v>
      </c>
      <c r="T13" s="18">
        <v>4.7980999999999998</v>
      </c>
      <c r="U13" s="18">
        <v>-6.0723000000000003</v>
      </c>
      <c r="V13" s="18">
        <v>1.0309999999999999</v>
      </c>
      <c r="W13" s="18">
        <v>-8.3333999999999993</v>
      </c>
    </row>
    <row r="14" spans="1:24" ht="17.25" thickBot="1" x14ac:dyDescent="0.3">
      <c r="A14" s="49" t="s">
        <v>220</v>
      </c>
      <c r="B14" s="49">
        <f>VAR('Q7'!$N$2:$N$13)</f>
        <v>42.195161251515152</v>
      </c>
      <c r="C14" s="49">
        <v>22.549534248055551</v>
      </c>
      <c r="D14" s="49">
        <v>13.547434716944451</v>
      </c>
      <c r="E14" s="49">
        <v>12.089697140833332</v>
      </c>
      <c r="F14" s="49">
        <v>-0.10941236027777772</v>
      </c>
      <c r="G14" s="49">
        <v>22.409810329166671</v>
      </c>
      <c r="H14" s="49">
        <v>2.2074470961111112</v>
      </c>
      <c r="I14" s="49">
        <v>13.136529143055556</v>
      </c>
      <c r="J14" s="49">
        <v>9.1174056575000009</v>
      </c>
      <c r="K14" s="50">
        <v>22.455062733611111</v>
      </c>
      <c r="L14" t="s">
        <v>116</v>
      </c>
      <c r="M14" t="s">
        <v>108</v>
      </c>
      <c r="N14">
        <v>15243</v>
      </c>
      <c r="O14">
        <v>6163</v>
      </c>
      <c r="P14">
        <v>14966</v>
      </c>
      <c r="Q14">
        <v>1648</v>
      </c>
      <c r="R14">
        <v>1295</v>
      </c>
      <c r="S14">
        <v>1038</v>
      </c>
      <c r="T14">
        <v>21620</v>
      </c>
      <c r="U14">
        <v>6660</v>
      </c>
      <c r="V14">
        <v>1096</v>
      </c>
      <c r="W14">
        <v>1012</v>
      </c>
      <c r="X14">
        <f>SUM(N14:W14)</f>
        <v>70741</v>
      </c>
    </row>
    <row r="15" spans="1:24" ht="17.25" thickBot="1" x14ac:dyDescent="0.3">
      <c r="A15" s="49" t="s">
        <v>221</v>
      </c>
      <c r="B15" s="49">
        <v>22.549534248055551</v>
      </c>
      <c r="C15" s="49">
        <f>VAR('Q7'!$O$2:$O$13)</f>
        <v>39.813600344469691</v>
      </c>
      <c r="D15" s="49">
        <v>45.157249641944446</v>
      </c>
      <c r="E15" s="49">
        <v>8.1573454864583308</v>
      </c>
      <c r="F15" s="49">
        <v>2.4149668649305562</v>
      </c>
      <c r="G15" s="49">
        <v>37.753199524374999</v>
      </c>
      <c r="H15" s="49">
        <v>-1.1803534343055559</v>
      </c>
      <c r="I15" s="49">
        <v>10.059887846597222</v>
      </c>
      <c r="J15" s="49">
        <v>3.1877832968750006</v>
      </c>
      <c r="K15" s="50">
        <v>40.709137726944441</v>
      </c>
      <c r="M15" t="s">
        <v>212</v>
      </c>
      <c r="N15">
        <f>AVERAGE(N2:N13)</f>
        <v>-1.692733333333333</v>
      </c>
      <c r="O15" s="19">
        <f t="shared" ref="O15:W15" si="0">AVERAGE(O2:O13)</f>
        <v>0.56099166666666644</v>
      </c>
      <c r="P15" s="53">
        <f t="shared" si="0"/>
        <v>4.2366333333333319</v>
      </c>
      <c r="Q15" s="19">
        <f t="shared" si="0"/>
        <v>-2.0205249999999997</v>
      </c>
      <c r="R15" s="19">
        <f t="shared" si="0"/>
        <v>0.77369166666666667</v>
      </c>
      <c r="S15" s="19">
        <f t="shared" si="0"/>
        <v>-3.5671750000000002</v>
      </c>
      <c r="T15" s="19">
        <f t="shared" si="0"/>
        <v>0.79478333333333351</v>
      </c>
      <c r="U15" s="19">
        <f t="shared" si="0"/>
        <v>-1.4741083333333336</v>
      </c>
      <c r="V15" s="19">
        <f t="shared" si="0"/>
        <v>-1.1061749999999999</v>
      </c>
      <c r="W15" s="19">
        <f t="shared" si="0"/>
        <v>1.5094333333333332</v>
      </c>
    </row>
    <row r="16" spans="1:24" ht="17.25" thickBot="1" x14ac:dyDescent="0.3">
      <c r="A16" s="49" t="s">
        <v>222</v>
      </c>
      <c r="B16" s="49">
        <v>13.547434716944451</v>
      </c>
      <c r="C16" s="49">
        <v>45.157249641944446</v>
      </c>
      <c r="D16" s="49">
        <f>VAR('Q7'!$P$2:$P$13)</f>
        <v>361.02359070424245</v>
      </c>
      <c r="E16" s="49">
        <v>29.163733285833331</v>
      </c>
      <c r="F16" s="49">
        <v>115.79122464527779</v>
      </c>
      <c r="G16" s="49">
        <v>62.136144610833334</v>
      </c>
      <c r="H16" s="49">
        <v>25.244407986388879</v>
      </c>
      <c r="I16" s="49">
        <v>19.344940663611109</v>
      </c>
      <c r="J16" s="49">
        <v>-25.750659137499998</v>
      </c>
      <c r="K16" s="50">
        <v>61.027955085555561</v>
      </c>
      <c r="M16" t="s">
        <v>214</v>
      </c>
      <c r="N16">
        <f>STDEV(N2:N13)</f>
        <v>6.4957802650270704</v>
      </c>
      <c r="O16" s="19">
        <f t="shared" ref="O16:W16" si="1">STDEV(O2:O13)</f>
        <v>6.3098019259299809</v>
      </c>
      <c r="P16" s="19">
        <f t="shared" si="1"/>
        <v>19.000620797864539</v>
      </c>
      <c r="Q16" s="19">
        <f t="shared" si="1"/>
        <v>5.121108658932255</v>
      </c>
      <c r="R16" s="19">
        <f t="shared" si="1"/>
        <v>9.5826360119330936</v>
      </c>
      <c r="S16" s="19">
        <f t="shared" si="1"/>
        <v>16.848573340959224</v>
      </c>
      <c r="T16" s="19">
        <f t="shared" si="1"/>
        <v>3.2507496729309384</v>
      </c>
      <c r="U16" s="19">
        <f t="shared" si="1"/>
        <v>4.8045257392395291</v>
      </c>
      <c r="V16" s="19">
        <f t="shared" si="1"/>
        <v>3.25692761136655</v>
      </c>
      <c r="W16" s="19">
        <f t="shared" si="1"/>
        <v>8.4689428575379129</v>
      </c>
    </row>
    <row r="17" spans="1:24" ht="17.25" thickBot="1" x14ac:dyDescent="0.3">
      <c r="A17" s="49" t="s">
        <v>223</v>
      </c>
      <c r="B17" s="49">
        <v>12.089697140833332</v>
      </c>
      <c r="C17" s="49">
        <v>8.1573454864583308</v>
      </c>
      <c r="D17" s="49">
        <v>29.163733285833331</v>
      </c>
      <c r="E17" s="49">
        <f>VAR('Q7'!$Q$2:$Q$13)</f>
        <v>26.225753896590916</v>
      </c>
      <c r="F17" s="49">
        <v>8.4804646714583338</v>
      </c>
      <c r="G17" s="49">
        <v>13.270637291458335</v>
      </c>
      <c r="H17" s="49">
        <v>-2.1295153254166665</v>
      </c>
      <c r="I17" s="49">
        <v>5.3866698914583324</v>
      </c>
      <c r="J17" s="49">
        <v>-0.28688357020833299</v>
      </c>
      <c r="K17" s="50">
        <v>8.9016148299999998</v>
      </c>
    </row>
    <row r="18" spans="1:24" ht="17.25" thickBot="1" x14ac:dyDescent="0.3">
      <c r="A18" s="49" t="s">
        <v>224</v>
      </c>
      <c r="B18" s="49">
        <v>-0.10941236027777772</v>
      </c>
      <c r="C18" s="49">
        <v>2.4149668649305562</v>
      </c>
      <c r="D18" s="49">
        <v>115.79122464527779</v>
      </c>
      <c r="E18" s="49">
        <v>8.4804646714583338</v>
      </c>
      <c r="F18" s="49">
        <f>VAR('Q7'!$R$2:$R$13)</f>
        <v>91.82691293719698</v>
      </c>
      <c r="G18" s="49">
        <v>72.672236775208361</v>
      </c>
      <c r="H18" s="49">
        <v>15.910989300694446</v>
      </c>
      <c r="I18" s="49">
        <v>17.837056239097222</v>
      </c>
      <c r="J18" s="49">
        <v>-8.2936204356249998</v>
      </c>
      <c r="K18" s="50">
        <v>20.946532631944443</v>
      </c>
      <c r="M18" t="s">
        <v>215</v>
      </c>
      <c r="N18">
        <f>N14/$X$14</f>
        <v>0.21547617364753113</v>
      </c>
      <c r="O18" s="19">
        <f t="shared" ref="O18:W18" si="2">O14/$X$14</f>
        <v>8.7120623118135163E-2</v>
      </c>
      <c r="P18" s="19">
        <f t="shared" si="2"/>
        <v>0.21156048119195375</v>
      </c>
      <c r="Q18" s="19">
        <f t="shared" si="2"/>
        <v>2.3296249699608432E-2</v>
      </c>
      <c r="R18" s="19">
        <f t="shared" si="2"/>
        <v>1.830621563167046E-2</v>
      </c>
      <c r="S18" s="19">
        <f t="shared" si="2"/>
        <v>1.4673244653030068E-2</v>
      </c>
      <c r="T18" s="19">
        <f t="shared" si="2"/>
        <v>0.30562191656889215</v>
      </c>
      <c r="U18" s="19">
        <f t="shared" si="2"/>
        <v>9.4146251820019511E-2</v>
      </c>
      <c r="V18" s="19">
        <f t="shared" si="2"/>
        <v>1.5493136936147355E-2</v>
      </c>
      <c r="W18" s="19">
        <f t="shared" si="2"/>
        <v>1.4305706733011974E-2</v>
      </c>
      <c r="X18">
        <f>SUM(N18:W18)</f>
        <v>1</v>
      </c>
    </row>
    <row r="19" spans="1:24" ht="17.25" thickBot="1" x14ac:dyDescent="0.3">
      <c r="A19" s="49" t="s">
        <v>225</v>
      </c>
      <c r="B19" s="49">
        <v>22.409810329166671</v>
      </c>
      <c r="C19" s="49">
        <v>37.753199524374999</v>
      </c>
      <c r="D19" s="49">
        <v>62.136144610833334</v>
      </c>
      <c r="E19" s="49">
        <v>13.270637291458335</v>
      </c>
      <c r="F19" s="49">
        <v>72.672236775208361</v>
      </c>
      <c r="G19" s="49">
        <f>VAR('Q7'!$S$2:$S$13)</f>
        <v>283.8744236256818</v>
      </c>
      <c r="H19" s="49">
        <v>20.735038574583324</v>
      </c>
      <c r="I19" s="49">
        <v>22.668942333541668</v>
      </c>
      <c r="J19" s="49">
        <v>4.298411459375</v>
      </c>
      <c r="K19" s="50">
        <v>54.544250334166662</v>
      </c>
      <c r="M19" t="s">
        <v>216</v>
      </c>
      <c r="N19">
        <f>N18*N15</f>
        <v>-0.36474370167229747</v>
      </c>
      <c r="O19" s="19">
        <f t="shared" ref="O19:W19" si="3">O18*O15</f>
        <v>4.8873943564081153E-2</v>
      </c>
      <c r="P19" s="19">
        <f t="shared" si="3"/>
        <v>0.89630418663387068</v>
      </c>
      <c r="Q19" s="19">
        <f t="shared" si="3"/>
        <v>-4.7070654924301319E-2</v>
      </c>
      <c r="R19" s="19">
        <f t="shared" si="3"/>
        <v>1.4163366482426503E-2</v>
      </c>
      <c r="S19" s="19">
        <f t="shared" si="3"/>
        <v>-5.2342031495172532E-2</v>
      </c>
      <c r="T19" s="19">
        <f t="shared" si="3"/>
        <v>0.24290320559034606</v>
      </c>
      <c r="U19" s="19">
        <f t="shared" si="3"/>
        <v>-0.13878177435998929</v>
      </c>
      <c r="V19" s="19">
        <f t="shared" si="3"/>
        <v>-1.7138120750342798E-2</v>
      </c>
      <c r="W19" s="19">
        <f t="shared" si="3"/>
        <v>2.159351059969937E-2</v>
      </c>
    </row>
    <row r="20" spans="1:24" ht="17.25" thickBot="1" x14ac:dyDescent="0.3">
      <c r="A20" s="49" t="s">
        <v>226</v>
      </c>
      <c r="B20" s="49">
        <v>2.2074470961111112</v>
      </c>
      <c r="C20" s="49">
        <v>-1.1803534343055559</v>
      </c>
      <c r="D20" s="49">
        <v>25.244407986388879</v>
      </c>
      <c r="E20" s="49">
        <v>-2.1295153254166665</v>
      </c>
      <c r="F20" s="49">
        <v>15.910989300694446</v>
      </c>
      <c r="G20" s="49">
        <v>20.735038574583324</v>
      </c>
      <c r="H20" s="49">
        <f>VAR('Q7'!$T$2:$T$13)</f>
        <v>10.567373436060604</v>
      </c>
      <c r="I20" s="49">
        <v>2.033101914861112</v>
      </c>
      <c r="J20" s="49">
        <v>-0.37782257875000019</v>
      </c>
      <c r="K20" s="50">
        <v>-0.38094749611111273</v>
      </c>
      <c r="M20" t="s">
        <v>217</v>
      </c>
      <c r="N20" s="53">
        <f>SUM(N19:W19)</f>
        <v>0.60376192966832043</v>
      </c>
    </row>
    <row r="21" spans="1:24" ht="17.25" thickBot="1" x14ac:dyDescent="0.3">
      <c r="A21" s="49" t="s">
        <v>227</v>
      </c>
      <c r="B21" s="49">
        <v>13.136529143055556</v>
      </c>
      <c r="C21" s="49">
        <v>10.059887846597222</v>
      </c>
      <c r="D21" s="49">
        <v>19.344940663611109</v>
      </c>
      <c r="E21" s="49">
        <v>5.3866698914583324</v>
      </c>
      <c r="F21" s="49">
        <v>17.837056239097222</v>
      </c>
      <c r="G21" s="49">
        <v>22.668942333541668</v>
      </c>
      <c r="H21" s="49">
        <v>2.033101914861112</v>
      </c>
      <c r="I21" s="49">
        <f>VAR('Q7'!$U$2:$U$13)</f>
        <v>23.083467579015146</v>
      </c>
      <c r="J21" s="49">
        <v>3.8349755218749997</v>
      </c>
      <c r="K21" s="50">
        <v>23.81187480777778</v>
      </c>
      <c r="M21" t="s">
        <v>218</v>
      </c>
      <c r="N21" s="58" t="s">
        <v>231</v>
      </c>
      <c r="O21" s="58"/>
      <c r="P21" s="58"/>
      <c r="Q21" s="58"/>
      <c r="R21" s="58"/>
      <c r="S21" s="58"/>
      <c r="T21" s="58"/>
      <c r="U21" s="58"/>
      <c r="V21" s="19"/>
      <c r="W21" s="19"/>
    </row>
    <row r="22" spans="1:24" ht="17.25" thickBot="1" x14ac:dyDescent="0.3">
      <c r="A22" s="49" t="s">
        <v>228</v>
      </c>
      <c r="B22" s="49">
        <v>9.1174056575000009</v>
      </c>
      <c r="C22" s="49">
        <v>3.1877832968750006</v>
      </c>
      <c r="D22" s="49">
        <v>-25.750659137499998</v>
      </c>
      <c r="E22" s="49">
        <v>-0.28688357020833299</v>
      </c>
      <c r="F22" s="49">
        <v>-8.2936204356249998</v>
      </c>
      <c r="G22" s="49">
        <v>4.298411459375</v>
      </c>
      <c r="H22" s="49">
        <v>-0.37782257875000019</v>
      </c>
      <c r="I22" s="49">
        <v>3.8349755218749997</v>
      </c>
      <c r="J22" s="49">
        <f>VAR('Q7'!$V$2:$V$13)</f>
        <v>10.607577465681819</v>
      </c>
      <c r="K22" s="50">
        <v>1.0871983316666654</v>
      </c>
      <c r="N22">
        <f t="array" ref="N22">MMULT(N18:W18,MMULT(B14:K23,TRANSPOSE(N18:W18)))</f>
        <v>31.681501944092574</v>
      </c>
    </row>
    <row r="23" spans="1:24" ht="17.25" thickBot="1" x14ac:dyDescent="0.3">
      <c r="A23" s="50" t="s">
        <v>229</v>
      </c>
      <c r="B23" s="50">
        <v>22.455062733611111</v>
      </c>
      <c r="C23" s="50">
        <v>40.709137726944441</v>
      </c>
      <c r="D23" s="50">
        <v>61.027955085555561</v>
      </c>
      <c r="E23" s="50">
        <v>8.9016148299999998</v>
      </c>
      <c r="F23" s="50">
        <v>20.946532631944443</v>
      </c>
      <c r="G23" s="50">
        <v>54.544250334166662</v>
      </c>
      <c r="H23" s="50">
        <v>-0.38094749611111273</v>
      </c>
      <c r="I23" s="50">
        <v>23.81187480777778</v>
      </c>
      <c r="J23" s="50">
        <v>1.0871983316666654</v>
      </c>
      <c r="K23" s="50">
        <f>VAR('Q7'!$W$2:$W$13)</f>
        <v>71.722993124242421</v>
      </c>
      <c r="M23" t="s">
        <v>219</v>
      </c>
      <c r="N23" s="53">
        <f>N22^0.5</f>
        <v>5.6286323333552861</v>
      </c>
    </row>
  </sheetData>
  <mergeCells count="2">
    <mergeCell ref="L2:L13"/>
    <mergeCell ref="N21:U2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8"/>
  <dimension ref="A1:I26"/>
  <sheetViews>
    <sheetView tabSelected="1" topLeftCell="A10" workbookViewId="0">
      <selection activeCell="A25" sqref="A25:I25"/>
    </sheetView>
  </sheetViews>
  <sheetFormatPr defaultRowHeight="16.5" x14ac:dyDescent="0.25"/>
  <cols>
    <col min="2" max="2" width="12.5" customWidth="1"/>
  </cols>
  <sheetData>
    <row r="1" spans="1:5" x14ac:dyDescent="0.25">
      <c r="A1" t="s">
        <v>131</v>
      </c>
    </row>
    <row r="2" spans="1:5" x14ac:dyDescent="0.25">
      <c r="A2" s="20"/>
      <c r="B2" s="19"/>
      <c r="C2" s="19"/>
      <c r="D2" s="19"/>
    </row>
    <row r="3" spans="1:5" x14ac:dyDescent="0.25">
      <c r="A3" s="20" t="s">
        <v>132</v>
      </c>
      <c r="B3" s="19"/>
      <c r="C3" s="19"/>
      <c r="D3" s="19"/>
    </row>
    <row r="5" spans="1:5" x14ac:dyDescent="0.25">
      <c r="A5" s="19" t="s">
        <v>117</v>
      </c>
      <c r="B5" s="19"/>
      <c r="C5" s="21">
        <v>0.12</v>
      </c>
      <c r="D5" s="19"/>
    </row>
    <row r="6" spans="1:5" ht="19.5" x14ac:dyDescent="0.25">
      <c r="A6" s="19" t="s">
        <v>118</v>
      </c>
      <c r="B6" s="19"/>
      <c r="C6" s="21">
        <v>7.1999999999999995E-2</v>
      </c>
      <c r="D6" s="23" t="s">
        <v>119</v>
      </c>
    </row>
    <row r="7" spans="1:5" x14ac:dyDescent="0.25">
      <c r="A7" s="19" t="s">
        <v>120</v>
      </c>
      <c r="B7" s="19"/>
      <c r="C7" s="21">
        <v>3.5999999999999997E-2</v>
      </c>
      <c r="D7" s="19"/>
    </row>
    <row r="9" spans="1:5" x14ac:dyDescent="0.25">
      <c r="A9" s="19" t="s">
        <v>121</v>
      </c>
      <c r="B9" s="19"/>
      <c r="C9" s="22">
        <v>0.8</v>
      </c>
      <c r="D9" s="19"/>
    </row>
    <row r="10" spans="1:5" x14ac:dyDescent="0.25">
      <c r="A10" s="19" t="s">
        <v>122</v>
      </c>
      <c r="B10" s="19"/>
      <c r="C10" s="22">
        <v>0.2</v>
      </c>
      <c r="D10" s="19"/>
    </row>
    <row r="12" spans="1:5" x14ac:dyDescent="0.25">
      <c r="A12" s="19" t="s">
        <v>123</v>
      </c>
      <c r="B12" s="19"/>
      <c r="C12" s="19"/>
      <c r="D12" s="19"/>
    </row>
    <row r="13" spans="1:5" x14ac:dyDescent="0.25">
      <c r="A13" s="19" t="s">
        <v>124</v>
      </c>
      <c r="B13" s="19"/>
      <c r="C13" s="22">
        <v>0.4</v>
      </c>
      <c r="D13" s="19"/>
      <c r="E13" s="21">
        <f>C13*$C$9</f>
        <v>0.32000000000000006</v>
      </c>
    </row>
    <row r="14" spans="1:5" x14ac:dyDescent="0.25">
      <c r="A14" s="19" t="s">
        <v>125</v>
      </c>
      <c r="B14" s="19"/>
      <c r="C14" s="22">
        <v>0.25</v>
      </c>
      <c r="D14" s="19"/>
      <c r="E14" s="21">
        <f t="shared" ref="E14:E15" si="0">C14*$C$9</f>
        <v>0.2</v>
      </c>
    </row>
    <row r="15" spans="1:5" x14ac:dyDescent="0.25">
      <c r="A15" s="19" t="s">
        <v>126</v>
      </c>
      <c r="B15" s="19"/>
      <c r="C15" s="22">
        <v>0.35</v>
      </c>
      <c r="D15" s="19"/>
      <c r="E15" s="21">
        <f t="shared" si="0"/>
        <v>0.27999999999999997</v>
      </c>
    </row>
    <row r="16" spans="1:5" x14ac:dyDescent="0.25">
      <c r="A16" s="19" t="s">
        <v>127</v>
      </c>
      <c r="B16" s="19"/>
      <c r="C16" s="22">
        <v>1</v>
      </c>
      <c r="D16" s="19"/>
      <c r="E16" s="21">
        <f>SUM(E13:E15)</f>
        <v>0.8</v>
      </c>
    </row>
    <row r="18" spans="1:9" x14ac:dyDescent="0.25">
      <c r="A18" s="20" t="s">
        <v>133</v>
      </c>
    </row>
    <row r="19" spans="1:9" x14ac:dyDescent="0.25">
      <c r="A19" s="19" t="s">
        <v>128</v>
      </c>
    </row>
    <row r="20" spans="1:9" x14ac:dyDescent="0.25">
      <c r="A20" s="19" t="s">
        <v>134</v>
      </c>
    </row>
    <row r="21" spans="1:9" x14ac:dyDescent="0.25">
      <c r="A21" s="19" t="s">
        <v>129</v>
      </c>
    </row>
    <row r="22" spans="1:9" ht="18.75" x14ac:dyDescent="0.25">
      <c r="A22" s="20" t="s">
        <v>130</v>
      </c>
    </row>
    <row r="23" spans="1:9" x14ac:dyDescent="0.25">
      <c r="A23" s="19" t="s">
        <v>135</v>
      </c>
    </row>
    <row r="25" spans="1:9" x14ac:dyDescent="0.25">
      <c r="A25" s="19" t="s">
        <v>251</v>
      </c>
      <c r="B25" s="19" t="s">
        <v>252</v>
      </c>
      <c r="C25" s="19" t="s">
        <v>253</v>
      </c>
      <c r="D25" s="19" t="s">
        <v>254</v>
      </c>
      <c r="E25" s="19" t="s">
        <v>257</v>
      </c>
      <c r="F25" s="19" t="s">
        <v>255</v>
      </c>
      <c r="G25" s="19" t="s">
        <v>213</v>
      </c>
      <c r="H25" s="19" t="s">
        <v>251</v>
      </c>
      <c r="I25" t="s">
        <v>256</v>
      </c>
    </row>
    <row r="26" spans="1:9" x14ac:dyDescent="0.25">
      <c r="B26" s="21">
        <f>E13</f>
        <v>0.32000000000000006</v>
      </c>
      <c r="C26" s="21">
        <f>E14</f>
        <v>0.2</v>
      </c>
      <c r="D26" s="21">
        <f>E15</f>
        <v>0.27999999999999997</v>
      </c>
      <c r="E26" s="22">
        <f>C10</f>
        <v>0.2</v>
      </c>
      <c r="I26" s="21">
        <f>SUM(B26:E26)</f>
        <v>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9"/>
  <dimension ref="A1:AV22"/>
  <sheetViews>
    <sheetView workbookViewId="0">
      <selection activeCell="O21" sqref="O21"/>
    </sheetView>
  </sheetViews>
  <sheetFormatPr defaultColWidth="9" defaultRowHeight="16.5" x14ac:dyDescent="0.25"/>
  <cols>
    <col min="1" max="11" width="9" style="19"/>
    <col min="12" max="12" width="10.125" style="19" bestFit="1" customWidth="1"/>
    <col min="13" max="13" width="11.125" style="19" bestFit="1" customWidth="1"/>
    <col min="14" max="14" width="9" style="19"/>
    <col min="15" max="15" width="9.375" style="19" bestFit="1" customWidth="1"/>
    <col min="16" max="18" width="9" style="19"/>
    <col min="19" max="19" width="9.375" style="19" bestFit="1" customWidth="1"/>
    <col min="20" max="16384" width="9" style="19"/>
  </cols>
  <sheetData>
    <row r="1" spans="1:48" x14ac:dyDescent="0.25">
      <c r="A1" s="19" t="s">
        <v>136</v>
      </c>
      <c r="C1" s="19" t="s">
        <v>150</v>
      </c>
      <c r="K1" s="19" t="s">
        <v>232</v>
      </c>
      <c r="L1" s="19">
        <v>15000</v>
      </c>
    </row>
    <row r="2" spans="1:48" x14ac:dyDescent="0.25">
      <c r="K2" s="19" t="s">
        <v>233</v>
      </c>
      <c r="L2" s="19">
        <v>7.0000000000000007E-2</v>
      </c>
    </row>
    <row r="3" spans="1:48" x14ac:dyDescent="0.25">
      <c r="M3" s="19" t="s">
        <v>235</v>
      </c>
    </row>
    <row r="4" spans="1:48" x14ac:dyDescent="0.25">
      <c r="K4" s="19" t="s">
        <v>234</v>
      </c>
      <c r="L4" s="19">
        <v>0</v>
      </c>
      <c r="M4" s="19">
        <v>1</v>
      </c>
      <c r="N4" s="19">
        <v>2</v>
      </c>
      <c r="O4" s="19">
        <v>3</v>
      </c>
      <c r="P4" s="19">
        <v>4</v>
      </c>
      <c r="Q4" s="19">
        <v>5</v>
      </c>
      <c r="R4" s="19">
        <v>6</v>
      </c>
      <c r="S4" s="19">
        <v>7</v>
      </c>
      <c r="T4" s="19">
        <v>8</v>
      </c>
      <c r="U4" s="19">
        <v>9</v>
      </c>
      <c r="V4" s="19">
        <v>10</v>
      </c>
    </row>
    <row r="5" spans="1:48" x14ac:dyDescent="0.25">
      <c r="L5" s="19">
        <v>15000</v>
      </c>
      <c r="M5" s="19">
        <f>$L$1*(1+$L$2)^M4</f>
        <v>16050.000000000002</v>
      </c>
      <c r="N5" s="19">
        <f t="shared" ref="N5:V5" si="0">$L$1*(1+$L$2)^N4</f>
        <v>17173.5</v>
      </c>
      <c r="O5" s="19">
        <f t="shared" si="0"/>
        <v>18375.645</v>
      </c>
      <c r="P5" s="19">
        <f t="shared" si="0"/>
        <v>19661.940149999999</v>
      </c>
      <c r="Q5" s="19">
        <f t="shared" si="0"/>
        <v>21038.275960500003</v>
      </c>
      <c r="R5" s="19">
        <f t="shared" si="0"/>
        <v>22510.955277735</v>
      </c>
      <c r="S5" s="19">
        <f t="shared" si="0"/>
        <v>24086.722147176453</v>
      </c>
      <c r="T5" s="19">
        <f t="shared" si="0"/>
        <v>25772.792697478802</v>
      </c>
      <c r="U5" s="19">
        <f t="shared" si="0"/>
        <v>27576.888186302323</v>
      </c>
      <c r="V5" s="19">
        <f t="shared" si="0"/>
        <v>29507.270359343485</v>
      </c>
    </row>
    <row r="7" spans="1:48" x14ac:dyDescent="0.25">
      <c r="K7" s="19" t="s">
        <v>236</v>
      </c>
      <c r="O7" s="54">
        <f>-PMT($L$2,O4,,O5)</f>
        <v>5715.7749852250463</v>
      </c>
      <c r="P7" s="54"/>
      <c r="Q7" s="54"/>
      <c r="R7" s="54"/>
      <c r="S7" s="54">
        <f>-PMT($L$2,S4,,S5)</f>
        <v>2783.2982944673909</v>
      </c>
      <c r="T7" s="54"/>
      <c r="U7" s="54">
        <f t="shared" ref="U7" si="1">-PMT($L$2,U4,,U5)</f>
        <v>2302.2970520763288</v>
      </c>
    </row>
    <row r="8" spans="1:48" x14ac:dyDescent="0.25">
      <c r="M8" s="19">
        <v>1</v>
      </c>
      <c r="N8" s="19">
        <v>2</v>
      </c>
      <c r="O8" s="19">
        <v>3</v>
      </c>
      <c r="P8" s="19">
        <v>4</v>
      </c>
      <c r="Q8" s="19">
        <v>5</v>
      </c>
      <c r="R8" s="19">
        <v>6</v>
      </c>
      <c r="S8" s="19">
        <v>7</v>
      </c>
      <c r="T8" s="19">
        <v>8</v>
      </c>
      <c r="U8" s="19">
        <v>9</v>
      </c>
      <c r="V8" s="19">
        <v>10</v>
      </c>
      <c r="W8" s="19">
        <v>11</v>
      </c>
      <c r="X8" s="19">
        <v>12</v>
      </c>
      <c r="Y8" s="19">
        <v>13</v>
      </c>
      <c r="Z8" s="19">
        <v>14</v>
      </c>
      <c r="AA8" s="19">
        <v>15</v>
      </c>
      <c r="AB8" s="19">
        <v>16</v>
      </c>
      <c r="AC8" s="19">
        <v>17</v>
      </c>
      <c r="AD8" s="19">
        <v>18</v>
      </c>
      <c r="AE8" s="19">
        <v>19</v>
      </c>
      <c r="AF8" s="19">
        <v>20</v>
      </c>
      <c r="AG8" s="19">
        <v>21</v>
      </c>
      <c r="AH8" s="19">
        <v>22</v>
      </c>
      <c r="AI8" s="19">
        <v>23</v>
      </c>
      <c r="AJ8" s="19">
        <v>24</v>
      </c>
      <c r="AK8" s="19">
        <v>25</v>
      </c>
      <c r="AL8" s="19">
        <v>26</v>
      </c>
      <c r="AM8" s="19">
        <v>27</v>
      </c>
      <c r="AN8" s="19">
        <v>28</v>
      </c>
      <c r="AO8" s="19">
        <v>29</v>
      </c>
      <c r="AP8" s="19">
        <v>30</v>
      </c>
      <c r="AQ8" s="19">
        <v>31</v>
      </c>
      <c r="AR8" s="19">
        <v>32</v>
      </c>
      <c r="AS8" s="19">
        <v>33</v>
      </c>
      <c r="AT8" s="19">
        <v>34</v>
      </c>
      <c r="AU8" s="19">
        <v>35</v>
      </c>
      <c r="AV8" s="19">
        <v>36</v>
      </c>
    </row>
    <row r="9" spans="1:48" x14ac:dyDescent="0.25">
      <c r="K9" s="19" t="s">
        <v>237</v>
      </c>
      <c r="L9" s="57">
        <v>1</v>
      </c>
      <c r="M9" s="57"/>
      <c r="N9" s="57"/>
      <c r="O9" s="57"/>
      <c r="P9" s="57">
        <v>2</v>
      </c>
      <c r="Q9" s="57"/>
      <c r="R9" s="57"/>
      <c r="S9" s="57"/>
      <c r="T9" s="57">
        <v>3</v>
      </c>
      <c r="U9" s="57"/>
      <c r="V9" s="57"/>
      <c r="W9" s="57"/>
      <c r="X9" s="57">
        <v>4</v>
      </c>
      <c r="Y9" s="57"/>
      <c r="Z9" s="57"/>
      <c r="AA9" s="57"/>
      <c r="AB9" s="57">
        <v>5</v>
      </c>
      <c r="AC9" s="57"/>
      <c r="AD9" s="57"/>
      <c r="AE9" s="57"/>
      <c r="AF9" s="57">
        <v>6</v>
      </c>
      <c r="AG9" s="57"/>
      <c r="AH9" s="57"/>
      <c r="AI9" s="57"/>
      <c r="AJ9" s="57">
        <v>7</v>
      </c>
      <c r="AK9" s="57"/>
      <c r="AL9" s="57"/>
      <c r="AM9" s="57"/>
      <c r="AN9" s="19">
        <v>8</v>
      </c>
    </row>
    <row r="10" spans="1:48" x14ac:dyDescent="0.25">
      <c r="K10" s="19" t="s">
        <v>234</v>
      </c>
      <c r="L10" s="19" t="s">
        <v>240</v>
      </c>
      <c r="M10" s="19" t="s">
        <v>238</v>
      </c>
      <c r="N10" s="19" t="s">
        <v>239</v>
      </c>
      <c r="O10" s="19" t="s">
        <v>241</v>
      </c>
      <c r="P10" s="19" t="s">
        <v>240</v>
      </c>
      <c r="Q10" s="19" t="s">
        <v>238</v>
      </c>
      <c r="R10" s="19" t="s">
        <v>239</v>
      </c>
      <c r="S10" s="19" t="s">
        <v>241</v>
      </c>
      <c r="T10" s="19" t="s">
        <v>240</v>
      </c>
      <c r="U10" s="19" t="s">
        <v>238</v>
      </c>
      <c r="V10" s="19" t="s">
        <v>239</v>
      </c>
      <c r="W10" s="19" t="s">
        <v>241</v>
      </c>
      <c r="X10" s="19" t="s">
        <v>240</v>
      </c>
      <c r="Y10" s="19" t="s">
        <v>238</v>
      </c>
      <c r="Z10" s="19" t="s">
        <v>239</v>
      </c>
      <c r="AA10" s="19" t="s">
        <v>241</v>
      </c>
      <c r="AB10" s="19" t="s">
        <v>240</v>
      </c>
      <c r="AC10" s="19" t="s">
        <v>238</v>
      </c>
      <c r="AD10" s="19" t="s">
        <v>239</v>
      </c>
      <c r="AE10" s="19" t="s">
        <v>241</v>
      </c>
      <c r="AF10" s="19" t="s">
        <v>240</v>
      </c>
      <c r="AG10" s="19" t="s">
        <v>238</v>
      </c>
      <c r="AH10" s="19" t="s">
        <v>239</v>
      </c>
      <c r="AI10" s="19" t="s">
        <v>241</v>
      </c>
      <c r="AJ10" s="19" t="s">
        <v>240</v>
      </c>
      <c r="AK10" s="19" t="s">
        <v>238</v>
      </c>
      <c r="AL10" s="19" t="s">
        <v>239</v>
      </c>
      <c r="AM10" s="19" t="s">
        <v>241</v>
      </c>
      <c r="AN10" s="19" t="s">
        <v>240</v>
      </c>
      <c r="AO10" s="19" t="s">
        <v>238</v>
      </c>
      <c r="AP10" s="19" t="s">
        <v>239</v>
      </c>
      <c r="AQ10" s="19" t="s">
        <v>241</v>
      </c>
      <c r="AR10" s="19" t="s">
        <v>240</v>
      </c>
      <c r="AS10" s="19" t="s">
        <v>238</v>
      </c>
      <c r="AT10" s="19" t="s">
        <v>239</v>
      </c>
      <c r="AU10" s="19" t="s">
        <v>241</v>
      </c>
    </row>
    <row r="11" spans="1:48" x14ac:dyDescent="0.25">
      <c r="J11" s="19">
        <f>AN11</f>
        <v>24381.193440406416</v>
      </c>
      <c r="K11" s="19" t="s">
        <v>242</v>
      </c>
      <c r="L11" s="19">
        <f>L1</f>
        <v>15000</v>
      </c>
      <c r="M11" s="19">
        <f>$L$1*(1+$L$2/4)^M8</f>
        <v>15262.500000000002</v>
      </c>
      <c r="N11" s="19">
        <f t="shared" ref="N11:AQ11" si="2">$L$1*(1+$L$2/4)^N8</f>
        <v>15529.593750000002</v>
      </c>
      <c r="O11" s="19">
        <f t="shared" si="2"/>
        <v>15801.361640625002</v>
      </c>
      <c r="P11" s="19">
        <f t="shared" si="2"/>
        <v>16077.885469335943</v>
      </c>
      <c r="Q11" s="19">
        <f t="shared" si="2"/>
        <v>16359.248465049322</v>
      </c>
      <c r="R11" s="19">
        <f t="shared" si="2"/>
        <v>16645.535313187687</v>
      </c>
      <c r="S11" s="19">
        <f t="shared" si="2"/>
        <v>16936.832181168469</v>
      </c>
      <c r="T11" s="19">
        <f t="shared" si="2"/>
        <v>17233.226744338921</v>
      </c>
      <c r="U11" s="19">
        <f t="shared" si="2"/>
        <v>17534.808212364853</v>
      </c>
      <c r="V11" s="19">
        <f t="shared" si="2"/>
        <v>17841.667356081241</v>
      </c>
      <c r="W11" s="19">
        <f t="shared" si="2"/>
        <v>18153.896534812662</v>
      </c>
      <c r="X11" s="19">
        <f t="shared" si="2"/>
        <v>18471.589724171885</v>
      </c>
      <c r="Y11" s="19">
        <f t="shared" si="2"/>
        <v>18794.842544344894</v>
      </c>
      <c r="Z11" s="19">
        <f t="shared" si="2"/>
        <v>19123.752288870932</v>
      </c>
      <c r="AA11" s="19">
        <f t="shared" si="2"/>
        <v>19458.417953926171</v>
      </c>
      <c r="AB11" s="19">
        <f t="shared" si="2"/>
        <v>19798.940268119884</v>
      </c>
      <c r="AC11" s="19">
        <f t="shared" si="2"/>
        <v>20145.421722811985</v>
      </c>
      <c r="AD11" s="19">
        <f t="shared" si="2"/>
        <v>20497.966602961194</v>
      </c>
      <c r="AE11" s="19">
        <f t="shared" si="2"/>
        <v>20856.681018513016</v>
      </c>
      <c r="AF11" s="19">
        <f t="shared" si="2"/>
        <v>21221.672936337</v>
      </c>
      <c r="AG11" s="19">
        <f t="shared" si="2"/>
        <v>21593.052212722894</v>
      </c>
      <c r="AH11" s="19">
        <f t="shared" si="2"/>
        <v>21970.930626445548</v>
      </c>
      <c r="AI11" s="19">
        <f t="shared" si="2"/>
        <v>22355.421912408343</v>
      </c>
      <c r="AJ11" s="19">
        <f t="shared" si="2"/>
        <v>22746.641795875497</v>
      </c>
      <c r="AK11" s="19">
        <f t="shared" si="2"/>
        <v>23144.708027303321</v>
      </c>
      <c r="AL11" s="19">
        <f t="shared" si="2"/>
        <v>23549.740417781126</v>
      </c>
      <c r="AM11" s="19">
        <f t="shared" si="2"/>
        <v>23961.860875092298</v>
      </c>
      <c r="AN11" s="53">
        <f t="shared" si="2"/>
        <v>24381.193440406416</v>
      </c>
      <c r="AO11" s="19">
        <f t="shared" si="2"/>
        <v>24807.864325613529</v>
      </c>
      <c r="AP11" s="19">
        <f t="shared" si="2"/>
        <v>25242.00195131177</v>
      </c>
      <c r="AQ11" s="19">
        <f t="shared" si="2"/>
        <v>25683.736985459724</v>
      </c>
    </row>
    <row r="12" spans="1:48" x14ac:dyDescent="0.25">
      <c r="K12" s="19" t="s">
        <v>243</v>
      </c>
      <c r="L12" s="19">
        <f>L1*(1+L2/12)^(12*7)</f>
        <v>24449.910811019316</v>
      </c>
    </row>
    <row r="13" spans="1:48" x14ac:dyDescent="0.25">
      <c r="K13" s="19" t="s">
        <v>244</v>
      </c>
      <c r="L13" s="19">
        <f>L1*(1+L2/52)^(52*7)</f>
        <v>24476.676611471335</v>
      </c>
    </row>
    <row r="14" spans="1:48" x14ac:dyDescent="0.25">
      <c r="K14" s="19" t="s">
        <v>245</v>
      </c>
      <c r="L14" s="19">
        <f>L1*(1+L2/365)^(365*7)</f>
        <v>24483.593025889797</v>
      </c>
    </row>
    <row r="16" spans="1:48" x14ac:dyDescent="0.25">
      <c r="K16" s="19" t="s">
        <v>246</v>
      </c>
      <c r="L16" s="19" t="s">
        <v>236</v>
      </c>
      <c r="M16" s="19" t="s">
        <v>242</v>
      </c>
      <c r="N16" s="54">
        <f>-PMT(L2/4,4*7,,J11)</f>
        <v>682.22271705224011</v>
      </c>
    </row>
    <row r="17" spans="11:15" x14ac:dyDescent="0.25">
      <c r="M17" s="19" t="s">
        <v>243</v>
      </c>
      <c r="N17" s="54">
        <f>-PMT(L2/12,12*7,,L12)</f>
        <v>226.39019973284124</v>
      </c>
    </row>
    <row r="18" spans="11:15" x14ac:dyDescent="0.25">
      <c r="M18" s="19" t="s">
        <v>244</v>
      </c>
      <c r="N18" s="54">
        <f>-PMT(L2/52,52*7,,L13)</f>
        <v>52.153366173294067</v>
      </c>
    </row>
    <row r="19" spans="11:15" x14ac:dyDescent="0.25">
      <c r="M19" s="19" t="s">
        <v>245</v>
      </c>
      <c r="N19" s="54">
        <f>-PMT(L2/365,365*7,,L14)</f>
        <v>7.4267478283605293</v>
      </c>
    </row>
    <row r="21" spans="11:15" x14ac:dyDescent="0.25">
      <c r="K21" s="19" t="s">
        <v>247</v>
      </c>
      <c r="L21" s="19" t="s">
        <v>248</v>
      </c>
      <c r="M21" s="55">
        <f>FV(0.07,7,,-15000)</f>
        <v>24086.722147176453</v>
      </c>
      <c r="O21" s="19" t="s">
        <v>250</v>
      </c>
    </row>
    <row r="22" spans="11:15" x14ac:dyDescent="0.25">
      <c r="L22" s="19" t="s">
        <v>249</v>
      </c>
      <c r="M22" s="54">
        <f>FV(0.067/4,28,,-15000)</f>
        <v>23882.96978499509</v>
      </c>
    </row>
  </sheetData>
  <mergeCells count="7">
    <mergeCell ref="AJ9:AM9"/>
    <mergeCell ref="L9:O9"/>
    <mergeCell ref="P9:S9"/>
    <mergeCell ref="T9:W9"/>
    <mergeCell ref="X9:AA9"/>
    <mergeCell ref="AB9:AE9"/>
    <mergeCell ref="AF9:AI9"/>
  </mergeCells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10"/>
  <dimension ref="A1:G8"/>
  <sheetViews>
    <sheetView topLeftCell="A22" workbookViewId="0">
      <selection activeCell="A2" sqref="A2"/>
    </sheetView>
  </sheetViews>
  <sheetFormatPr defaultColWidth="9" defaultRowHeight="16.5" x14ac:dyDescent="0.25"/>
  <cols>
    <col min="1" max="1" width="11.75" style="19" bestFit="1" customWidth="1"/>
    <col min="2" max="16384" width="9" style="19"/>
  </cols>
  <sheetData>
    <row r="1" spans="1:7" x14ac:dyDescent="0.25">
      <c r="A1" s="19" t="s">
        <v>149</v>
      </c>
    </row>
    <row r="2" spans="1:7" ht="17.25" thickBot="1" x14ac:dyDescent="0.3"/>
    <row r="3" spans="1:7" ht="26.25" thickBot="1" x14ac:dyDescent="0.25">
      <c r="A3" s="24" t="s">
        <v>137</v>
      </c>
      <c r="B3" s="25" t="s">
        <v>138</v>
      </c>
      <c r="C3" s="25" t="s">
        <v>139</v>
      </c>
      <c r="D3" s="25" t="s">
        <v>140</v>
      </c>
      <c r="E3" s="25" t="s">
        <v>141</v>
      </c>
      <c r="F3" s="26" t="s">
        <v>142</v>
      </c>
      <c r="G3" s="25" t="s">
        <v>143</v>
      </c>
    </row>
    <row r="4" spans="1:7" x14ac:dyDescent="0.2">
      <c r="A4" s="27" t="s">
        <v>144</v>
      </c>
      <c r="B4" s="28">
        <v>0.1</v>
      </c>
      <c r="C4" s="29">
        <v>0.08</v>
      </c>
      <c r="D4" s="29">
        <v>-0.22</v>
      </c>
      <c r="E4" s="29">
        <v>0.28000000000000003</v>
      </c>
      <c r="F4" s="29">
        <v>0.1</v>
      </c>
      <c r="G4" s="29">
        <v>-0.13</v>
      </c>
    </row>
    <row r="5" spans="1:7" x14ac:dyDescent="0.2">
      <c r="A5" s="27" t="s">
        <v>145</v>
      </c>
      <c r="B5" s="28">
        <v>0.2</v>
      </c>
      <c r="C5" s="29">
        <v>0.06</v>
      </c>
      <c r="D5" s="29">
        <v>-0.02</v>
      </c>
      <c r="E5" s="29">
        <v>0.14699999999999999</v>
      </c>
      <c r="F5" s="29">
        <v>-0.1</v>
      </c>
      <c r="G5" s="29">
        <v>0.01</v>
      </c>
    </row>
    <row r="6" spans="1:7" x14ac:dyDescent="0.2">
      <c r="A6" s="27" t="s">
        <v>146</v>
      </c>
      <c r="B6" s="28">
        <v>0.4</v>
      </c>
      <c r="C6" s="29">
        <v>0.08</v>
      </c>
      <c r="D6" s="29">
        <v>0.2</v>
      </c>
      <c r="E6" s="29">
        <v>0</v>
      </c>
      <c r="F6" s="29">
        <v>7.0000000000000007E-2</v>
      </c>
      <c r="G6" s="29">
        <v>0.15</v>
      </c>
    </row>
    <row r="7" spans="1:7" x14ac:dyDescent="0.2">
      <c r="A7" s="27" t="s">
        <v>147</v>
      </c>
      <c r="B7" s="28">
        <v>0.2</v>
      </c>
      <c r="C7" s="29">
        <v>0.06</v>
      </c>
      <c r="D7" s="29">
        <v>0.35</v>
      </c>
      <c r="E7" s="29">
        <v>-0.1</v>
      </c>
      <c r="F7" s="29">
        <v>0.45</v>
      </c>
      <c r="G7" s="29">
        <v>0.28999999999999998</v>
      </c>
    </row>
    <row r="8" spans="1:7" ht="17.25" thickBot="1" x14ac:dyDescent="0.25">
      <c r="A8" s="30" t="s">
        <v>148</v>
      </c>
      <c r="B8" s="31">
        <v>0.1</v>
      </c>
      <c r="C8" s="32">
        <v>0.08</v>
      </c>
      <c r="D8" s="32">
        <v>0.5</v>
      </c>
      <c r="E8" s="32">
        <v>-0.2</v>
      </c>
      <c r="F8" s="32">
        <v>0.3</v>
      </c>
      <c r="G8" s="32">
        <v>0.43</v>
      </c>
    </row>
  </sheetData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8193" r:id="rId3">
          <objectPr defaultSize="0" autoPict="0" r:id="rId4">
            <anchor moveWithCells="1">
              <from>
                <xdr:col>0</xdr:col>
                <xdr:colOff>314325</xdr:colOff>
                <xdr:row>23</xdr:row>
                <xdr:rowOff>19050</xdr:rowOff>
              </from>
              <to>
                <xdr:col>2</xdr:col>
                <xdr:colOff>76200</xdr:colOff>
                <xdr:row>25</xdr:row>
                <xdr:rowOff>0</xdr:rowOff>
              </to>
            </anchor>
          </objectPr>
        </oleObject>
      </mc:Choice>
      <mc:Fallback>
        <oleObject progId="Equation.3" shapeId="8193" r:id="rId3"/>
      </mc:Fallback>
    </mc:AlternateContent>
    <mc:AlternateContent xmlns:mc="http://schemas.openxmlformats.org/markup-compatibility/2006">
      <mc:Choice Requires="x14">
        <oleObject progId="Equation.3" shapeId="8194" r:id="rId5">
          <objectPr defaultSize="0" autoPict="0" r:id="rId6">
            <anchor moveWithCells="1" sizeWithCells="1">
              <from>
                <xdr:col>0</xdr:col>
                <xdr:colOff>114300</xdr:colOff>
                <xdr:row>29</xdr:row>
                <xdr:rowOff>85725</xdr:rowOff>
              </from>
              <to>
                <xdr:col>4</xdr:col>
                <xdr:colOff>66675</xdr:colOff>
                <xdr:row>32</xdr:row>
                <xdr:rowOff>0</xdr:rowOff>
              </to>
            </anchor>
          </objectPr>
        </oleObject>
      </mc:Choice>
      <mc:Fallback>
        <oleObject progId="Equation.3" shapeId="8194" r:id="rId5"/>
      </mc:Fallback>
    </mc:AlternateContent>
    <mc:AlternateContent xmlns:mc="http://schemas.openxmlformats.org/markup-compatibility/2006">
      <mc:Choice Requires="x14">
        <oleObject progId="Equation.3" shapeId="8195" r:id="rId7">
          <objectPr defaultSize="0" autoPict="0" r:id="rId8">
            <anchor moveWithCells="1" sizeWithCells="1">
              <from>
                <xdr:col>0</xdr:col>
                <xdr:colOff>104775</xdr:colOff>
                <xdr:row>26</xdr:row>
                <xdr:rowOff>9525</xdr:rowOff>
              </from>
              <to>
                <xdr:col>2</xdr:col>
                <xdr:colOff>142875</xdr:colOff>
                <xdr:row>28</xdr:row>
                <xdr:rowOff>95250</xdr:rowOff>
              </to>
            </anchor>
          </objectPr>
        </oleObject>
      </mc:Choice>
      <mc:Fallback>
        <oleObject progId="Equation.3" shapeId="8195" r:id="rId7"/>
      </mc:Fallback>
    </mc:AlternateContent>
    <mc:AlternateContent xmlns:mc="http://schemas.openxmlformats.org/markup-compatibility/2006">
      <mc:Choice Requires="x14">
        <oleObject progId="Equation.3" shapeId="8196" r:id="rId9">
          <objectPr defaultSize="0" autoPict="0" r:id="rId10">
            <anchor moveWithCells="1" sizeWithCells="1">
              <from>
                <xdr:col>0</xdr:col>
                <xdr:colOff>228600</xdr:colOff>
                <xdr:row>33</xdr:row>
                <xdr:rowOff>28575</xdr:rowOff>
              </from>
              <to>
                <xdr:col>3</xdr:col>
                <xdr:colOff>590550</xdr:colOff>
                <xdr:row>35</xdr:row>
                <xdr:rowOff>152400</xdr:rowOff>
              </to>
            </anchor>
          </objectPr>
        </oleObject>
      </mc:Choice>
      <mc:Fallback>
        <oleObject progId="Equation.3" shapeId="8196" r:id="rId9"/>
      </mc:Fallback>
    </mc:AlternateContent>
    <mc:AlternateContent xmlns:mc="http://schemas.openxmlformats.org/markup-compatibility/2006">
      <mc:Choice Requires="x14">
        <oleObject progId="Equation.3" shapeId="8197" r:id="rId11">
          <objectPr defaultSize="0" autoPict="0" r:id="rId12">
            <anchor moveWithCells="1" sizeWithCells="1">
              <from>
                <xdr:col>0</xdr:col>
                <xdr:colOff>266700</xdr:colOff>
                <xdr:row>36</xdr:row>
                <xdr:rowOff>142875</xdr:rowOff>
              </from>
              <to>
                <xdr:col>3</xdr:col>
                <xdr:colOff>76200</xdr:colOff>
                <xdr:row>38</xdr:row>
                <xdr:rowOff>66675</xdr:rowOff>
              </to>
            </anchor>
          </objectPr>
        </oleObject>
      </mc:Choice>
      <mc:Fallback>
        <oleObject progId="Equation.3" shapeId="8197" r:id="rId11"/>
      </mc:Fallback>
    </mc:AlternateContent>
    <mc:AlternateContent xmlns:mc="http://schemas.openxmlformats.org/markup-compatibility/2006">
      <mc:Choice Requires="x14">
        <oleObject progId="Equation.3" shapeId="8198" r:id="rId13">
          <objectPr defaultSize="0" autoPict="0" r:id="rId14">
            <anchor moveWithCells="1" sizeWithCells="1">
              <from>
                <xdr:col>0</xdr:col>
                <xdr:colOff>123825</xdr:colOff>
                <xdr:row>39</xdr:row>
                <xdr:rowOff>85725</xdr:rowOff>
              </from>
              <to>
                <xdr:col>7</xdr:col>
                <xdr:colOff>504825</xdr:colOff>
                <xdr:row>41</xdr:row>
                <xdr:rowOff>76200</xdr:rowOff>
              </to>
            </anchor>
          </objectPr>
        </oleObject>
      </mc:Choice>
      <mc:Fallback>
        <oleObject progId="Equation.3" shapeId="8198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Q1-Q4</vt:lpstr>
      <vt:lpstr>A1.2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王博奕</cp:lastModifiedBy>
  <dcterms:created xsi:type="dcterms:W3CDTF">2019-11-01T05:18:27Z</dcterms:created>
  <dcterms:modified xsi:type="dcterms:W3CDTF">2021-11-15T18:16:28Z</dcterms:modified>
</cp:coreProperties>
</file>