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580" windowHeight="9735" firstSheet="1" activeTab="1"/>
  </bookViews>
  <sheets>
    <sheet name="декабрь 2013" sheetId="1" state="hidden" r:id="rId1"/>
    <sheet name="ноябрь 2013 " sheetId="2" r:id="rId2"/>
  </sheets>
  <calcPr calcId="145621"/>
</workbook>
</file>

<file path=xl/calcChain.xml><?xml version="1.0" encoding="utf-8"?>
<calcChain xmlns="http://schemas.openxmlformats.org/spreadsheetml/2006/main">
  <c r="E8" i="2" l="1"/>
  <c r="F13" i="2"/>
  <c r="F9" i="2"/>
  <c r="D9" i="2"/>
  <c r="E9" i="2" s="1"/>
  <c r="D11" i="2"/>
  <c r="E11" i="2" s="1"/>
  <c r="D13" i="2"/>
  <c r="E13" i="2" s="1"/>
  <c r="D8" i="2"/>
  <c r="F8" i="2" s="1"/>
  <c r="H20" i="2"/>
  <c r="H21" i="2"/>
  <c r="H19" i="2"/>
  <c r="H18" i="2"/>
  <c r="H17" i="2"/>
  <c r="H15" i="2" s="1"/>
  <c r="H22" i="2"/>
  <c r="K15" i="2"/>
  <c r="H6" i="2"/>
  <c r="H12" i="2"/>
  <c r="D12" i="2" s="1"/>
  <c r="K21" i="2"/>
  <c r="K20" i="2"/>
  <c r="K18" i="2"/>
  <c r="K19" i="2"/>
  <c r="K6" i="2"/>
  <c r="N19" i="2"/>
  <c r="N18" i="2"/>
  <c r="N17" i="2"/>
  <c r="N21" i="2"/>
  <c r="N20" i="2"/>
  <c r="N22" i="2"/>
  <c r="N6" i="2"/>
  <c r="N12" i="2"/>
  <c r="Q10" i="2"/>
  <c r="Q6" i="2" s="1"/>
  <c r="F12" i="2" l="1"/>
  <c r="E12" i="2"/>
  <c r="F11" i="2"/>
  <c r="D10" i="2"/>
  <c r="N15" i="2"/>
  <c r="F10" i="2" l="1"/>
  <c r="E10" i="2"/>
  <c r="D6" i="2"/>
  <c r="Q15" i="2" l="1"/>
  <c r="Q19" i="2"/>
  <c r="D19" i="2" s="1"/>
  <c r="Q17" i="2"/>
  <c r="D17" i="2" s="1"/>
  <c r="Q22" i="2"/>
  <c r="D22" i="2" s="1"/>
  <c r="Q21" i="2"/>
  <c r="D21" i="2" s="1"/>
  <c r="Q20" i="2"/>
  <c r="D20" i="2" s="1"/>
  <c r="Q18" i="2"/>
  <c r="D18" i="2" s="1"/>
  <c r="F20" i="2" l="1"/>
  <c r="E20" i="2"/>
  <c r="E19" i="2"/>
  <c r="F19" i="2"/>
  <c r="E21" i="2"/>
  <c r="F21" i="2"/>
  <c r="F22" i="2"/>
  <c r="E22" i="2"/>
  <c r="R21" i="2"/>
  <c r="F18" i="2"/>
  <c r="E18" i="2"/>
  <c r="E17" i="2"/>
  <c r="D15" i="2"/>
  <c r="F17" i="2"/>
  <c r="G8" i="2"/>
  <c r="G9" i="2"/>
  <c r="G10" i="2"/>
  <c r="G11" i="2"/>
  <c r="G12" i="2"/>
  <c r="G13" i="2"/>
  <c r="G17" i="2"/>
  <c r="G18" i="2"/>
  <c r="G19" i="2"/>
  <c r="G20" i="2"/>
  <c r="S20" i="2" s="1"/>
  <c r="G21" i="2"/>
  <c r="S21" i="2" s="1"/>
  <c r="G22" i="2"/>
  <c r="M22" i="2" s="1"/>
  <c r="J19" i="2"/>
  <c r="S19" i="2"/>
  <c r="C15" i="2"/>
  <c r="J12" i="2"/>
  <c r="M8" i="2"/>
  <c r="C6" i="2"/>
  <c r="R12" i="2" l="1"/>
  <c r="S12" i="2"/>
  <c r="O8" i="2"/>
  <c r="P8" i="2"/>
  <c r="R8" i="2"/>
  <c r="S8" i="2"/>
  <c r="G6" i="2"/>
  <c r="E6" i="2"/>
  <c r="F6" i="2"/>
  <c r="M12" i="2"/>
  <c r="M18" i="2"/>
  <c r="O18" i="2"/>
  <c r="P18" i="2"/>
  <c r="S18" i="2"/>
  <c r="R18" i="2"/>
  <c r="M11" i="2"/>
  <c r="O11" i="2"/>
  <c r="P11" i="2"/>
  <c r="R11" i="2"/>
  <c r="S11" i="2"/>
  <c r="J8" i="2"/>
  <c r="J21" i="2"/>
  <c r="O21" i="2"/>
  <c r="P21" i="2"/>
  <c r="P17" i="2"/>
  <c r="O17" i="2"/>
  <c r="S17" i="2"/>
  <c r="R17" i="2"/>
  <c r="M10" i="2"/>
  <c r="O10" i="2"/>
  <c r="P10" i="2"/>
  <c r="R10" i="2"/>
  <c r="S10" i="2"/>
  <c r="M13" i="2"/>
  <c r="P13" i="2"/>
  <c r="O13" i="2"/>
  <c r="R13" i="2"/>
  <c r="S13" i="2"/>
  <c r="J9" i="2"/>
  <c r="O9" i="2"/>
  <c r="P9" i="2"/>
  <c r="R9" i="2"/>
  <c r="S9" i="2"/>
  <c r="F15" i="2"/>
  <c r="E15" i="2"/>
  <c r="J18" i="2"/>
  <c r="J20" i="2"/>
  <c r="J11" i="2"/>
  <c r="M20" i="2"/>
  <c r="M21" i="2"/>
  <c r="S22" i="2"/>
  <c r="G15" i="2"/>
  <c r="S15" i="2" s="1"/>
  <c r="J17" i="2"/>
  <c r="J22" i="2"/>
  <c r="M17" i="2"/>
  <c r="M9" i="2"/>
  <c r="S6" i="2"/>
  <c r="R6" i="2"/>
  <c r="P6" i="2"/>
  <c r="O6" i="2"/>
  <c r="J6" i="2"/>
  <c r="M6" i="2"/>
  <c r="I6" i="2"/>
  <c r="L6" i="2"/>
  <c r="I8" i="2"/>
  <c r="L8" i="2"/>
  <c r="I9" i="2"/>
  <c r="L9" i="2"/>
  <c r="I10" i="2"/>
  <c r="J10" i="2"/>
  <c r="L10" i="2"/>
  <c r="I11" i="2"/>
  <c r="L11" i="2"/>
  <c r="I12" i="2"/>
  <c r="L12" i="2"/>
  <c r="O12" i="2"/>
  <c r="P12" i="2"/>
  <c r="I13" i="2"/>
  <c r="J13" i="2"/>
  <c r="L13" i="2"/>
  <c r="I17" i="2"/>
  <c r="L17" i="2"/>
  <c r="I18" i="2"/>
  <c r="L18" i="2"/>
  <c r="I19" i="2"/>
  <c r="L19" i="2"/>
  <c r="M19" i="2"/>
  <c r="O19" i="2"/>
  <c r="P19" i="2"/>
  <c r="R19" i="2"/>
  <c r="I20" i="2"/>
  <c r="L20" i="2"/>
  <c r="O20" i="2"/>
  <c r="P20" i="2"/>
  <c r="R20" i="2"/>
  <c r="I21" i="2"/>
  <c r="L21" i="2"/>
  <c r="I22" i="2"/>
  <c r="L22" i="2"/>
  <c r="O22" i="2"/>
  <c r="P22" i="2"/>
  <c r="R22" i="2"/>
  <c r="Q15" i="1"/>
  <c r="Q6" i="1"/>
  <c r="O15" i="2" l="1"/>
  <c r="J15" i="2"/>
  <c r="P15" i="2"/>
  <c r="L15" i="2"/>
  <c r="R15" i="2"/>
  <c r="I15" i="2"/>
  <c r="M15" i="2"/>
  <c r="C15" i="1"/>
  <c r="H12" i="1"/>
  <c r="H11" i="1"/>
  <c r="C6" i="1"/>
  <c r="H20" i="1"/>
  <c r="H22" i="1"/>
  <c r="H21" i="1"/>
  <c r="H17" i="1"/>
  <c r="H18" i="1"/>
  <c r="H8" i="1"/>
  <c r="H6" i="1" s="1"/>
  <c r="E18" i="1"/>
  <c r="E12" i="1"/>
  <c r="E9" i="1"/>
  <c r="E6" i="1" s="1"/>
  <c r="E19" i="1"/>
  <c r="E17" i="1"/>
  <c r="E15" i="1" s="1"/>
  <c r="E22" i="1"/>
  <c r="E20" i="1"/>
  <c r="E21" i="1"/>
  <c r="D6" i="1" l="1"/>
  <c r="S6" i="1"/>
  <c r="R6" i="1"/>
  <c r="S15" i="1"/>
  <c r="R15" i="1"/>
  <c r="H15" i="1"/>
  <c r="F6" i="1"/>
  <c r="G6" i="1"/>
  <c r="J6" i="1"/>
  <c r="I6" i="1"/>
  <c r="P6" i="1"/>
  <c r="O6" i="1"/>
  <c r="M6" i="1"/>
  <c r="L6" i="1"/>
  <c r="D17" i="1"/>
  <c r="D18" i="1"/>
  <c r="D19" i="1"/>
  <c r="D20" i="1"/>
  <c r="D21" i="1"/>
  <c r="J21" i="1" s="1"/>
  <c r="D22" i="1"/>
  <c r="D9" i="1"/>
  <c r="D10" i="1"/>
  <c r="D11" i="1"/>
  <c r="D12" i="1"/>
  <c r="D13" i="1"/>
  <c r="D8" i="1"/>
  <c r="F8" i="1" l="1"/>
  <c r="G8" i="1"/>
  <c r="I13" i="1"/>
  <c r="F13" i="1"/>
  <c r="J13" i="1"/>
  <c r="G13" i="1"/>
  <c r="O12" i="1"/>
  <c r="L12" i="1"/>
  <c r="M12" i="1"/>
  <c r="P12" i="1"/>
  <c r="I12" i="1"/>
  <c r="J12" i="1"/>
  <c r="I11" i="1"/>
  <c r="F11" i="1"/>
  <c r="J11" i="1"/>
  <c r="G11" i="1"/>
  <c r="I10" i="1"/>
  <c r="F10" i="1"/>
  <c r="J10" i="1"/>
  <c r="G10" i="1"/>
  <c r="I9" i="1"/>
  <c r="J9" i="1"/>
  <c r="O22" i="1"/>
  <c r="L22" i="1"/>
  <c r="M22" i="1"/>
  <c r="P22" i="1"/>
  <c r="J22" i="1"/>
  <c r="O20" i="1"/>
  <c r="L20" i="1"/>
  <c r="M20" i="1"/>
  <c r="P20" i="1"/>
  <c r="J20" i="1"/>
  <c r="O19" i="1"/>
  <c r="L19" i="1"/>
  <c r="M19" i="1"/>
  <c r="P19" i="1"/>
  <c r="J19" i="1"/>
  <c r="J18" i="1"/>
  <c r="G18" i="1"/>
  <c r="D15" i="1"/>
  <c r="J17" i="1"/>
  <c r="I17" i="1"/>
  <c r="I8" i="1"/>
  <c r="F17" i="1"/>
  <c r="F9" i="1"/>
  <c r="J8" i="1"/>
  <c r="G17" i="1"/>
  <c r="G19" i="1"/>
  <c r="G20" i="1"/>
  <c r="G21" i="1"/>
  <c r="G22" i="1"/>
  <c r="G9" i="1"/>
  <c r="G12" i="1"/>
  <c r="I20" i="1"/>
  <c r="I22" i="1"/>
  <c r="I21" i="1"/>
  <c r="I18" i="1"/>
  <c r="I19" i="1"/>
  <c r="F18" i="1"/>
  <c r="F12" i="1"/>
  <c r="F19" i="1"/>
  <c r="F22" i="1"/>
  <c r="F20" i="1"/>
  <c r="F21" i="1"/>
  <c r="P15" i="1" l="1"/>
  <c r="O15" i="1"/>
  <c r="M15" i="1"/>
  <c r="L15" i="1"/>
  <c r="G15" i="1"/>
  <c r="F15" i="1"/>
  <c r="J15" i="1"/>
  <c r="I15" i="1"/>
</calcChain>
</file>

<file path=xl/sharedStrings.xml><?xml version="1.0" encoding="utf-8"?>
<sst xmlns="http://schemas.openxmlformats.org/spreadsheetml/2006/main" count="112" uniqueCount="37">
  <si>
    <t>ПРОФИЛЬ</t>
  </si>
  <si>
    <t>ед.изм.</t>
  </si>
  <si>
    <t>Техно</t>
  </si>
  <si>
    <t>м.кв.</t>
  </si>
  <si>
    <t>Марсель</t>
  </si>
  <si>
    <t>Фасады 45°</t>
  </si>
  <si>
    <t>Профиль</t>
  </si>
  <si>
    <t>м.п.</t>
  </si>
  <si>
    <t>П, Б, НД, ПМ, Пл</t>
  </si>
  <si>
    <t>Штапик</t>
  </si>
  <si>
    <t>ТПС</t>
  </si>
  <si>
    <t xml:space="preserve"> Женева </t>
  </si>
  <si>
    <t>Гнутые</t>
  </si>
  <si>
    <t>шт.</t>
  </si>
  <si>
    <t>П, Б, Бл, Пл, Ш</t>
  </si>
  <si>
    <t>Пц(Бц), А, Пл</t>
  </si>
  <si>
    <t>Бг, БлГ, ПМг</t>
  </si>
  <si>
    <t>План</t>
  </si>
  <si>
    <t>недельный план</t>
  </si>
  <si>
    <t>1 нед (49к.н.)</t>
  </si>
  <si>
    <t>∆</t>
  </si>
  <si>
    <t>2 нед (50 к.н.)</t>
  </si>
  <si>
    <t>%</t>
  </si>
  <si>
    <t>в натур. выр</t>
  </si>
  <si>
    <t xml:space="preserve">Фасады </t>
  </si>
  <si>
    <t>Из них:</t>
  </si>
  <si>
    <t>угол 45°</t>
  </si>
  <si>
    <t xml:space="preserve"> наработка 3 нед (51 к.н.)</t>
  </si>
  <si>
    <t>наработка 4 нед (52 к.н.)</t>
  </si>
  <si>
    <t>Выполнение плана заказов СЛУЖБОЙ МАРКЕТИНГА по состоянию на 5 декабря</t>
  </si>
  <si>
    <t>Январь 2014 наработка</t>
  </si>
  <si>
    <t xml:space="preserve"> 4 нед (48к.н.)</t>
  </si>
  <si>
    <t xml:space="preserve"> 3 нед (47к.н.)</t>
  </si>
  <si>
    <t>2 нед (46к.н.)</t>
  </si>
  <si>
    <t>1 нед (45к.н.)</t>
  </si>
  <si>
    <t>Факт</t>
  </si>
  <si>
    <t>Выполнение плана заказов СЛУЖБОЙ МАРКЕТИНГА за 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</si>
</sst>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5" fillId="0" borderId="10" xfId="0" applyFont="1" applyFill="1" applyBorder="1" applyAlignment="1">
      <alignment vertical="center"/>
    </xf>
    <xf numFmtId="0" fontId="0" fillId="0" borderId="14" xfId="0" applyBorder="1"/>
    <xf numFmtId="0" fontId="3" fillId="0" borderId="1" xfId="0" applyFont="1" applyBorder="1"/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5" fillId="0" borderId="13" xfId="0" applyFont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9" fontId="0" fillId="0" borderId="26" xfId="1" applyFont="1" applyBorder="1"/>
    <xf numFmtId="9" fontId="0" fillId="0" borderId="11" xfId="1" applyFont="1" applyBorder="1"/>
    <xf numFmtId="9" fontId="0" fillId="0" borderId="14" xfId="1" applyFont="1" applyBorder="1"/>
    <xf numFmtId="9" fontId="0" fillId="0" borderId="22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1" fontId="3" fillId="0" borderId="20" xfId="0" applyNumberFormat="1" applyFont="1" applyBorder="1" applyAlignment="1">
      <alignment horizontal="center"/>
    </xf>
    <xf numFmtId="0" fontId="0" fillId="0" borderId="26" xfId="0" applyBorder="1"/>
    <xf numFmtId="0" fontId="3" fillId="0" borderId="7" xfId="0" applyFont="1" applyBorder="1"/>
    <xf numFmtId="0" fontId="3" fillId="0" borderId="21" xfId="0" applyFont="1" applyBorder="1"/>
    <xf numFmtId="0" fontId="0" fillId="0" borderId="20" xfId="0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9" fontId="3" fillId="0" borderId="26" xfId="1" applyFont="1" applyBorder="1"/>
    <xf numFmtId="0" fontId="3" fillId="0" borderId="24" xfId="0" applyFont="1" applyBorder="1"/>
    <xf numFmtId="0" fontId="3" fillId="0" borderId="26" xfId="0" applyFont="1" applyBorder="1"/>
    <xf numFmtId="0" fontId="3" fillId="0" borderId="20" xfId="0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9" fontId="3" fillId="0" borderId="25" xfId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9" fontId="0" fillId="0" borderId="30" xfId="1" applyFont="1" applyBorder="1"/>
    <xf numFmtId="9" fontId="0" fillId="0" borderId="33" xfId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9" fontId="0" fillId="0" borderId="34" xfId="1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9" fontId="3" fillId="0" borderId="21" xfId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8" fillId="0" borderId="24" xfId="0" applyFont="1" applyBorder="1"/>
    <xf numFmtId="0" fontId="8" fillId="0" borderId="10" xfId="0" applyFont="1" applyBorder="1"/>
    <xf numFmtId="0" fontId="8" fillId="0" borderId="2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" fontId="3" fillId="0" borderId="12" xfId="0" applyNumberFormat="1" applyFont="1" applyBorder="1" applyAlignment="1">
      <alignment horizontal="center" wrapText="1"/>
    </xf>
    <xf numFmtId="0" fontId="0" fillId="0" borderId="0" xfId="0"/>
    <xf numFmtId="0" fontId="0" fillId="0" borderId="2" xfId="0" applyBorder="1"/>
    <xf numFmtId="9" fontId="3" fillId="0" borderId="25" xfId="1" applyFont="1" applyBorder="1"/>
    <xf numFmtId="9" fontId="0" fillId="0" borderId="22" xfId="1" applyFont="1" applyBorder="1"/>
    <xf numFmtId="9" fontId="0" fillId="0" borderId="23" xfId="1" applyFont="1" applyBorder="1"/>
    <xf numFmtId="0" fontId="3" fillId="0" borderId="8" xfId="0" applyFont="1" applyBorder="1"/>
    <xf numFmtId="0" fontId="0" fillId="0" borderId="35" xfId="0" applyBorder="1" applyAlignment="1">
      <alignment wrapText="1"/>
    </xf>
    <xf numFmtId="1" fontId="3" fillId="0" borderId="36" xfId="0" applyNumberFormat="1" applyFont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9" fontId="3" fillId="0" borderId="22" xfId="1" applyFont="1" applyBorder="1"/>
    <xf numFmtId="164" fontId="3" fillId="0" borderId="8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9" fontId="3" fillId="0" borderId="21" xfId="1" applyFont="1" applyBorder="1"/>
    <xf numFmtId="1" fontId="3" fillId="0" borderId="26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1" xfId="0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3"/>
  <sheetViews>
    <sheetView workbookViewId="0">
      <selection activeCell="H20" sqref="H20"/>
    </sheetView>
  </sheetViews>
  <sheetFormatPr defaultRowHeight="15" x14ac:dyDescent="0.25"/>
  <cols>
    <col min="1" max="1" width="14.5703125" bestFit="1" customWidth="1"/>
    <col min="3" max="3" width="13.42578125" bestFit="1" customWidth="1"/>
    <col min="4" max="4" width="7.42578125" customWidth="1"/>
    <col min="5" max="5" width="7.7109375" customWidth="1"/>
    <col min="6" max="6" width="6.5703125" customWidth="1"/>
    <col min="7" max="7" width="5.42578125" customWidth="1"/>
    <col min="8" max="8" width="8.28515625" customWidth="1"/>
    <col min="9" max="9" width="8.140625" bestFit="1" customWidth="1"/>
    <col min="10" max="10" width="6.28515625" bestFit="1" customWidth="1"/>
    <col min="11" max="11" width="10.140625" customWidth="1"/>
    <col min="13" max="13" width="6.28515625" bestFit="1" customWidth="1"/>
    <col min="14" max="14" width="10.42578125" customWidth="1"/>
    <col min="16" max="16" width="6.28515625" bestFit="1" customWidth="1"/>
    <col min="17" max="17" width="8.85546875" customWidth="1"/>
    <col min="18" max="18" width="8.140625" bestFit="1" customWidth="1"/>
    <col min="19" max="19" width="5.28515625" bestFit="1" customWidth="1"/>
  </cols>
  <sheetData>
    <row r="2" spans="1:19" x14ac:dyDescent="0.25">
      <c r="A2" s="1" t="s">
        <v>29</v>
      </c>
    </row>
    <row r="3" spans="1:19" ht="15.75" thickBot="1" x14ac:dyDescent="0.3"/>
    <row r="4" spans="1:19" ht="15.75" thickBot="1" x14ac:dyDescent="0.3">
      <c r="A4" s="2"/>
      <c r="B4" s="3"/>
      <c r="C4" s="81">
        <v>41609</v>
      </c>
      <c r="D4" s="85" t="s">
        <v>18</v>
      </c>
      <c r="E4" s="87" t="s">
        <v>19</v>
      </c>
      <c r="F4" s="83" t="s">
        <v>20</v>
      </c>
      <c r="G4" s="90"/>
      <c r="H4" s="85" t="s">
        <v>21</v>
      </c>
      <c r="I4" s="83" t="s">
        <v>20</v>
      </c>
      <c r="J4" s="84"/>
      <c r="K4" s="85" t="s">
        <v>27</v>
      </c>
      <c r="L4" s="83" t="s">
        <v>20</v>
      </c>
      <c r="M4" s="84"/>
      <c r="N4" s="85" t="s">
        <v>28</v>
      </c>
      <c r="O4" s="83" t="s">
        <v>20</v>
      </c>
      <c r="P4" s="84"/>
      <c r="Q4" s="91" t="s">
        <v>30</v>
      </c>
      <c r="R4" s="83" t="s">
        <v>20</v>
      </c>
      <c r="S4" s="84"/>
    </row>
    <row r="5" spans="1:19" ht="45.75" thickBot="1" x14ac:dyDescent="0.3">
      <c r="A5" s="4" t="s">
        <v>0</v>
      </c>
      <c r="B5" s="5" t="s">
        <v>1</v>
      </c>
      <c r="C5" s="16" t="s">
        <v>17</v>
      </c>
      <c r="D5" s="86"/>
      <c r="E5" s="88"/>
      <c r="F5" s="29" t="s">
        <v>23</v>
      </c>
      <c r="G5" s="31" t="s">
        <v>22</v>
      </c>
      <c r="H5" s="89"/>
      <c r="I5" s="29" t="s">
        <v>23</v>
      </c>
      <c r="J5" s="30" t="s">
        <v>22</v>
      </c>
      <c r="K5" s="86"/>
      <c r="L5" s="29" t="s">
        <v>23</v>
      </c>
      <c r="M5" s="30" t="s">
        <v>22</v>
      </c>
      <c r="N5" s="86"/>
      <c r="O5" s="29" t="s">
        <v>23</v>
      </c>
      <c r="P5" s="30" t="s">
        <v>22</v>
      </c>
      <c r="Q5" s="92"/>
      <c r="R5" s="29" t="s">
        <v>23</v>
      </c>
      <c r="S5" s="30" t="s">
        <v>22</v>
      </c>
    </row>
    <row r="6" spans="1:19" x14ac:dyDescent="0.25">
      <c r="A6" s="40" t="s">
        <v>24</v>
      </c>
      <c r="B6" s="41" t="s">
        <v>3</v>
      </c>
      <c r="C6" s="43">
        <f>SUM(C8:C10)</f>
        <v>1241</v>
      </c>
      <c r="D6" s="44">
        <f>C6/4</f>
        <v>310.25</v>
      </c>
      <c r="E6" s="44">
        <f>SUM(E8:E10)</f>
        <v>263.97000000000003</v>
      </c>
      <c r="F6" s="45">
        <f>E6-D6</f>
        <v>-46.279999999999973</v>
      </c>
      <c r="G6" s="46">
        <f>E6/D6-1</f>
        <v>-0.14917002417405312</v>
      </c>
      <c r="H6" s="44">
        <f>SUM(H8:H10)</f>
        <v>353.88</v>
      </c>
      <c r="I6" s="45">
        <f>H6-D6</f>
        <v>43.629999999999995</v>
      </c>
      <c r="J6" s="52">
        <f>H6/D6-1</f>
        <v>0.14062852538275572</v>
      </c>
      <c r="K6" s="71">
        <v>300</v>
      </c>
      <c r="L6" s="45">
        <f>K6-D6</f>
        <v>-10.25</v>
      </c>
      <c r="M6" s="51">
        <f>K6/D6-1</f>
        <v>-3.3037872683319924E-2</v>
      </c>
      <c r="N6" s="71">
        <v>230</v>
      </c>
      <c r="O6" s="45">
        <f>N6-D6</f>
        <v>-80.25</v>
      </c>
      <c r="P6" s="51">
        <f>N6/D6-1</f>
        <v>-0.25866236905721196</v>
      </c>
      <c r="Q6" s="44">
        <f>150+50+50+70</f>
        <v>320</v>
      </c>
      <c r="R6" s="45">
        <f>Q6-C6</f>
        <v>-921</v>
      </c>
      <c r="S6" s="51">
        <f>Q6/C6-1</f>
        <v>-0.74214343271555205</v>
      </c>
    </row>
    <row r="7" spans="1:19" x14ac:dyDescent="0.25">
      <c r="A7" s="47" t="s">
        <v>25</v>
      </c>
      <c r="B7" s="48"/>
      <c r="C7" s="49"/>
      <c r="D7" s="38"/>
      <c r="E7" s="50"/>
      <c r="F7" s="45"/>
      <c r="G7" s="46"/>
      <c r="H7" s="38"/>
      <c r="I7" s="45"/>
      <c r="J7" s="35"/>
      <c r="K7" s="37"/>
      <c r="L7" s="45"/>
      <c r="M7" s="35"/>
      <c r="N7" s="37"/>
      <c r="O7" s="24"/>
      <c r="P7" s="35"/>
      <c r="Q7" s="38"/>
      <c r="R7" s="24"/>
      <c r="S7" s="35"/>
    </row>
    <row r="8" spans="1:19" x14ac:dyDescent="0.25">
      <c r="A8" s="78" t="s">
        <v>2</v>
      </c>
      <c r="B8" s="39" t="s">
        <v>3</v>
      </c>
      <c r="C8" s="42">
        <v>709</v>
      </c>
      <c r="D8" s="21">
        <f>C8/4</f>
        <v>177.25</v>
      </c>
      <c r="E8" s="20">
        <v>241.72</v>
      </c>
      <c r="F8" s="28">
        <f>E8-D8</f>
        <v>64.47</v>
      </c>
      <c r="G8" s="32">
        <f t="shared" ref="G8:G13" si="0">E8/D8-1</f>
        <v>0.36372355430183356</v>
      </c>
      <c r="H8" s="22">
        <f>324.4</f>
        <v>324.39999999999998</v>
      </c>
      <c r="I8" s="25">
        <f>H8-D8</f>
        <v>147.14999999999998</v>
      </c>
      <c r="J8" s="35">
        <f>H8/D8-1</f>
        <v>0.8301833568406205</v>
      </c>
      <c r="K8" s="22"/>
      <c r="L8" s="45"/>
      <c r="M8" s="35"/>
      <c r="N8" s="22"/>
      <c r="O8" s="25"/>
      <c r="P8" s="35"/>
      <c r="Q8" s="21"/>
      <c r="R8" s="25"/>
      <c r="S8" s="35"/>
    </row>
    <row r="9" spans="1:19" x14ac:dyDescent="0.25">
      <c r="A9" s="79" t="s">
        <v>4</v>
      </c>
      <c r="B9" s="7" t="s">
        <v>3</v>
      </c>
      <c r="C9" s="14">
        <v>266</v>
      </c>
      <c r="D9" s="22">
        <f t="shared" ref="D9:D22" si="1">C9/4</f>
        <v>66.5</v>
      </c>
      <c r="E9" s="27">
        <f>5.88+0.14</f>
        <v>6.02</v>
      </c>
      <c r="F9" s="25">
        <f t="shared" ref="F9:F22" si="2">E9-D9</f>
        <v>-60.480000000000004</v>
      </c>
      <c r="G9" s="33">
        <f t="shared" si="0"/>
        <v>-0.90947368421052632</v>
      </c>
      <c r="H9" s="22">
        <v>24.11</v>
      </c>
      <c r="I9" s="25">
        <f t="shared" ref="I9:I22" si="3">H9-D9</f>
        <v>-42.39</v>
      </c>
      <c r="J9" s="35">
        <f t="shared" ref="J9:J22" si="4">H9/D9-1</f>
        <v>-0.63744360902255637</v>
      </c>
      <c r="K9" s="22"/>
      <c r="L9" s="45"/>
      <c r="M9" s="35"/>
      <c r="N9" s="22"/>
      <c r="O9" s="25"/>
      <c r="P9" s="35"/>
      <c r="Q9" s="22"/>
      <c r="R9" s="25"/>
      <c r="S9" s="35"/>
    </row>
    <row r="10" spans="1:19" x14ac:dyDescent="0.25">
      <c r="A10" s="80" t="s">
        <v>5</v>
      </c>
      <c r="B10" s="7" t="s">
        <v>3</v>
      </c>
      <c r="C10" s="14">
        <v>266</v>
      </c>
      <c r="D10" s="22">
        <f t="shared" si="1"/>
        <v>66.5</v>
      </c>
      <c r="E10" s="27">
        <v>16.23</v>
      </c>
      <c r="F10" s="25">
        <f t="shared" si="2"/>
        <v>-50.269999999999996</v>
      </c>
      <c r="G10" s="33">
        <f t="shared" si="0"/>
        <v>-0.75593984962406013</v>
      </c>
      <c r="H10" s="22">
        <v>5.37</v>
      </c>
      <c r="I10" s="25">
        <f t="shared" si="3"/>
        <v>-61.13</v>
      </c>
      <c r="J10" s="35">
        <f t="shared" si="4"/>
        <v>-0.91924812030075187</v>
      </c>
      <c r="K10" s="22"/>
      <c r="L10" s="45"/>
      <c r="M10" s="35"/>
      <c r="N10" s="22"/>
      <c r="O10" s="25"/>
      <c r="P10" s="35"/>
      <c r="Q10" s="22"/>
      <c r="R10" s="25"/>
      <c r="S10" s="35"/>
    </row>
    <row r="11" spans="1:19" x14ac:dyDescent="0.25">
      <c r="A11" s="6" t="s">
        <v>6</v>
      </c>
      <c r="B11" s="7" t="s">
        <v>7</v>
      </c>
      <c r="C11" s="14">
        <v>39857</v>
      </c>
      <c r="D11" s="22">
        <f t="shared" si="1"/>
        <v>9964.25</v>
      </c>
      <c r="E11" s="27">
        <v>1199.6300000000001</v>
      </c>
      <c r="F11" s="25">
        <f t="shared" si="2"/>
        <v>-8764.619999999999</v>
      </c>
      <c r="G11" s="33">
        <f t="shared" si="0"/>
        <v>-0.87960659357201998</v>
      </c>
      <c r="H11" s="22">
        <f>3203.36</f>
        <v>3203.36</v>
      </c>
      <c r="I11" s="25">
        <f t="shared" si="3"/>
        <v>-6760.8899999999994</v>
      </c>
      <c r="J11" s="35">
        <f t="shared" si="4"/>
        <v>-0.67851469001681008</v>
      </c>
      <c r="K11" s="22"/>
      <c r="L11" s="45"/>
      <c r="M11" s="35"/>
      <c r="N11" s="22"/>
      <c r="O11" s="25"/>
      <c r="P11" s="35"/>
      <c r="Q11" s="22"/>
      <c r="R11" s="25"/>
      <c r="S11" s="35"/>
    </row>
    <row r="12" spans="1:19" x14ac:dyDescent="0.25">
      <c r="A12" s="8" t="s">
        <v>8</v>
      </c>
      <c r="B12" s="7" t="s">
        <v>7</v>
      </c>
      <c r="C12" s="14">
        <v>53143</v>
      </c>
      <c r="D12" s="22">
        <f t="shared" si="1"/>
        <v>13285.75</v>
      </c>
      <c r="E12" s="27">
        <f>2934.4+2853.2+78.6</f>
        <v>5866.2000000000007</v>
      </c>
      <c r="F12" s="25">
        <f t="shared" si="2"/>
        <v>-7419.5499999999993</v>
      </c>
      <c r="G12" s="33">
        <f t="shared" si="0"/>
        <v>-0.55845925145362507</v>
      </c>
      <c r="H12" s="22">
        <f>30213.2+2757.2</f>
        <v>32970.400000000001</v>
      </c>
      <c r="I12" s="25">
        <f t="shared" si="3"/>
        <v>19684.650000000001</v>
      </c>
      <c r="J12" s="35">
        <f t="shared" si="4"/>
        <v>1.4816363396872592</v>
      </c>
      <c r="K12" s="22">
        <v>32674</v>
      </c>
      <c r="L12" s="72">
        <f>K12-D12</f>
        <v>19388.25</v>
      </c>
      <c r="M12" s="35">
        <f t="shared" ref="M12:M22" si="5">K12/D12-1</f>
        <v>1.4593267222399939</v>
      </c>
      <c r="N12" s="22">
        <v>30000</v>
      </c>
      <c r="O12" s="72">
        <f>N12-D12</f>
        <v>16714.25</v>
      </c>
      <c r="P12" s="35">
        <f t="shared" ref="P12:P22" si="6">N12/D12-1</f>
        <v>1.2580584460794459</v>
      </c>
      <c r="Q12" s="22"/>
      <c r="R12" s="72"/>
      <c r="S12" s="35"/>
    </row>
    <row r="13" spans="1:19" ht="15.75" thickBot="1" x14ac:dyDescent="0.3">
      <c r="A13" s="54" t="s">
        <v>9</v>
      </c>
      <c r="B13" s="55" t="s">
        <v>7</v>
      </c>
      <c r="C13" s="56">
        <v>17140</v>
      </c>
      <c r="D13" s="57">
        <f t="shared" si="1"/>
        <v>4285</v>
      </c>
      <c r="E13" s="58">
        <v>1932</v>
      </c>
      <c r="F13" s="59">
        <f t="shared" si="2"/>
        <v>-2353</v>
      </c>
      <c r="G13" s="60">
        <f t="shared" si="0"/>
        <v>-0.54912485414235701</v>
      </c>
      <c r="H13" s="57">
        <v>0</v>
      </c>
      <c r="I13" s="59">
        <f t="shared" si="3"/>
        <v>-4285</v>
      </c>
      <c r="J13" s="61">
        <f t="shared" si="4"/>
        <v>-1</v>
      </c>
      <c r="K13" s="57"/>
      <c r="L13" s="62"/>
      <c r="M13" s="61"/>
      <c r="N13" s="57"/>
      <c r="O13" s="59"/>
      <c r="P13" s="61"/>
      <c r="Q13" s="57"/>
      <c r="R13" s="59"/>
      <c r="S13" s="61"/>
    </row>
    <row r="14" spans="1:19" ht="15.75" thickBot="1" x14ac:dyDescent="0.3">
      <c r="A14" s="10" t="s">
        <v>10</v>
      </c>
      <c r="B14" s="3"/>
      <c r="C14" s="19"/>
      <c r="D14" s="63"/>
      <c r="E14" s="64"/>
      <c r="F14" s="65"/>
      <c r="G14" s="66"/>
      <c r="H14" s="19"/>
      <c r="I14" s="67"/>
      <c r="J14" s="68"/>
      <c r="K14" s="19"/>
      <c r="L14" s="69"/>
      <c r="M14" s="70"/>
      <c r="N14" s="19"/>
      <c r="O14" s="67"/>
      <c r="P14" s="70"/>
      <c r="Q14" s="63"/>
      <c r="R14" s="67"/>
      <c r="S14" s="70"/>
    </row>
    <row r="15" spans="1:19" x14ac:dyDescent="0.25">
      <c r="A15" s="40" t="s">
        <v>24</v>
      </c>
      <c r="B15" s="41" t="s">
        <v>3</v>
      </c>
      <c r="C15" s="43">
        <f>SUM(C17:C18)</f>
        <v>2081</v>
      </c>
      <c r="D15" s="44">
        <f>SUM(D17:D18)</f>
        <v>520.25</v>
      </c>
      <c r="E15" s="44">
        <f>SUM(E17:E18)</f>
        <v>420.84</v>
      </c>
      <c r="F15" s="45">
        <f>E15-D15</f>
        <v>-99.410000000000025</v>
      </c>
      <c r="G15" s="46">
        <f>E15/D15-1</f>
        <v>-0.19108121095627106</v>
      </c>
      <c r="H15" s="44">
        <f>SUM(H17:H18)</f>
        <v>405.39000000000004</v>
      </c>
      <c r="I15" s="45">
        <f>H15-D15</f>
        <v>-114.85999999999996</v>
      </c>
      <c r="J15" s="52">
        <f>H15/D15-1</f>
        <v>-0.22077847188851507</v>
      </c>
      <c r="K15" s="53">
        <v>450</v>
      </c>
      <c r="L15" s="73">
        <f>K15-D15</f>
        <v>-70.25</v>
      </c>
      <c r="M15" s="74">
        <f>K15/D15-1</f>
        <v>-0.13503123498318115</v>
      </c>
      <c r="N15" s="53">
        <v>254</v>
      </c>
      <c r="O15" s="73">
        <f>N15-D15</f>
        <v>-266.25</v>
      </c>
      <c r="P15" s="74">
        <f>N15/D15-1</f>
        <v>-0.51177318596828447</v>
      </c>
      <c r="Q15" s="44">
        <f>300+400+50+100+70</f>
        <v>920</v>
      </c>
      <c r="R15" s="45">
        <f>Q15-C15</f>
        <v>-1161</v>
      </c>
      <c r="S15" s="51">
        <f>Q15/C15-1</f>
        <v>-0.55790485343584817</v>
      </c>
    </row>
    <row r="16" spans="1:19" x14ac:dyDescent="0.25">
      <c r="A16" s="47" t="s">
        <v>25</v>
      </c>
      <c r="B16" s="48"/>
      <c r="C16" s="49"/>
      <c r="D16" s="38"/>
      <c r="E16" s="50"/>
      <c r="F16" s="45"/>
      <c r="G16" s="32"/>
      <c r="H16" s="38"/>
      <c r="I16" s="45"/>
      <c r="J16" s="51"/>
      <c r="K16" s="37"/>
      <c r="L16" s="45"/>
      <c r="M16" s="51"/>
      <c r="N16" s="37"/>
      <c r="O16" s="24"/>
      <c r="P16" s="35"/>
      <c r="Q16" s="38"/>
      <c r="R16" s="24"/>
      <c r="S16" s="35"/>
    </row>
    <row r="17" spans="1:19" x14ac:dyDescent="0.25">
      <c r="A17" s="76" t="s">
        <v>11</v>
      </c>
      <c r="B17" s="39" t="s">
        <v>3</v>
      </c>
      <c r="C17" s="42">
        <v>310</v>
      </c>
      <c r="D17" s="21">
        <f t="shared" si="1"/>
        <v>77.5</v>
      </c>
      <c r="E17" s="20">
        <f>8.09+54.64+6.3+4.09</f>
        <v>73.12</v>
      </c>
      <c r="F17" s="28">
        <f t="shared" si="2"/>
        <v>-4.3799999999999955</v>
      </c>
      <c r="G17" s="32">
        <f t="shared" ref="G17:G22" si="7">E17/D17-1</f>
        <v>-5.6516129032258E-2</v>
      </c>
      <c r="H17" s="42">
        <f>0.21+0.07+0.52</f>
        <v>0.8</v>
      </c>
      <c r="I17" s="28">
        <f t="shared" si="3"/>
        <v>-76.7</v>
      </c>
      <c r="J17" s="51">
        <f t="shared" si="4"/>
        <v>-0.98967741935483866</v>
      </c>
      <c r="K17" s="42"/>
      <c r="L17" s="45"/>
      <c r="M17" s="51"/>
      <c r="N17" s="42"/>
      <c r="O17" s="28"/>
      <c r="P17" s="35"/>
      <c r="Q17" s="21"/>
      <c r="R17" s="28"/>
      <c r="S17" s="35"/>
    </row>
    <row r="18" spans="1:19" x14ac:dyDescent="0.25">
      <c r="A18" s="77" t="s">
        <v>26</v>
      </c>
      <c r="B18" s="7" t="s">
        <v>3</v>
      </c>
      <c r="C18" s="14">
        <v>1771</v>
      </c>
      <c r="D18" s="22">
        <f t="shared" si="1"/>
        <v>442.75</v>
      </c>
      <c r="E18" s="27">
        <f>97.78+10.61+41.35+7.75+44.06+21.63+41.35+6.51+8.78+1.52+16.39+0.25+4.13+41.35+4.26</f>
        <v>347.71999999999997</v>
      </c>
      <c r="F18" s="25">
        <f t="shared" si="2"/>
        <v>-95.03000000000003</v>
      </c>
      <c r="G18" s="33">
        <f t="shared" si="7"/>
        <v>-0.21463579898362517</v>
      </c>
      <c r="H18" s="14">
        <f>275.07+28.53+24.8+6.58+15.05+15.7+8.49+21.04+3.6+3.58+0.14+0.18+0.96+0.7+0.17</f>
        <v>404.59000000000003</v>
      </c>
      <c r="I18" s="25">
        <f t="shared" si="3"/>
        <v>-38.159999999999968</v>
      </c>
      <c r="J18" s="35">
        <f t="shared" si="4"/>
        <v>-8.618859401468093E-2</v>
      </c>
      <c r="K18" s="14"/>
      <c r="L18" s="45"/>
      <c r="M18" s="35"/>
      <c r="N18" s="14"/>
      <c r="O18" s="25"/>
      <c r="P18" s="35"/>
      <c r="Q18" s="22"/>
      <c r="R18" s="25"/>
      <c r="S18" s="35"/>
    </row>
    <row r="19" spans="1:19" x14ac:dyDescent="0.25">
      <c r="A19" s="11" t="s">
        <v>12</v>
      </c>
      <c r="B19" s="7" t="s">
        <v>13</v>
      </c>
      <c r="C19" s="14">
        <v>221</v>
      </c>
      <c r="D19" s="22">
        <f t="shared" si="1"/>
        <v>55.25</v>
      </c>
      <c r="E19" s="27">
        <f>10+28+10+20+1+1+2+1+3+1+1</f>
        <v>78</v>
      </c>
      <c r="F19" s="25">
        <f t="shared" si="2"/>
        <v>22.75</v>
      </c>
      <c r="G19" s="33">
        <f t="shared" si="7"/>
        <v>0.41176470588235303</v>
      </c>
      <c r="H19" s="14">
        <v>20</v>
      </c>
      <c r="I19" s="25">
        <f t="shared" si="3"/>
        <v>-35.25</v>
      </c>
      <c r="J19" s="35">
        <f t="shared" si="4"/>
        <v>-0.63800904977375561</v>
      </c>
      <c r="K19" s="14">
        <v>96</v>
      </c>
      <c r="L19" s="72">
        <f t="shared" ref="L19:L22" si="8">K19-D19</f>
        <v>40.75</v>
      </c>
      <c r="M19" s="35">
        <f t="shared" si="5"/>
        <v>0.73755656108597289</v>
      </c>
      <c r="N19" s="14">
        <v>27</v>
      </c>
      <c r="O19" s="72">
        <f>N19-D19</f>
        <v>-28.25</v>
      </c>
      <c r="P19" s="35">
        <f t="shared" si="6"/>
        <v>-0.5113122171945701</v>
      </c>
      <c r="Q19" s="22"/>
      <c r="R19" s="72"/>
      <c r="S19" s="35"/>
    </row>
    <row r="20" spans="1:19" x14ac:dyDescent="0.25">
      <c r="A20" s="8" t="s">
        <v>14</v>
      </c>
      <c r="B20" s="7" t="s">
        <v>7</v>
      </c>
      <c r="C20" s="14">
        <v>2214</v>
      </c>
      <c r="D20" s="22">
        <f t="shared" si="1"/>
        <v>553.5</v>
      </c>
      <c r="E20" s="27">
        <f>64.86+49.78+41.4+112+8.4+1.6+2.1+56+5.6+0.8+5.6+1.1+184+9.2</f>
        <v>542.44000000000005</v>
      </c>
      <c r="F20" s="25">
        <f t="shared" si="2"/>
        <v>-11.059999999999945</v>
      </c>
      <c r="G20" s="33">
        <f t="shared" si="7"/>
        <v>-1.9981933152664721E-2</v>
      </c>
      <c r="H20" s="14">
        <f>0.6+168+14+2.1+7.86+8.4+1.2+4.1+0.7</f>
        <v>206.95999999999998</v>
      </c>
      <c r="I20" s="25">
        <f t="shared" si="3"/>
        <v>-346.54</v>
      </c>
      <c r="J20" s="35">
        <f t="shared" si="4"/>
        <v>-0.62608852755194222</v>
      </c>
      <c r="K20" s="14">
        <v>435</v>
      </c>
      <c r="L20" s="72">
        <f t="shared" si="8"/>
        <v>-118.5</v>
      </c>
      <c r="M20" s="35">
        <f t="shared" si="5"/>
        <v>-0.21409214092140927</v>
      </c>
      <c r="N20" s="14">
        <v>400</v>
      </c>
      <c r="O20" s="72">
        <f>N20-D20</f>
        <v>-153.5</v>
      </c>
      <c r="P20" s="35">
        <f t="shared" si="6"/>
        <v>-0.27732610659439927</v>
      </c>
      <c r="Q20" s="22"/>
      <c r="R20" s="72"/>
      <c r="S20" s="35"/>
    </row>
    <row r="21" spans="1:19" x14ac:dyDescent="0.25">
      <c r="A21" s="12" t="s">
        <v>15</v>
      </c>
      <c r="B21" s="7" t="s">
        <v>13</v>
      </c>
      <c r="C21" s="14">
        <v>221</v>
      </c>
      <c r="D21" s="22">
        <f t="shared" si="1"/>
        <v>55.25</v>
      </c>
      <c r="E21" s="17">
        <f>2+40+12</f>
        <v>54</v>
      </c>
      <c r="F21" s="25">
        <f t="shared" si="2"/>
        <v>-1.25</v>
      </c>
      <c r="G21" s="33">
        <f t="shared" si="7"/>
        <v>-2.2624434389140302E-2</v>
      </c>
      <c r="H21" s="14">
        <f>2+3+1+1</f>
        <v>7</v>
      </c>
      <c r="I21" s="25">
        <f t="shared" si="3"/>
        <v>-48.25</v>
      </c>
      <c r="J21" s="35">
        <f t="shared" si="4"/>
        <v>-0.87330316742081449</v>
      </c>
      <c r="K21" s="14"/>
      <c r="L21" s="72"/>
      <c r="M21" s="35"/>
      <c r="N21" s="14"/>
      <c r="O21" s="72"/>
      <c r="P21" s="35"/>
      <c r="Q21" s="22"/>
      <c r="R21" s="72"/>
      <c r="S21" s="35"/>
    </row>
    <row r="22" spans="1:19" ht="15.75" thickBot="1" x14ac:dyDescent="0.3">
      <c r="A22" s="13" t="s">
        <v>16</v>
      </c>
      <c r="B22" s="9" t="s">
        <v>13</v>
      </c>
      <c r="C22" s="15">
        <v>443</v>
      </c>
      <c r="D22" s="23">
        <f t="shared" si="1"/>
        <v>110.75</v>
      </c>
      <c r="E22" s="18">
        <f>22+12+5+25+10+30+2</f>
        <v>106</v>
      </c>
      <c r="F22" s="26">
        <f t="shared" si="2"/>
        <v>-4.75</v>
      </c>
      <c r="G22" s="34">
        <f t="shared" si="7"/>
        <v>-4.2889390519187387E-2</v>
      </c>
      <c r="H22" s="15">
        <f>2+3+5+1</f>
        <v>11</v>
      </c>
      <c r="I22" s="26">
        <f t="shared" si="3"/>
        <v>-99.75</v>
      </c>
      <c r="J22" s="36">
        <f t="shared" si="4"/>
        <v>-0.90067720090293457</v>
      </c>
      <c r="K22" s="15">
        <v>188</v>
      </c>
      <c r="L22" s="75">
        <f t="shared" si="8"/>
        <v>77.25</v>
      </c>
      <c r="M22" s="36">
        <f t="shared" si="5"/>
        <v>0.69751693002257342</v>
      </c>
      <c r="N22" s="15">
        <v>90</v>
      </c>
      <c r="O22" s="75">
        <f t="shared" ref="O22" si="9">N22-D22</f>
        <v>-20.75</v>
      </c>
      <c r="P22" s="36">
        <f t="shared" si="6"/>
        <v>-0.18735891647855529</v>
      </c>
      <c r="Q22" s="23"/>
      <c r="R22" s="75"/>
      <c r="S22" s="36"/>
    </row>
    <row r="23" spans="1:19" ht="24" customHeight="1" x14ac:dyDescent="0.25"/>
  </sheetData>
  <mergeCells count="11">
    <mergeCell ref="D4:D5"/>
    <mergeCell ref="E4:E5"/>
    <mergeCell ref="H4:H5"/>
    <mergeCell ref="F4:G4"/>
    <mergeCell ref="Q4:Q5"/>
    <mergeCell ref="R4:S4"/>
    <mergeCell ref="I4:J4"/>
    <mergeCell ref="K4:K5"/>
    <mergeCell ref="L4:M4"/>
    <mergeCell ref="N4:N5"/>
    <mergeCell ref="O4:P4"/>
  </mergeCells>
  <pageMargins left="0.16" right="0.16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3"/>
  <sheetViews>
    <sheetView tabSelected="1" workbookViewId="0">
      <selection activeCell="H3" sqref="H3"/>
    </sheetView>
  </sheetViews>
  <sheetFormatPr defaultRowHeight="15" x14ac:dyDescent="0.25"/>
  <cols>
    <col min="1" max="1" width="14.5703125" bestFit="1" customWidth="1"/>
    <col min="3" max="3" width="6" bestFit="1" customWidth="1"/>
    <col min="4" max="6" width="7.28515625" style="94" customWidth="1"/>
    <col min="7" max="7" width="11.42578125" bestFit="1" customWidth="1"/>
    <col min="8" max="8" width="7.7109375" customWidth="1"/>
    <col min="9" max="9" width="6.5703125" customWidth="1"/>
    <col min="10" max="10" width="6.28515625" bestFit="1" customWidth="1"/>
    <col min="11" max="11" width="8.28515625" customWidth="1"/>
    <col min="12" max="12" width="8.140625" bestFit="1" customWidth="1"/>
    <col min="13" max="13" width="6.28515625" bestFit="1" customWidth="1"/>
    <col min="14" max="14" width="10.140625" customWidth="1"/>
    <col min="16" max="16" width="6.28515625" bestFit="1" customWidth="1"/>
    <col min="17" max="17" width="10.42578125" customWidth="1"/>
    <col min="19" max="19" width="6.28515625" bestFit="1" customWidth="1"/>
  </cols>
  <sheetData>
    <row r="2" spans="1:19" x14ac:dyDescent="0.25">
      <c r="A2" s="1" t="s">
        <v>36</v>
      </c>
    </row>
    <row r="3" spans="1:19" ht="15.75" thickBot="1" x14ac:dyDescent="0.3"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19" ht="15.75" customHeight="1" thickBot="1" x14ac:dyDescent="0.3">
      <c r="A4" s="2"/>
      <c r="B4" s="3"/>
      <c r="C4" s="107">
        <v>41579</v>
      </c>
      <c r="D4" s="110"/>
      <c r="E4" s="83" t="s">
        <v>20</v>
      </c>
      <c r="F4" s="84"/>
      <c r="G4" s="100"/>
      <c r="H4" s="87" t="s">
        <v>34</v>
      </c>
      <c r="I4" s="83" t="s">
        <v>20</v>
      </c>
      <c r="J4" s="90"/>
      <c r="K4" s="85" t="s">
        <v>33</v>
      </c>
      <c r="L4" s="83" t="s">
        <v>20</v>
      </c>
      <c r="M4" s="84"/>
      <c r="N4" s="85" t="s">
        <v>32</v>
      </c>
      <c r="O4" s="83" t="s">
        <v>20</v>
      </c>
      <c r="P4" s="84"/>
      <c r="Q4" s="85" t="s">
        <v>31</v>
      </c>
      <c r="R4" s="83" t="s">
        <v>20</v>
      </c>
      <c r="S4" s="84"/>
    </row>
    <row r="5" spans="1:19" ht="45.75" thickBot="1" x14ac:dyDescent="0.3">
      <c r="A5" s="4" t="s">
        <v>0</v>
      </c>
      <c r="B5" s="5" t="s">
        <v>1</v>
      </c>
      <c r="C5" s="116" t="s">
        <v>17</v>
      </c>
      <c r="D5" s="117" t="s">
        <v>35</v>
      </c>
      <c r="E5" s="29" t="s">
        <v>23</v>
      </c>
      <c r="F5" s="30" t="s">
        <v>22</v>
      </c>
      <c r="G5" s="100" t="s">
        <v>18</v>
      </c>
      <c r="H5" s="88"/>
      <c r="I5" s="29" t="s">
        <v>23</v>
      </c>
      <c r="J5" s="31" t="s">
        <v>22</v>
      </c>
      <c r="K5" s="89"/>
      <c r="L5" s="29" t="s">
        <v>23</v>
      </c>
      <c r="M5" s="30" t="s">
        <v>22</v>
      </c>
      <c r="N5" s="86"/>
      <c r="O5" s="29" t="s">
        <v>23</v>
      </c>
      <c r="P5" s="30" t="s">
        <v>22</v>
      </c>
      <c r="Q5" s="86"/>
      <c r="R5" s="29" t="s">
        <v>23</v>
      </c>
      <c r="S5" s="30" t="s">
        <v>22</v>
      </c>
    </row>
    <row r="6" spans="1:19" x14ac:dyDescent="0.25">
      <c r="A6" s="40" t="s">
        <v>24</v>
      </c>
      <c r="B6" s="99" t="s">
        <v>3</v>
      </c>
      <c r="C6" s="45">
        <f>SUM(C8:C10)</f>
        <v>1200</v>
      </c>
      <c r="D6" s="115">
        <f>SUM(D8:D10)</f>
        <v>589.37999999999988</v>
      </c>
      <c r="E6" s="45">
        <f>D6-C6</f>
        <v>-610.62000000000012</v>
      </c>
      <c r="F6" s="96">
        <f>D6/C6-1</f>
        <v>-0.50885000000000002</v>
      </c>
      <c r="G6" s="101">
        <f>C6/4</f>
        <v>300</v>
      </c>
      <c r="H6" s="93">
        <f>H8+H9+H10</f>
        <v>20.059999999999999</v>
      </c>
      <c r="I6" s="45">
        <f>H6-G6</f>
        <v>-279.94</v>
      </c>
      <c r="J6" s="46">
        <f>H6/G6-1</f>
        <v>-0.93313333333333337</v>
      </c>
      <c r="K6" s="93">
        <f>K8+K9+K10</f>
        <v>279.51</v>
      </c>
      <c r="L6" s="45">
        <f>K6-G6</f>
        <v>-20.490000000000009</v>
      </c>
      <c r="M6" s="52">
        <f>K6/G6-1</f>
        <v>-6.8300000000000027E-2</v>
      </c>
      <c r="N6" s="93">
        <f>N8+N9+N10</f>
        <v>221.51</v>
      </c>
      <c r="O6" s="45">
        <f>N6-G6</f>
        <v>-78.490000000000009</v>
      </c>
      <c r="P6" s="51">
        <f>N6/G6-1</f>
        <v>-0.26163333333333338</v>
      </c>
      <c r="Q6" s="93">
        <f>Q8+Q9+Q10</f>
        <v>68.3</v>
      </c>
      <c r="R6" s="45">
        <f>Q6-G6</f>
        <v>-231.7</v>
      </c>
      <c r="S6" s="51">
        <f>Q6/G6-1</f>
        <v>-0.77233333333333332</v>
      </c>
    </row>
    <row r="7" spans="1:19" x14ac:dyDescent="0.25">
      <c r="A7" s="47" t="s">
        <v>25</v>
      </c>
      <c r="B7" s="48"/>
      <c r="C7" s="108"/>
      <c r="D7" s="111"/>
      <c r="E7" s="108"/>
      <c r="F7" s="109"/>
      <c r="G7" s="102"/>
      <c r="H7" s="50"/>
      <c r="I7" s="45"/>
      <c r="J7" s="46"/>
      <c r="K7" s="38"/>
      <c r="L7" s="45"/>
      <c r="M7" s="35"/>
      <c r="N7" s="82"/>
      <c r="O7" s="45"/>
      <c r="P7" s="35"/>
      <c r="Q7" s="82"/>
      <c r="R7" s="24"/>
      <c r="S7" s="51"/>
    </row>
    <row r="8" spans="1:19" x14ac:dyDescent="0.25">
      <c r="A8" s="78" t="s">
        <v>2</v>
      </c>
      <c r="B8" s="39" t="s">
        <v>3</v>
      </c>
      <c r="C8" s="25">
        <v>686</v>
      </c>
      <c r="D8" s="112">
        <f>+H8+K8+N8+Q8</f>
        <v>407.06999999999994</v>
      </c>
      <c r="E8" s="25">
        <f>D8-C8</f>
        <v>-278.93000000000006</v>
      </c>
      <c r="F8" s="97">
        <f>D8/C8-1</f>
        <v>-0.40660349854227418</v>
      </c>
      <c r="G8" s="103">
        <f>C8/4</f>
        <v>171.5</v>
      </c>
      <c r="H8" s="20">
        <v>6.34</v>
      </c>
      <c r="I8" s="28">
        <f>H8-G8</f>
        <v>-165.16</v>
      </c>
      <c r="J8" s="32">
        <f t="shared" ref="J8:J13" si="0">H8/G8-1</f>
        <v>-0.96303206997084545</v>
      </c>
      <c r="K8" s="22">
        <v>274.83</v>
      </c>
      <c r="L8" s="25">
        <f>K8-G8</f>
        <v>103.32999999999998</v>
      </c>
      <c r="M8" s="35">
        <f>K8/G8-1</f>
        <v>0.60250728862973757</v>
      </c>
      <c r="N8" s="22">
        <v>76.53</v>
      </c>
      <c r="O8" s="72">
        <f t="shared" ref="O8:O11" si="1">N8-G8</f>
        <v>-94.97</v>
      </c>
      <c r="P8" s="35">
        <f t="shared" ref="P8:P11" si="2">N8/G8-1</f>
        <v>-0.55376093294460649</v>
      </c>
      <c r="Q8" s="22">
        <v>49.37</v>
      </c>
      <c r="R8" s="72">
        <f t="shared" ref="R8:R11" si="3">Q8-G8</f>
        <v>-122.13</v>
      </c>
      <c r="S8" s="51">
        <f t="shared" ref="S7:S13" si="4">Q8/G8-1</f>
        <v>-0.7121282798833819</v>
      </c>
    </row>
    <row r="9" spans="1:19" x14ac:dyDescent="0.25">
      <c r="A9" s="79" t="s">
        <v>4</v>
      </c>
      <c r="B9" s="7" t="s">
        <v>3</v>
      </c>
      <c r="C9" s="25">
        <v>257</v>
      </c>
      <c r="D9" s="112">
        <f t="shared" ref="D9:D13" si="5">+H9+K9+N9+Q9</f>
        <v>47.32</v>
      </c>
      <c r="E9" s="25">
        <f t="shared" ref="E9:E13" si="6">D9-C9</f>
        <v>-209.68</v>
      </c>
      <c r="F9" s="97">
        <f t="shared" ref="F9:F13" si="7">D9/C9-1</f>
        <v>-0.8158754863813229</v>
      </c>
      <c r="G9" s="104">
        <f>C9/4</f>
        <v>64.25</v>
      </c>
      <c r="H9" s="27">
        <v>0.88</v>
      </c>
      <c r="I9" s="25">
        <f t="shared" ref="I9:I22" si="8">H9-G9</f>
        <v>-63.37</v>
      </c>
      <c r="J9" s="33">
        <f t="shared" si="0"/>
        <v>-0.9863035019455253</v>
      </c>
      <c r="K9" s="22">
        <v>2.12</v>
      </c>
      <c r="L9" s="25">
        <f t="shared" ref="L9:L22" si="9">K9-G9</f>
        <v>-62.13</v>
      </c>
      <c r="M9" s="35">
        <f t="shared" ref="M9:M22" si="10">K9/G9-1</f>
        <v>-0.9670038910505836</v>
      </c>
      <c r="N9" s="22">
        <v>38.06</v>
      </c>
      <c r="O9" s="72">
        <f t="shared" si="1"/>
        <v>-26.189999999999998</v>
      </c>
      <c r="P9" s="35">
        <f t="shared" si="2"/>
        <v>-0.40762645914396889</v>
      </c>
      <c r="Q9" s="22">
        <v>6.26</v>
      </c>
      <c r="R9" s="72">
        <f t="shared" si="3"/>
        <v>-57.99</v>
      </c>
      <c r="S9" s="51">
        <f t="shared" si="4"/>
        <v>-0.90256809338521404</v>
      </c>
    </row>
    <row r="10" spans="1:19" x14ac:dyDescent="0.25">
      <c r="A10" s="80" t="s">
        <v>5</v>
      </c>
      <c r="B10" s="7" t="s">
        <v>3</v>
      </c>
      <c r="C10" s="25">
        <v>257</v>
      </c>
      <c r="D10" s="112">
        <f t="shared" si="5"/>
        <v>134.99</v>
      </c>
      <c r="E10" s="25">
        <f t="shared" si="6"/>
        <v>-122.00999999999999</v>
      </c>
      <c r="F10" s="97">
        <f t="shared" si="7"/>
        <v>-0.47474708171206226</v>
      </c>
      <c r="G10" s="104">
        <f>C10/4</f>
        <v>64.25</v>
      </c>
      <c r="H10" s="27">
        <v>12.84</v>
      </c>
      <c r="I10" s="25">
        <f t="shared" si="8"/>
        <v>-51.41</v>
      </c>
      <c r="J10" s="33">
        <f t="shared" si="0"/>
        <v>-0.80015564202334633</v>
      </c>
      <c r="K10" s="22">
        <v>2.56</v>
      </c>
      <c r="L10" s="25">
        <f t="shared" si="9"/>
        <v>-61.69</v>
      </c>
      <c r="M10" s="35">
        <f t="shared" si="10"/>
        <v>-0.96015564202334636</v>
      </c>
      <c r="N10" s="22">
        <v>106.92</v>
      </c>
      <c r="O10" s="72">
        <f t="shared" si="1"/>
        <v>42.67</v>
      </c>
      <c r="P10" s="35">
        <f t="shared" si="2"/>
        <v>0.66412451361867708</v>
      </c>
      <c r="Q10" s="22">
        <f>12.11+0.56</f>
        <v>12.67</v>
      </c>
      <c r="R10" s="72">
        <f t="shared" si="3"/>
        <v>-51.58</v>
      </c>
      <c r="S10" s="51">
        <f t="shared" si="4"/>
        <v>-0.80280155642023343</v>
      </c>
    </row>
    <row r="11" spans="1:19" x14ac:dyDescent="0.25">
      <c r="A11" s="6" t="s">
        <v>6</v>
      </c>
      <c r="B11" s="7" t="s">
        <v>7</v>
      </c>
      <c r="C11" s="25">
        <v>38571.428571428572</v>
      </c>
      <c r="D11" s="112">
        <f t="shared" si="5"/>
        <v>8012.0300000000007</v>
      </c>
      <c r="E11" s="25">
        <f t="shared" si="6"/>
        <v>-30559.398571428574</v>
      </c>
      <c r="F11" s="97">
        <f t="shared" si="7"/>
        <v>-0.79228070370370363</v>
      </c>
      <c r="G11" s="104">
        <f>C11/4</f>
        <v>9642.8571428571431</v>
      </c>
      <c r="H11" s="27">
        <v>561.65</v>
      </c>
      <c r="I11" s="25">
        <f t="shared" si="8"/>
        <v>-9081.2071428571435</v>
      </c>
      <c r="J11" s="33">
        <f t="shared" si="0"/>
        <v>-0.94175481481481482</v>
      </c>
      <c r="K11" s="22">
        <v>0</v>
      </c>
      <c r="L11" s="25">
        <f t="shared" si="9"/>
        <v>-9642.8571428571431</v>
      </c>
      <c r="M11" s="35">
        <f t="shared" si="10"/>
        <v>-1</v>
      </c>
      <c r="N11" s="22">
        <v>3175.86</v>
      </c>
      <c r="O11" s="72">
        <f t="shared" si="1"/>
        <v>-6466.9971428571425</v>
      </c>
      <c r="P11" s="35">
        <f t="shared" si="2"/>
        <v>-0.67065155555555556</v>
      </c>
      <c r="Q11" s="22">
        <v>4274.5200000000004</v>
      </c>
      <c r="R11" s="72">
        <f t="shared" si="3"/>
        <v>-5368.3371428571427</v>
      </c>
      <c r="S11" s="51">
        <f t="shared" si="4"/>
        <v>-0.55671644444444435</v>
      </c>
    </row>
    <row r="12" spans="1:19" x14ac:dyDescent="0.25">
      <c r="A12" s="8" t="s">
        <v>8</v>
      </c>
      <c r="B12" s="7" t="s">
        <v>7</v>
      </c>
      <c r="C12" s="25">
        <v>51428.571428571428</v>
      </c>
      <c r="D12" s="112">
        <f t="shared" si="5"/>
        <v>13882.859999999999</v>
      </c>
      <c r="E12" s="25">
        <f t="shared" si="6"/>
        <v>-37545.711428571427</v>
      </c>
      <c r="F12" s="97">
        <f t="shared" si="7"/>
        <v>-0.73005549999999997</v>
      </c>
      <c r="G12" s="104">
        <f>C12/4</f>
        <v>12857.142857142857</v>
      </c>
      <c r="H12" s="27">
        <f>5813.26+3476.84</f>
        <v>9290.1</v>
      </c>
      <c r="I12" s="25">
        <f t="shared" si="8"/>
        <v>-3567.0428571428565</v>
      </c>
      <c r="J12" s="33">
        <f t="shared" si="0"/>
        <v>-0.27743666666666666</v>
      </c>
      <c r="K12" s="22">
        <v>1866.4</v>
      </c>
      <c r="L12" s="25">
        <f t="shared" si="9"/>
        <v>-10990.742857142857</v>
      </c>
      <c r="M12" s="35">
        <f t="shared" si="10"/>
        <v>-0.85483555555555557</v>
      </c>
      <c r="N12" s="22">
        <f>2666.1+7.86</f>
        <v>2673.96</v>
      </c>
      <c r="O12" s="72">
        <f>N12-G12</f>
        <v>-10183.182857142856</v>
      </c>
      <c r="P12" s="35">
        <f t="shared" ref="P12:P22" si="11">N12/G12-1</f>
        <v>-0.79202533333333336</v>
      </c>
      <c r="Q12" s="22">
        <v>52.4</v>
      </c>
      <c r="R12" s="72">
        <f>Q12-G12</f>
        <v>-12804.742857142857</v>
      </c>
      <c r="S12" s="51">
        <f t="shared" si="4"/>
        <v>-0.99592444444444439</v>
      </c>
    </row>
    <row r="13" spans="1:19" ht="15.75" thickBot="1" x14ac:dyDescent="0.3">
      <c r="A13" s="54" t="s">
        <v>9</v>
      </c>
      <c r="B13" s="55" t="s">
        <v>7</v>
      </c>
      <c r="C13" s="25">
        <v>16570</v>
      </c>
      <c r="D13" s="112">
        <f t="shared" si="5"/>
        <v>4761</v>
      </c>
      <c r="E13" s="26">
        <f t="shared" si="6"/>
        <v>-11809</v>
      </c>
      <c r="F13" s="98">
        <f t="shared" si="7"/>
        <v>-0.71267350633675319</v>
      </c>
      <c r="G13" s="105">
        <f>C13/4</f>
        <v>4142.5</v>
      </c>
      <c r="H13" s="58">
        <v>0</v>
      </c>
      <c r="I13" s="59">
        <f t="shared" si="8"/>
        <v>-4142.5</v>
      </c>
      <c r="J13" s="60">
        <f t="shared" si="0"/>
        <v>-1</v>
      </c>
      <c r="K13" s="57">
        <v>0</v>
      </c>
      <c r="L13" s="59">
        <f t="shared" si="9"/>
        <v>-4142.5</v>
      </c>
      <c r="M13" s="61">
        <f t="shared" si="10"/>
        <v>-1</v>
      </c>
      <c r="N13" s="57">
        <v>4761</v>
      </c>
      <c r="O13" s="72">
        <f>N13-G13</f>
        <v>618.5</v>
      </c>
      <c r="P13" s="35">
        <f t="shared" si="11"/>
        <v>0.14930597465298723</v>
      </c>
      <c r="Q13" s="57">
        <v>0</v>
      </c>
      <c r="R13" s="72">
        <f>Q13-G13</f>
        <v>-4142.5</v>
      </c>
      <c r="S13" s="51">
        <f t="shared" si="4"/>
        <v>-1</v>
      </c>
    </row>
    <row r="14" spans="1:19" ht="15.75" thickBot="1" x14ac:dyDescent="0.3">
      <c r="A14" s="10" t="s">
        <v>10</v>
      </c>
      <c r="B14" s="3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 spans="1:19" x14ac:dyDescent="0.25">
      <c r="A15" s="40" t="s">
        <v>24</v>
      </c>
      <c r="B15" s="99" t="s">
        <v>3</v>
      </c>
      <c r="C15" s="108">
        <f>SUM(C17:C18)</f>
        <v>2014.2857142857144</v>
      </c>
      <c r="D15" s="111">
        <f>SUM(D17:D18)</f>
        <v>1365.43</v>
      </c>
      <c r="E15" s="73">
        <f>D15-C15</f>
        <v>-648.85571428571438</v>
      </c>
      <c r="F15" s="114">
        <f>D15/C15-1</f>
        <v>-0.32212695035460992</v>
      </c>
      <c r="G15" s="101">
        <f>SUM(G17:G18)</f>
        <v>503.57142857142861</v>
      </c>
      <c r="H15" s="93">
        <f>+H17+H18+12.38</f>
        <v>175.57</v>
      </c>
      <c r="I15" s="45">
        <f>H15-G15</f>
        <v>-328.00142857142862</v>
      </c>
      <c r="J15" s="46">
        <f>H15/G15-1</f>
        <v>-0.65135035460992907</v>
      </c>
      <c r="K15" s="93">
        <f>+K17+K18</f>
        <v>500.37000000000006</v>
      </c>
      <c r="L15" s="45">
        <f>K15-G15</f>
        <v>-3.2014285714285506</v>
      </c>
      <c r="M15" s="52">
        <f>K15/G15-1</f>
        <v>-6.3574468085105806E-3</v>
      </c>
      <c r="N15" s="53">
        <f>+N17+N18</f>
        <v>404.59999999999991</v>
      </c>
      <c r="O15" s="73">
        <f>N15-G15</f>
        <v>-98.971428571428703</v>
      </c>
      <c r="P15" s="74">
        <f>N15/G15-1</f>
        <v>-0.19653900709219885</v>
      </c>
      <c r="Q15" s="53">
        <f>4.86+Q17+Q18</f>
        <v>302.13</v>
      </c>
      <c r="R15" s="73">
        <f>Q15-G15</f>
        <v>-201.44142857142862</v>
      </c>
      <c r="S15" s="74">
        <f>Q15/G15-1</f>
        <v>-0.40002553191489365</v>
      </c>
    </row>
    <row r="16" spans="1:19" x14ac:dyDescent="0.25">
      <c r="A16" s="47" t="s">
        <v>25</v>
      </c>
      <c r="B16" s="48"/>
      <c r="C16" s="108"/>
      <c r="D16" s="111"/>
      <c r="E16" s="108"/>
      <c r="F16" s="97"/>
      <c r="G16" s="102"/>
      <c r="H16" s="50"/>
      <c r="I16" s="45"/>
      <c r="J16" s="32"/>
      <c r="K16" s="38"/>
      <c r="L16" s="45"/>
      <c r="M16" s="51"/>
      <c r="N16" s="82"/>
      <c r="O16" s="45"/>
      <c r="P16" s="51"/>
      <c r="Q16" s="82"/>
      <c r="R16" s="24"/>
      <c r="S16" s="35"/>
    </row>
    <row r="17" spans="1:19" x14ac:dyDescent="0.25">
      <c r="A17" s="76" t="s">
        <v>11</v>
      </c>
      <c r="B17" s="39" t="s">
        <v>3</v>
      </c>
      <c r="C17" s="25">
        <v>300</v>
      </c>
      <c r="D17" s="112">
        <f t="shared" ref="D17:D22" si="12">+H17+K17+N17+Q17</f>
        <v>202.53</v>
      </c>
      <c r="E17" s="25">
        <f t="shared" ref="E17:E22" si="13">D17-C17</f>
        <v>-97.47</v>
      </c>
      <c r="F17" s="97">
        <f t="shared" ref="F17:F22" si="14">D17/C17-1</f>
        <v>-0.32489999999999997</v>
      </c>
      <c r="G17" s="103">
        <f>C17/4</f>
        <v>75</v>
      </c>
      <c r="H17" s="20">
        <f>6.78+8.94+41.33+4.33+0.59</f>
        <v>61.97</v>
      </c>
      <c r="I17" s="28">
        <f t="shared" si="8"/>
        <v>-13.030000000000001</v>
      </c>
      <c r="J17" s="32">
        <f t="shared" ref="J17:J22" si="15">H17/G17-1</f>
        <v>-0.1737333333333333</v>
      </c>
      <c r="K17" s="42">
        <v>0</v>
      </c>
      <c r="L17" s="28">
        <f t="shared" si="9"/>
        <v>-75</v>
      </c>
      <c r="M17" s="51">
        <f t="shared" si="10"/>
        <v>-1</v>
      </c>
      <c r="N17" s="42">
        <f>7.68+18.48+30.72+26.53</f>
        <v>83.41</v>
      </c>
      <c r="O17" s="72">
        <f t="shared" ref="O17:O22" si="16">N17-G17</f>
        <v>8.4099999999999966</v>
      </c>
      <c r="P17" s="35">
        <f t="shared" si="11"/>
        <v>0.1121333333333332</v>
      </c>
      <c r="Q17" s="42">
        <f>25.35+21.5+10.3</f>
        <v>57.150000000000006</v>
      </c>
      <c r="R17" s="72">
        <f t="shared" ref="R17:R18" si="17">Q17-G17</f>
        <v>-17.849999999999994</v>
      </c>
      <c r="S17" s="35">
        <f t="shared" ref="S12:S22" si="18">Q17/G17-1</f>
        <v>-0.23799999999999988</v>
      </c>
    </row>
    <row r="18" spans="1:19" x14ac:dyDescent="0.25">
      <c r="A18" s="77" t="s">
        <v>26</v>
      </c>
      <c r="B18" s="7" t="s">
        <v>3</v>
      </c>
      <c r="C18" s="25">
        <v>1714.2857142857144</v>
      </c>
      <c r="D18" s="112">
        <f t="shared" si="12"/>
        <v>1162.9000000000001</v>
      </c>
      <c r="E18" s="25">
        <f t="shared" si="13"/>
        <v>-551.38571428571436</v>
      </c>
      <c r="F18" s="97">
        <f t="shared" si="14"/>
        <v>-0.32164166666666671</v>
      </c>
      <c r="G18" s="104">
        <f>C18/4</f>
        <v>428.57142857142861</v>
      </c>
      <c r="H18" s="27">
        <f>22.22+39.36+10.89+4.48+3.86+2.36+5.99+0.2+5.43+2.02+4.41</f>
        <v>101.21999999999998</v>
      </c>
      <c r="I18" s="25">
        <f t="shared" si="8"/>
        <v>-327.35142857142864</v>
      </c>
      <c r="J18" s="33">
        <f t="shared" si="15"/>
        <v>-0.76382000000000005</v>
      </c>
      <c r="K18" s="22">
        <f>0.36+217.72+276.6+5.69</f>
        <v>500.37000000000006</v>
      </c>
      <c r="L18" s="25">
        <f t="shared" si="9"/>
        <v>71.798571428571449</v>
      </c>
      <c r="M18" s="35">
        <f t="shared" si="10"/>
        <v>0.16752999999999996</v>
      </c>
      <c r="N18" s="14">
        <f>29.17+41.49+31.28+62.63+29+42.73+5.9+3.3+3.67+2.63+7.45+19.02+3.89+5.86+15.93+2.84+14.4</f>
        <v>321.18999999999994</v>
      </c>
      <c r="O18" s="72">
        <f t="shared" si="16"/>
        <v>-107.38142857142867</v>
      </c>
      <c r="P18" s="35">
        <f t="shared" si="11"/>
        <v>-0.25055666666666687</v>
      </c>
      <c r="Q18" s="14">
        <f>50.52+36.99+32.75+3.59+4.12+20.49+9.71+4.7+59.27+1.72+16.26</f>
        <v>240.12</v>
      </c>
      <c r="R18" s="72">
        <f t="shared" si="17"/>
        <v>-188.45142857142861</v>
      </c>
      <c r="S18" s="35">
        <f t="shared" si="18"/>
        <v>-0.43972</v>
      </c>
    </row>
    <row r="19" spans="1:19" x14ac:dyDescent="0.25">
      <c r="A19" s="11" t="s">
        <v>12</v>
      </c>
      <c r="B19" s="7" t="s">
        <v>13</v>
      </c>
      <c r="C19" s="25">
        <v>214</v>
      </c>
      <c r="D19" s="112">
        <f t="shared" si="12"/>
        <v>231</v>
      </c>
      <c r="E19" s="25">
        <f t="shared" si="13"/>
        <v>17</v>
      </c>
      <c r="F19" s="97">
        <f t="shared" si="14"/>
        <v>7.9439252336448662E-2</v>
      </c>
      <c r="G19" s="104">
        <f>C19/4</f>
        <v>53.5</v>
      </c>
      <c r="H19" s="27">
        <f>1+1+7+1+2+3+2</f>
        <v>17</v>
      </c>
      <c r="I19" s="25">
        <f t="shared" si="8"/>
        <v>-36.5</v>
      </c>
      <c r="J19" s="33">
        <f t="shared" si="15"/>
        <v>-0.68224299065420557</v>
      </c>
      <c r="K19" s="22">
        <f>65+27</f>
        <v>92</v>
      </c>
      <c r="L19" s="25">
        <f t="shared" si="9"/>
        <v>38.5</v>
      </c>
      <c r="M19" s="35">
        <f t="shared" si="10"/>
        <v>0.71962616822429903</v>
      </c>
      <c r="N19" s="14">
        <f>30+11+1+7+2+1+2+2+6</f>
        <v>62</v>
      </c>
      <c r="O19" s="72">
        <f t="shared" si="16"/>
        <v>8.5</v>
      </c>
      <c r="P19" s="35">
        <f t="shared" si="11"/>
        <v>0.1588785046728971</v>
      </c>
      <c r="Q19" s="14">
        <f>15+8+4+8+4+14+3+2+2</f>
        <v>60</v>
      </c>
      <c r="R19" s="72">
        <f>Q19-G19</f>
        <v>6.5</v>
      </c>
      <c r="S19" s="35">
        <f t="shared" si="18"/>
        <v>0.12149532710280364</v>
      </c>
    </row>
    <row r="20" spans="1:19" x14ac:dyDescent="0.25">
      <c r="A20" s="8" t="s">
        <v>14</v>
      </c>
      <c r="B20" s="7" t="s">
        <v>7</v>
      </c>
      <c r="C20" s="25">
        <v>2142.8571428571431</v>
      </c>
      <c r="D20" s="112">
        <f t="shared" si="12"/>
        <v>1526.94</v>
      </c>
      <c r="E20" s="25">
        <f t="shared" si="13"/>
        <v>-615.91714285714306</v>
      </c>
      <c r="F20" s="97">
        <f t="shared" si="14"/>
        <v>-0.28742800000000002</v>
      </c>
      <c r="G20" s="104">
        <f>C20/4</f>
        <v>535.71428571428578</v>
      </c>
      <c r="H20" s="27">
        <f>87.8+20.7+0.6+3+11.5+12.8+9.06+11.92+0.6+0.8</f>
        <v>158.78</v>
      </c>
      <c r="I20" s="25">
        <f t="shared" si="8"/>
        <v>-376.93428571428581</v>
      </c>
      <c r="J20" s="33">
        <f t="shared" si="15"/>
        <v>-0.70361066666666672</v>
      </c>
      <c r="K20" s="22">
        <f>0.6+280+14</f>
        <v>294.60000000000002</v>
      </c>
      <c r="L20" s="25">
        <f t="shared" si="9"/>
        <v>-241.11428571428576</v>
      </c>
      <c r="M20" s="35">
        <f t="shared" si="10"/>
        <v>-0.45008000000000004</v>
      </c>
      <c r="N20" s="14">
        <f>235.2+110+52.4+7.9+0.7+45.18+34.74+22.4+29.2+16.4+15+44.8+7.24+10.48+4.6+15.04+5.2+4.6</f>
        <v>661.07999999999993</v>
      </c>
      <c r="O20" s="72">
        <f t="shared" si="16"/>
        <v>125.36571428571415</v>
      </c>
      <c r="P20" s="35">
        <f t="shared" si="11"/>
        <v>0.23401599999999978</v>
      </c>
      <c r="Q20" s="14">
        <f>115.68+71.3+39.3+7.9+5.6+3.9+42.9+3+10.56+5.24+22.4+6.3+55.4+9.2+13.8</f>
        <v>412.48</v>
      </c>
      <c r="R20" s="72">
        <f>Q20-G20</f>
        <v>-123.23428571428576</v>
      </c>
      <c r="S20" s="35">
        <f t="shared" si="18"/>
        <v>-0.23003733333333343</v>
      </c>
    </row>
    <row r="21" spans="1:19" x14ac:dyDescent="0.25">
      <c r="A21" s="12" t="s">
        <v>15</v>
      </c>
      <c r="B21" s="7" t="s">
        <v>13</v>
      </c>
      <c r="C21" s="25">
        <v>214.28571428571431</v>
      </c>
      <c r="D21" s="112">
        <f t="shared" si="12"/>
        <v>144</v>
      </c>
      <c r="E21" s="25">
        <f t="shared" si="13"/>
        <v>-70.285714285714306</v>
      </c>
      <c r="F21" s="97">
        <f t="shared" si="14"/>
        <v>-0.32800000000000007</v>
      </c>
      <c r="G21" s="104">
        <f>C21/4</f>
        <v>53.571428571428577</v>
      </c>
      <c r="H21" s="17">
        <f>2+1+2</f>
        <v>5</v>
      </c>
      <c r="I21" s="25">
        <f t="shared" si="8"/>
        <v>-48.571428571428577</v>
      </c>
      <c r="J21" s="33">
        <f t="shared" si="15"/>
        <v>-0.90666666666666673</v>
      </c>
      <c r="K21" s="22">
        <f>30+11</f>
        <v>41</v>
      </c>
      <c r="L21" s="25">
        <f t="shared" si="9"/>
        <v>-12.571428571428577</v>
      </c>
      <c r="M21" s="35">
        <f t="shared" si="10"/>
        <v>-0.23466666666666669</v>
      </c>
      <c r="N21" s="14">
        <f>2+5+8+8+19+4+1+2+4</f>
        <v>53</v>
      </c>
      <c r="O21" s="72">
        <f t="shared" si="16"/>
        <v>-0.5714285714285765</v>
      </c>
      <c r="P21" s="35">
        <f t="shared" si="11"/>
        <v>-1.0666666666666713E-2</v>
      </c>
      <c r="Q21" s="14">
        <f>3+8+11+5+14+4</f>
        <v>45</v>
      </c>
      <c r="R21" s="72">
        <f>Q21-G21</f>
        <v>-8.5714285714285765</v>
      </c>
      <c r="S21" s="35">
        <f t="shared" si="18"/>
        <v>-0.16000000000000003</v>
      </c>
    </row>
    <row r="22" spans="1:19" ht="15.75" thickBot="1" x14ac:dyDescent="0.3">
      <c r="A22" s="13" t="s">
        <v>16</v>
      </c>
      <c r="B22" s="9" t="s">
        <v>13</v>
      </c>
      <c r="C22" s="26">
        <v>428.57142857142861</v>
      </c>
      <c r="D22" s="113">
        <f t="shared" si="12"/>
        <v>271</v>
      </c>
      <c r="E22" s="26">
        <f t="shared" si="13"/>
        <v>-157.57142857142861</v>
      </c>
      <c r="F22" s="98">
        <f t="shared" si="14"/>
        <v>-0.3676666666666667</v>
      </c>
      <c r="G22" s="106">
        <f>C22/4</f>
        <v>107.14285714285715</v>
      </c>
      <c r="H22" s="18">
        <f>61+3+1+1+1+4</f>
        <v>71</v>
      </c>
      <c r="I22" s="26">
        <f t="shared" si="8"/>
        <v>-36.142857142857153</v>
      </c>
      <c r="J22" s="34">
        <f t="shared" si="15"/>
        <v>-0.33733333333333337</v>
      </c>
      <c r="K22" s="15">
        <v>40</v>
      </c>
      <c r="L22" s="26">
        <f t="shared" si="9"/>
        <v>-67.142857142857153</v>
      </c>
      <c r="M22" s="36">
        <f t="shared" si="10"/>
        <v>-0.62666666666666671</v>
      </c>
      <c r="N22" s="15">
        <f>28+5+5+14+8+7+11+5+1+3+1+6+8+1+3+1</f>
        <v>107</v>
      </c>
      <c r="O22" s="75">
        <f t="shared" si="16"/>
        <v>-0.14285714285715301</v>
      </c>
      <c r="P22" s="36">
        <f t="shared" si="11"/>
        <v>-1.3333333333334085E-3</v>
      </c>
      <c r="Q22" s="15">
        <f>1+26+9+3+1+1+3+1+2+5+1</f>
        <v>53</v>
      </c>
      <c r="R22" s="75">
        <f t="shared" ref="R22" si="19">Q22-G22</f>
        <v>-54.142857142857153</v>
      </c>
      <c r="S22" s="36">
        <f t="shared" si="18"/>
        <v>-0.50533333333333341</v>
      </c>
    </row>
    <row r="23" spans="1:19" ht="24" customHeight="1" x14ac:dyDescent="0.25"/>
  </sheetData>
  <mergeCells count="10">
    <mergeCell ref="N4:N5"/>
    <mergeCell ref="C4:D4"/>
    <mergeCell ref="E4:F4"/>
    <mergeCell ref="H4:H5"/>
    <mergeCell ref="I4:J4"/>
    <mergeCell ref="K4:K5"/>
    <mergeCell ref="L4:M4"/>
    <mergeCell ref="O4:P4"/>
    <mergeCell ref="Q4:Q5"/>
    <mergeCell ref="R4:S4"/>
  </mergeCells>
  <pageMargins left="0.16" right="0.16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 2013</vt:lpstr>
      <vt:lpstr>ноябрь 2013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Марцулевич Екатерина</cp:lastModifiedBy>
  <cp:lastPrinted>2013-12-05T11:52:04Z</cp:lastPrinted>
  <dcterms:created xsi:type="dcterms:W3CDTF">2013-11-29T07:31:51Z</dcterms:created>
  <dcterms:modified xsi:type="dcterms:W3CDTF">2013-12-05T17:20:27Z</dcterms:modified>
</cp:coreProperties>
</file>