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62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M23" i="1"/>
  <c r="F23"/>
  <c r="D23"/>
  <c r="N22"/>
  <c r="K22"/>
  <c r="L22" s="1"/>
  <c r="E22"/>
  <c r="N21"/>
  <c r="K21"/>
  <c r="L21" s="1"/>
  <c r="E21"/>
  <c r="N20"/>
  <c r="K20"/>
  <c r="L20" s="1"/>
  <c r="G20"/>
  <c r="E20"/>
  <c r="P19"/>
  <c r="N19"/>
  <c r="K19"/>
  <c r="L19" s="1"/>
  <c r="G19"/>
  <c r="E19"/>
  <c r="P18"/>
  <c r="N18"/>
  <c r="K18"/>
  <c r="L18" s="1"/>
  <c r="E18"/>
  <c r="N17"/>
  <c r="K17"/>
  <c r="L17" s="1"/>
  <c r="G17"/>
  <c r="E17"/>
  <c r="P16"/>
  <c r="N16"/>
  <c r="K16"/>
  <c r="L16" s="1"/>
  <c r="G16"/>
  <c r="E16"/>
  <c r="P15"/>
  <c r="N15"/>
  <c r="K15"/>
  <c r="L15" s="1"/>
  <c r="E15"/>
  <c r="P14"/>
  <c r="N14"/>
  <c r="L14"/>
  <c r="K14"/>
  <c r="G14"/>
  <c r="E14"/>
  <c r="P13"/>
  <c r="N13"/>
  <c r="L13"/>
  <c r="G13"/>
  <c r="E13"/>
  <c r="P12"/>
  <c r="N12"/>
  <c r="L12"/>
  <c r="G12"/>
  <c r="E12"/>
  <c r="P11"/>
  <c r="N11"/>
  <c r="L11"/>
  <c r="K11"/>
  <c r="G11"/>
  <c r="E11"/>
  <c r="P10"/>
  <c r="N10"/>
  <c r="L10"/>
  <c r="K10"/>
  <c r="G10"/>
  <c r="E10"/>
  <c r="P9"/>
  <c r="N9"/>
  <c r="L9"/>
  <c r="K9"/>
  <c r="G9"/>
  <c r="E9"/>
  <c r="P8"/>
  <c r="N8"/>
  <c r="L8"/>
  <c r="K8"/>
  <c r="G8"/>
  <c r="E8"/>
  <c r="P7"/>
  <c r="N7"/>
  <c r="L7"/>
  <c r="G7"/>
  <c r="E7"/>
  <c r="C7"/>
  <c r="P6"/>
  <c r="N6"/>
  <c r="G6"/>
  <c r="G23" s="1"/>
  <c r="G25" s="1"/>
  <c r="E6"/>
  <c r="C6"/>
  <c r="K6" s="1"/>
  <c r="L6" s="1"/>
  <c r="P5"/>
  <c r="P23" s="1"/>
  <c r="N5"/>
  <c r="N23" s="1"/>
  <c r="N25" s="1"/>
  <c r="E5"/>
  <c r="E23" s="1"/>
  <c r="C5"/>
  <c r="C23" s="1"/>
  <c r="F27"/>
  <c r="D27"/>
  <c r="D51" l="1"/>
  <c r="B51"/>
  <c r="E25"/>
  <c r="B52"/>
  <c r="C51"/>
  <c r="D52"/>
  <c r="P25"/>
  <c r="K5"/>
  <c r="L5" s="1"/>
  <c r="L23" s="1"/>
  <c r="D50" l="1"/>
  <c r="C53" s="1"/>
  <c r="B50"/>
  <c r="B53" s="1"/>
  <c r="L25"/>
</calcChain>
</file>

<file path=xl/sharedStrings.xml><?xml version="1.0" encoding="utf-8"?>
<sst xmlns="http://schemas.openxmlformats.org/spreadsheetml/2006/main" count="66" uniqueCount="56">
  <si>
    <t>ДАТА</t>
  </si>
  <si>
    <t>23 марта 2018</t>
  </si>
  <si>
    <t>УТВЕРЖДАЮ...............</t>
  </si>
  <si>
    <t>Не удалять, формулы</t>
  </si>
  <si>
    <t>УТВЕРЖДАЮ</t>
  </si>
  <si>
    <t>Участок УПАКОВКИ</t>
  </si>
  <si>
    <t>Остаток с прошлой недели</t>
  </si>
  <si>
    <t>______________________</t>
  </si>
  <si>
    <t>Ф.А.Авдей</t>
  </si>
  <si>
    <t>CMB кол-во пачек, шт.</t>
  </si>
  <si>
    <t>Директор  СООО ЗОВ-ПРОФИЛЬ</t>
  </si>
  <si>
    <t>Профиль</t>
  </si>
  <si>
    <t>Цвет</t>
  </si>
  <si>
    <t>мп</t>
  </si>
  <si>
    <t>Штапик в 3-х кол-во пачек, шт.</t>
  </si>
  <si>
    <t>Время упаковки ШТ., час</t>
  </si>
  <si>
    <t>БиН в 3-х кол-во пачек, шт.</t>
  </si>
  <si>
    <t>Время упаковки БиН., час</t>
  </si>
  <si>
    <t>Время упаковки CMB., час</t>
  </si>
  <si>
    <t>Гофра кол-во пачек, шт.</t>
  </si>
  <si>
    <t>Время упаковки гофра, час</t>
  </si>
  <si>
    <t>Кол-во паллет, шт.</t>
  </si>
  <si>
    <t>ПВ ПЗР, часы</t>
  </si>
  <si>
    <t>НМ-220л 25х80</t>
  </si>
  <si>
    <t>КантриСтайл ПАТ</t>
  </si>
  <si>
    <t>13+14</t>
  </si>
  <si>
    <t>Профиль П-0376-4 22х73 Инфинити</t>
  </si>
  <si>
    <t>-</t>
  </si>
  <si>
    <t>ПФ-03 3х15</t>
  </si>
  <si>
    <t>Ш-22 4х20</t>
  </si>
  <si>
    <t>Сосна ПАТсер Ш-22</t>
  </si>
  <si>
    <t>П-216-4 16х60</t>
  </si>
  <si>
    <t>Б-330 19х79</t>
  </si>
  <si>
    <t>Анкона</t>
  </si>
  <si>
    <t>Итого:</t>
  </si>
  <si>
    <t>Плановая продолжительность смены, час</t>
  </si>
  <si>
    <t>Итого смен, шт.</t>
  </si>
  <si>
    <t>Наименование технологической операции</t>
  </si>
  <si>
    <t>Нормы времени</t>
  </si>
  <si>
    <t>Нормы выработки</t>
  </si>
  <si>
    <t>Количество работников</t>
  </si>
  <si>
    <t>Квалификация работников</t>
  </si>
  <si>
    <t>Упаковка погонажа длиной 2070 мм, упак.</t>
  </si>
  <si>
    <t>3+3</t>
  </si>
  <si>
    <t>Упаковка погонажа длиной 2440 мм, упак.</t>
  </si>
  <si>
    <t>Упаковка погонажа длиной 2620 мм, упак.</t>
  </si>
  <si>
    <t>Упаковка погонажа длиной 2800 мм, упак.</t>
  </si>
  <si>
    <t>Упаковка штапика стрейчем в трех местах, упак.</t>
  </si>
  <si>
    <t>Упаковка накладки и багета стрейчем в трех местах, упак.</t>
  </si>
  <si>
    <t>Упаковка погонажных изделий в гофрокартон, упак.</t>
  </si>
  <si>
    <t>Упаковка вставки в гофрокартон, упак.</t>
  </si>
  <si>
    <t>ФРВ чел./час</t>
  </si>
  <si>
    <t>ФРВ обор./час</t>
  </si>
  <si>
    <t>CMB</t>
  </si>
  <si>
    <t>Упаковочный стол</t>
  </si>
  <si>
    <t>Возможные простои</t>
  </si>
</sst>
</file>

<file path=xl/styles.xml><?xml version="1.0" encoding="utf-8"?>
<styleSheet xmlns="http://schemas.openxmlformats.org/spreadsheetml/2006/main">
  <numFmts count="1">
    <numFmt numFmtId="164" formatCode="0.000"/>
  </numFmts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name val="Calibri"/>
      <family val="2"/>
      <charset val="204"/>
    </font>
    <font>
      <sz val="10"/>
      <name val="Arial"/>
      <family val="2"/>
    </font>
    <font>
      <sz val="10"/>
      <color indexed="8"/>
      <name val="Times New Roman"/>
      <family val="1"/>
      <charset val="204"/>
    </font>
    <font>
      <b/>
      <sz val="9"/>
      <name val="Calibri"/>
      <family val="2"/>
    </font>
    <font>
      <sz val="9"/>
      <name val="Calibri"/>
      <family val="2"/>
    </font>
    <font>
      <b/>
      <i/>
      <sz val="9"/>
      <name val="Calibri"/>
      <family val="2"/>
    </font>
    <font>
      <sz val="9"/>
      <name val="Calibri"/>
      <family val="2"/>
      <charset val="204"/>
    </font>
    <font>
      <b/>
      <i/>
      <u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2" borderId="0" xfId="0" applyFont="1" applyFill="1"/>
    <xf numFmtId="0" fontId="3" fillId="0" borderId="0" xfId="0" applyFont="1"/>
    <xf numFmtId="0" fontId="4" fillId="0" borderId="0" xfId="0" applyFont="1" applyFill="1"/>
    <xf numFmtId="0" fontId="0" fillId="3" borderId="0" xfId="0" applyFill="1"/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64" fontId="7" fillId="3" borderId="10" xfId="0" applyNumberFormat="1" applyFont="1" applyFill="1" applyBorder="1" applyAlignment="1">
      <alignment horizontal="center" vertical="center" wrapText="1"/>
    </xf>
    <xf numFmtId="2" fontId="6" fillId="3" borderId="10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1" fontId="6" fillId="3" borderId="10" xfId="0" applyNumberFormat="1" applyFont="1" applyFill="1" applyBorder="1" applyAlignment="1">
      <alignment horizontal="center" vertical="center" wrapText="1"/>
    </xf>
    <xf numFmtId="164" fontId="6" fillId="3" borderId="10" xfId="0" applyNumberFormat="1" applyFont="1" applyFill="1" applyBorder="1" applyAlignment="1">
      <alignment horizontal="center" vertical="center" wrapText="1"/>
    </xf>
    <xf numFmtId="1" fontId="7" fillId="3" borderId="10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0" fillId="0" borderId="0" xfId="0" applyFill="1"/>
    <xf numFmtId="0" fontId="8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164" fontId="7" fillId="3" borderId="14" xfId="0" applyNumberFormat="1" applyFont="1" applyFill="1" applyBorder="1" applyAlignment="1">
      <alignment horizontal="center" vertical="center" wrapText="1"/>
    </xf>
    <xf numFmtId="2" fontId="6" fillId="3" borderId="14" xfId="0" applyNumberFormat="1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1" fontId="6" fillId="3" borderId="14" xfId="0" applyNumberFormat="1" applyFont="1" applyFill="1" applyBorder="1" applyAlignment="1">
      <alignment horizontal="center" vertical="center" wrapText="1"/>
    </xf>
    <xf numFmtId="164" fontId="6" fillId="3" borderId="14" xfId="0" applyNumberFormat="1" applyFont="1" applyFill="1" applyBorder="1" applyAlignment="1">
      <alignment horizontal="center" vertical="center" wrapText="1"/>
    </xf>
    <xf numFmtId="1" fontId="7" fillId="3" borderId="14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164" fontId="7" fillId="0" borderId="14" xfId="0" applyNumberFormat="1" applyFont="1" applyFill="1" applyBorder="1" applyAlignment="1">
      <alignment horizontal="center" vertical="center" wrapText="1"/>
    </xf>
    <xf numFmtId="2" fontId="6" fillId="0" borderId="14" xfId="0" applyNumberFormat="1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1" fontId="6" fillId="0" borderId="14" xfId="0" applyNumberFormat="1" applyFont="1" applyFill="1" applyBorder="1" applyAlignment="1">
      <alignment horizontal="center" vertical="center" wrapText="1"/>
    </xf>
    <xf numFmtId="164" fontId="6" fillId="0" borderId="14" xfId="0" applyNumberFormat="1" applyFont="1" applyFill="1" applyBorder="1" applyAlignment="1">
      <alignment horizontal="center" vertical="center" wrapText="1"/>
    </xf>
    <xf numFmtId="1" fontId="7" fillId="0" borderId="14" xfId="0" applyNumberFormat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164" fontId="7" fillId="0" borderId="19" xfId="0" applyNumberFormat="1" applyFont="1" applyBorder="1" applyAlignment="1">
      <alignment horizontal="center" vertical="center" wrapText="1"/>
    </xf>
    <xf numFmtId="2" fontId="6" fillId="0" borderId="19" xfId="0" applyNumberFormat="1" applyFont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1" fontId="6" fillId="0" borderId="19" xfId="0" applyNumberFormat="1" applyFont="1" applyFill="1" applyBorder="1" applyAlignment="1">
      <alignment horizontal="center" vertical="center" wrapText="1"/>
    </xf>
    <xf numFmtId="164" fontId="6" fillId="0" borderId="19" xfId="0" applyNumberFormat="1" applyFont="1" applyBorder="1" applyAlignment="1">
      <alignment horizontal="center" vertical="center" wrapText="1"/>
    </xf>
    <xf numFmtId="1" fontId="7" fillId="0" borderId="19" xfId="0" applyNumberFormat="1" applyFont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10" xfId="1" applyBorder="1" applyAlignment="1">
      <alignment horizontal="center" vertical="center" wrapText="1"/>
    </xf>
    <xf numFmtId="0" fontId="1" fillId="0" borderId="10" xfId="1" applyBorder="1" applyAlignment="1">
      <alignment horizontal="center" vertical="center"/>
    </xf>
    <xf numFmtId="0" fontId="1" fillId="0" borderId="11" xfId="1" applyBorder="1" applyAlignment="1">
      <alignment horizontal="center" vertical="center" wrapText="1"/>
    </xf>
    <xf numFmtId="0" fontId="1" fillId="0" borderId="18" xfId="1" applyBorder="1" applyAlignment="1">
      <alignment horizontal="center" vertical="center" wrapText="1"/>
    </xf>
    <xf numFmtId="0" fontId="1" fillId="0" borderId="19" xfId="1" applyBorder="1" applyAlignment="1">
      <alignment horizontal="center" vertical="center" wrapText="1"/>
    </xf>
    <xf numFmtId="0" fontId="1" fillId="0" borderId="19" xfId="1" applyBorder="1" applyAlignment="1">
      <alignment horizontal="center" vertical="center"/>
    </xf>
    <xf numFmtId="0" fontId="1" fillId="0" borderId="21" xfId="1" applyBorder="1" applyAlignment="1">
      <alignment horizontal="center" vertical="center" wrapText="1"/>
    </xf>
    <xf numFmtId="0" fontId="1" fillId="0" borderId="11" xfId="1" applyBorder="1" applyAlignment="1">
      <alignment horizontal="center" vertical="center"/>
    </xf>
    <xf numFmtId="0" fontId="1" fillId="0" borderId="17" xfId="1" applyBorder="1" applyAlignment="1">
      <alignment horizontal="center" vertical="center" wrapText="1"/>
    </xf>
    <xf numFmtId="0" fontId="1" fillId="0" borderId="14" xfId="1" applyBorder="1" applyAlignment="1">
      <alignment horizontal="center" vertical="center" wrapText="1"/>
    </xf>
    <xf numFmtId="0" fontId="1" fillId="0" borderId="14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" fillId="0" borderId="22" xfId="1" applyBorder="1" applyAlignment="1">
      <alignment horizontal="center" vertical="center" wrapText="1"/>
    </xf>
    <xf numFmtId="0" fontId="1" fillId="0" borderId="13" xfId="1" applyBorder="1" applyAlignment="1">
      <alignment horizontal="center" vertical="center" wrapText="1"/>
    </xf>
    <xf numFmtId="0" fontId="1" fillId="0" borderId="13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1" fillId="0" borderId="21" xfId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4" fontId="3" fillId="0" borderId="31" xfId="0" applyNumberFormat="1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9" fillId="0" borderId="35" xfId="0" applyNumberFormat="1" applyFont="1" applyBorder="1" applyAlignment="1">
      <alignment horizontal="center" vertical="center"/>
    </xf>
    <xf numFmtId="164" fontId="10" fillId="0" borderId="36" xfId="0" applyNumberFormat="1" applyFont="1" applyBorder="1" applyAlignment="1">
      <alignment horizontal="center" vertical="center"/>
    </xf>
    <xf numFmtId="164" fontId="10" fillId="0" borderId="37" xfId="0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53"/>
  <sheetViews>
    <sheetView tabSelected="1" workbookViewId="0">
      <selection activeCell="B1" sqref="B1"/>
    </sheetView>
  </sheetViews>
  <sheetFormatPr defaultRowHeight="15"/>
  <cols>
    <col min="1" max="1" width="18.5703125" bestFit="1" customWidth="1"/>
    <col min="2" max="2" width="17" customWidth="1"/>
  </cols>
  <sheetData>
    <row r="1" spans="1:16">
      <c r="A1" s="1" t="s">
        <v>0</v>
      </c>
      <c r="B1" s="1" t="s">
        <v>1</v>
      </c>
      <c r="F1" s="2"/>
      <c r="G1" s="1" t="s">
        <v>2</v>
      </c>
      <c r="H1" s="3"/>
      <c r="I1" s="4" t="s">
        <v>3</v>
      </c>
      <c r="L1" s="5" t="s">
        <v>4</v>
      </c>
      <c r="M1" s="5"/>
      <c r="N1" s="5"/>
      <c r="O1" s="5"/>
    </row>
    <row r="2" spans="1:16" ht="15.75" thickBot="1">
      <c r="A2" s="1"/>
      <c r="B2" s="1" t="s">
        <v>5</v>
      </c>
      <c r="C2" s="1"/>
      <c r="H2" s="6"/>
      <c r="I2" s="4" t="s">
        <v>6</v>
      </c>
      <c r="L2" s="5" t="s">
        <v>7</v>
      </c>
      <c r="M2" s="5"/>
      <c r="N2" s="5"/>
      <c r="O2" s="5" t="s">
        <v>8</v>
      </c>
    </row>
    <row r="3" spans="1:16" ht="15.75" thickBot="1">
      <c r="A3" s="1"/>
      <c r="B3" s="1"/>
      <c r="C3" s="1"/>
      <c r="E3" s="7"/>
      <c r="H3" s="8" t="s">
        <v>9</v>
      </c>
      <c r="I3" s="9"/>
      <c r="J3" s="9"/>
      <c r="K3" s="10"/>
      <c r="L3" s="5" t="s">
        <v>10</v>
      </c>
      <c r="M3" s="5"/>
      <c r="N3" s="5"/>
    </row>
    <row r="4" spans="1:16" ht="36.75" thickBot="1">
      <c r="A4" s="11" t="s">
        <v>11</v>
      </c>
      <c r="B4" s="12" t="s">
        <v>12</v>
      </c>
      <c r="C4" s="12" t="s">
        <v>13</v>
      </c>
      <c r="D4" s="12" t="s">
        <v>14</v>
      </c>
      <c r="E4" s="13" t="s">
        <v>15</v>
      </c>
      <c r="F4" s="12" t="s">
        <v>16</v>
      </c>
      <c r="G4" s="14" t="s">
        <v>17</v>
      </c>
      <c r="H4" s="11">
        <v>2.0699999999999998</v>
      </c>
      <c r="I4" s="12">
        <v>2.44</v>
      </c>
      <c r="J4" s="12">
        <v>2.62</v>
      </c>
      <c r="K4" s="15">
        <v>2.8</v>
      </c>
      <c r="L4" s="16" t="s">
        <v>18</v>
      </c>
      <c r="M4" s="12" t="s">
        <v>19</v>
      </c>
      <c r="N4" s="14" t="s">
        <v>20</v>
      </c>
      <c r="O4" s="11" t="s">
        <v>21</v>
      </c>
      <c r="P4" s="17" t="s">
        <v>22</v>
      </c>
    </row>
    <row r="5" spans="1:16" s="27" customFormat="1" ht="24">
      <c r="A5" s="18" t="s">
        <v>23</v>
      </c>
      <c r="B5" s="19" t="s">
        <v>24</v>
      </c>
      <c r="C5" s="19">
        <f>6762*2.8+707*2.62-2419.2+14650</f>
        <v>33016.74</v>
      </c>
      <c r="D5" s="20">
        <v>0</v>
      </c>
      <c r="E5" s="20">
        <f>+(D5*$D$39)/3600</f>
        <v>0</v>
      </c>
      <c r="F5" s="20">
        <v>0</v>
      </c>
      <c r="G5" s="21">
        <v>0</v>
      </c>
      <c r="H5" s="22">
        <v>0</v>
      </c>
      <c r="I5" s="19">
        <v>0</v>
      </c>
      <c r="J5" s="19">
        <v>0</v>
      </c>
      <c r="K5" s="23">
        <f>+C5/K4/4</f>
        <v>2947.9232142857145</v>
      </c>
      <c r="L5" s="24">
        <f t="shared" ref="L5:L22" si="0">+H5/$F$31+I5/$F$33+J5/$F$35+K5/$F$37</f>
        <v>19.14235853432282</v>
      </c>
      <c r="M5" s="25">
        <v>0</v>
      </c>
      <c r="N5" s="20">
        <f>+M5/$F$43</f>
        <v>0</v>
      </c>
      <c r="O5" s="19" t="s">
        <v>25</v>
      </c>
      <c r="P5" s="26">
        <f>15*0.25+17*0.25</f>
        <v>8</v>
      </c>
    </row>
    <row r="6" spans="1:16" s="27" customFormat="1" ht="48">
      <c r="A6" s="28" t="s">
        <v>26</v>
      </c>
      <c r="B6" s="28" t="s">
        <v>27</v>
      </c>
      <c r="C6" s="29">
        <f>2125*2.8</f>
        <v>5950</v>
      </c>
      <c r="D6" s="30">
        <v>0</v>
      </c>
      <c r="E6" s="30">
        <f>+(D6*$D$39)/3600</f>
        <v>0</v>
      </c>
      <c r="F6" s="30">
        <v>0</v>
      </c>
      <c r="G6" s="31">
        <f t="shared" ref="G6:G14" si="1">(F6*$D$41)/3600</f>
        <v>0</v>
      </c>
      <c r="H6" s="32">
        <v>0</v>
      </c>
      <c r="I6" s="33">
        <v>0</v>
      </c>
      <c r="J6" s="33">
        <v>0</v>
      </c>
      <c r="K6" s="34">
        <f>+C6/K4/5</f>
        <v>425</v>
      </c>
      <c r="L6" s="35">
        <f t="shared" si="0"/>
        <v>2.7597402597402598</v>
      </c>
      <c r="M6" s="36">
        <v>106</v>
      </c>
      <c r="N6" s="30">
        <f t="shared" ref="N6:N22" si="2">+M6/$F$43</f>
        <v>2.65</v>
      </c>
      <c r="O6" s="33">
        <v>3</v>
      </c>
      <c r="P6" s="37">
        <f t="shared" ref="P6:P12" si="3">+O6*0.25</f>
        <v>0.75</v>
      </c>
    </row>
    <row r="7" spans="1:16" s="27" customFormat="1">
      <c r="A7" s="38" t="s">
        <v>28</v>
      </c>
      <c r="B7" s="39" t="s">
        <v>27</v>
      </c>
      <c r="C7" s="29">
        <f>2100*2.85</f>
        <v>5985</v>
      </c>
      <c r="D7" s="30">
        <v>42</v>
      </c>
      <c r="E7" s="30">
        <f>+(D7*$D$39)/3600</f>
        <v>0.7</v>
      </c>
      <c r="F7" s="30">
        <v>0</v>
      </c>
      <c r="G7" s="31">
        <f t="shared" si="1"/>
        <v>0</v>
      </c>
      <c r="H7" s="32">
        <v>0</v>
      </c>
      <c r="I7" s="33">
        <v>0</v>
      </c>
      <c r="J7" s="33">
        <v>0</v>
      </c>
      <c r="K7" s="34">
        <v>0</v>
      </c>
      <c r="L7" s="35">
        <f t="shared" si="0"/>
        <v>0</v>
      </c>
      <c r="M7" s="36">
        <v>0</v>
      </c>
      <c r="N7" s="30">
        <f t="shared" si="2"/>
        <v>0</v>
      </c>
      <c r="O7" s="33">
        <v>1</v>
      </c>
      <c r="P7" s="37">
        <f t="shared" si="3"/>
        <v>0.25</v>
      </c>
    </row>
    <row r="8" spans="1:16" s="27" customFormat="1">
      <c r="A8" s="40"/>
      <c r="B8" s="40"/>
      <c r="C8" s="41"/>
      <c r="D8" s="42">
        <v>0</v>
      </c>
      <c r="E8" s="42">
        <f>+(D8*$D$39)/3600</f>
        <v>0</v>
      </c>
      <c r="F8" s="42">
        <v>0</v>
      </c>
      <c r="G8" s="43">
        <f t="shared" si="1"/>
        <v>0</v>
      </c>
      <c r="H8" s="44">
        <v>0</v>
      </c>
      <c r="I8" s="45">
        <v>0</v>
      </c>
      <c r="J8" s="45">
        <v>0</v>
      </c>
      <c r="K8" s="46">
        <f>+C8/K4/5</f>
        <v>0</v>
      </c>
      <c r="L8" s="47">
        <f>+H8/$F$31+I8/$F$33+J8/$F$35+K8/$F$37</f>
        <v>0</v>
      </c>
      <c r="M8" s="48"/>
      <c r="N8" s="42">
        <f>+M8/$F$43</f>
        <v>0</v>
      </c>
      <c r="O8" s="45"/>
      <c r="P8" s="49">
        <f t="shared" si="3"/>
        <v>0</v>
      </c>
    </row>
    <row r="9" spans="1:16" s="27" customFormat="1" ht="36">
      <c r="A9" s="50" t="s">
        <v>29</v>
      </c>
      <c r="B9" s="51" t="s">
        <v>30</v>
      </c>
      <c r="C9" s="41">
        <v>47161.8</v>
      </c>
      <c r="D9" s="42">
        <v>331</v>
      </c>
      <c r="E9" s="42">
        <f>+D9/D39</f>
        <v>5.5166666666666666</v>
      </c>
      <c r="F9" s="42">
        <v>0</v>
      </c>
      <c r="G9" s="43">
        <f t="shared" si="1"/>
        <v>0</v>
      </c>
      <c r="H9" s="44">
        <v>0</v>
      </c>
      <c r="I9" s="45">
        <v>0</v>
      </c>
      <c r="J9" s="45">
        <v>0</v>
      </c>
      <c r="K9" s="46">
        <f>+C9/K4/45</f>
        <v>374.30000000000007</v>
      </c>
      <c r="L9" s="47">
        <f t="shared" si="0"/>
        <v>2.430519480519481</v>
      </c>
      <c r="M9" s="48">
        <v>0</v>
      </c>
      <c r="N9" s="42">
        <f>+M9/$F$43</f>
        <v>0</v>
      </c>
      <c r="O9" s="45">
        <v>2</v>
      </c>
      <c r="P9" s="49">
        <f>+O9*0.25*2</f>
        <v>1</v>
      </c>
    </row>
    <row r="10" spans="1:16" s="27" customFormat="1">
      <c r="A10" s="52" t="s">
        <v>31</v>
      </c>
      <c r="B10" s="40" t="s">
        <v>27</v>
      </c>
      <c r="C10" s="41">
        <v>1736</v>
      </c>
      <c r="D10" s="42">
        <v>0</v>
      </c>
      <c r="E10" s="42">
        <f>+D10/D39</f>
        <v>0</v>
      </c>
      <c r="F10" s="42">
        <v>0</v>
      </c>
      <c r="G10" s="43">
        <f t="shared" si="1"/>
        <v>0</v>
      </c>
      <c r="H10" s="44">
        <v>0</v>
      </c>
      <c r="I10" s="45">
        <v>0</v>
      </c>
      <c r="J10" s="45">
        <v>0</v>
      </c>
      <c r="K10" s="46">
        <f>+C10/K4/5</f>
        <v>124</v>
      </c>
      <c r="L10" s="47">
        <f t="shared" si="0"/>
        <v>0.80519480519480524</v>
      </c>
      <c r="M10" s="48">
        <v>0</v>
      </c>
      <c r="N10" s="42">
        <f t="shared" si="2"/>
        <v>0</v>
      </c>
      <c r="O10" s="45">
        <v>1</v>
      </c>
      <c r="P10" s="49">
        <f>+O10*0.25+O10*0.25</f>
        <v>0.5</v>
      </c>
    </row>
    <row r="11" spans="1:16" s="27" customFormat="1" ht="24">
      <c r="A11" s="40" t="s">
        <v>32</v>
      </c>
      <c r="B11" s="40" t="s">
        <v>33</v>
      </c>
      <c r="C11" s="41">
        <v>5376</v>
      </c>
      <c r="D11" s="42">
        <v>0</v>
      </c>
      <c r="E11" s="42">
        <f t="shared" ref="E11:E22" si="4">+(D11*$D$39)/3600</f>
        <v>0</v>
      </c>
      <c r="F11" s="42">
        <v>0</v>
      </c>
      <c r="G11" s="43">
        <f t="shared" si="1"/>
        <v>0</v>
      </c>
      <c r="H11" s="44">
        <v>0</v>
      </c>
      <c r="I11" s="45">
        <v>0</v>
      </c>
      <c r="J11" s="45">
        <v>0</v>
      </c>
      <c r="K11" s="46">
        <f>+C11/K4/4</f>
        <v>480.00000000000006</v>
      </c>
      <c r="L11" s="47">
        <f t="shared" si="0"/>
        <v>3.116883116883117</v>
      </c>
      <c r="M11" s="48"/>
      <c r="N11" s="42">
        <f t="shared" si="2"/>
        <v>0</v>
      </c>
      <c r="O11" s="45">
        <v>3</v>
      </c>
      <c r="P11" s="49">
        <f>+O11*0.25+O11*0.25</f>
        <v>1.5</v>
      </c>
    </row>
    <row r="12" spans="1:16" s="27" customFormat="1">
      <c r="A12" s="50"/>
      <c r="B12" s="51"/>
      <c r="C12" s="41"/>
      <c r="D12" s="42">
        <v>0</v>
      </c>
      <c r="E12" s="42">
        <f t="shared" si="4"/>
        <v>0</v>
      </c>
      <c r="F12" s="42">
        <v>0</v>
      </c>
      <c r="G12" s="43">
        <f t="shared" si="1"/>
        <v>0</v>
      </c>
      <c r="H12" s="44">
        <v>0</v>
      </c>
      <c r="I12" s="45">
        <v>0</v>
      </c>
      <c r="J12" s="45">
        <v>0</v>
      </c>
      <c r="K12" s="46">
        <v>0</v>
      </c>
      <c r="L12" s="47">
        <f t="shared" si="0"/>
        <v>0</v>
      </c>
      <c r="M12" s="48"/>
      <c r="N12" s="42">
        <f t="shared" si="2"/>
        <v>0</v>
      </c>
      <c r="O12" s="45"/>
      <c r="P12" s="49">
        <f t="shared" si="3"/>
        <v>0</v>
      </c>
    </row>
    <row r="13" spans="1:16" s="27" customFormat="1">
      <c r="A13" s="53"/>
      <c r="B13" s="51"/>
      <c r="C13" s="45"/>
      <c r="D13" s="42">
        <v>0</v>
      </c>
      <c r="E13" s="42">
        <f t="shared" si="4"/>
        <v>0</v>
      </c>
      <c r="F13" s="42">
        <v>0</v>
      </c>
      <c r="G13" s="43">
        <f t="shared" si="1"/>
        <v>0</v>
      </c>
      <c r="H13" s="44">
        <v>0</v>
      </c>
      <c r="I13" s="45">
        <v>0</v>
      </c>
      <c r="J13" s="45">
        <v>0</v>
      </c>
      <c r="K13" s="46">
        <v>0</v>
      </c>
      <c r="L13" s="47">
        <f t="shared" si="0"/>
        <v>0</v>
      </c>
      <c r="M13" s="48"/>
      <c r="N13" s="42">
        <f t="shared" si="2"/>
        <v>0</v>
      </c>
      <c r="O13" s="45"/>
      <c r="P13" s="49">
        <f t="shared" ref="P13:P19" si="5">+O13*0.25+O13*0.25</f>
        <v>0</v>
      </c>
    </row>
    <row r="14" spans="1:16" s="27" customFormat="1">
      <c r="A14" s="45"/>
      <c r="B14" s="45"/>
      <c r="C14" s="45"/>
      <c r="D14" s="42">
        <v>0</v>
      </c>
      <c r="E14" s="42">
        <f t="shared" si="4"/>
        <v>0</v>
      </c>
      <c r="F14" s="42">
        <v>0</v>
      </c>
      <c r="G14" s="43">
        <f t="shared" si="1"/>
        <v>0</v>
      </c>
      <c r="H14" s="44">
        <v>0</v>
      </c>
      <c r="I14" s="45">
        <v>0</v>
      </c>
      <c r="J14" s="45">
        <v>0</v>
      </c>
      <c r="K14" s="46">
        <f>+C14/2.8/4</f>
        <v>0</v>
      </c>
      <c r="L14" s="47">
        <f t="shared" si="0"/>
        <v>0</v>
      </c>
      <c r="M14" s="48"/>
      <c r="N14" s="42">
        <f t="shared" si="2"/>
        <v>0</v>
      </c>
      <c r="O14" s="45"/>
      <c r="P14" s="49">
        <f t="shared" si="5"/>
        <v>0</v>
      </c>
    </row>
    <row r="15" spans="1:16" s="27" customFormat="1">
      <c r="A15" s="40"/>
      <c r="B15" s="51"/>
      <c r="C15" s="45"/>
      <c r="D15" s="42">
        <v>0</v>
      </c>
      <c r="E15" s="42">
        <f t="shared" si="4"/>
        <v>0</v>
      </c>
      <c r="F15" s="42">
        <v>0</v>
      </c>
      <c r="G15" s="43">
        <v>0</v>
      </c>
      <c r="H15" s="44">
        <v>0</v>
      </c>
      <c r="I15" s="45">
        <v>0</v>
      </c>
      <c r="J15" s="45">
        <v>0</v>
      </c>
      <c r="K15" s="46">
        <f>+C15/2.8/4</f>
        <v>0</v>
      </c>
      <c r="L15" s="47">
        <f t="shared" si="0"/>
        <v>0</v>
      </c>
      <c r="M15" s="48"/>
      <c r="N15" s="42">
        <f t="shared" si="2"/>
        <v>0</v>
      </c>
      <c r="O15" s="45"/>
      <c r="P15" s="49">
        <f t="shared" si="5"/>
        <v>0</v>
      </c>
    </row>
    <row r="16" spans="1:16" s="27" customFormat="1">
      <c r="A16" s="45"/>
      <c r="B16" s="51"/>
      <c r="C16" s="45"/>
      <c r="D16" s="42">
        <v>0</v>
      </c>
      <c r="E16" s="42">
        <f t="shared" si="4"/>
        <v>0</v>
      </c>
      <c r="F16" s="42">
        <v>0</v>
      </c>
      <c r="G16" s="43">
        <f>(F16*$D$41)/3600</f>
        <v>0</v>
      </c>
      <c r="H16" s="44">
        <v>0</v>
      </c>
      <c r="I16" s="45">
        <v>0</v>
      </c>
      <c r="J16" s="45">
        <v>0</v>
      </c>
      <c r="K16" s="46">
        <f>+C16/2.8/4</f>
        <v>0</v>
      </c>
      <c r="L16" s="47">
        <f t="shared" si="0"/>
        <v>0</v>
      </c>
      <c r="M16" s="48"/>
      <c r="N16" s="42">
        <f t="shared" si="2"/>
        <v>0</v>
      </c>
      <c r="O16" s="45"/>
      <c r="P16" s="49">
        <f t="shared" si="5"/>
        <v>0</v>
      </c>
    </row>
    <row r="17" spans="1:16" s="27" customFormat="1">
      <c r="A17" s="51"/>
      <c r="B17" s="51"/>
      <c r="C17" s="45"/>
      <c r="D17" s="42">
        <v>0</v>
      </c>
      <c r="E17" s="42">
        <f t="shared" si="4"/>
        <v>0</v>
      </c>
      <c r="F17" s="42">
        <v>0</v>
      </c>
      <c r="G17" s="43">
        <f>(F17*$D$41)/3600</f>
        <v>0</v>
      </c>
      <c r="H17" s="44">
        <v>0</v>
      </c>
      <c r="I17" s="45">
        <v>0</v>
      </c>
      <c r="J17" s="45">
        <v>0</v>
      </c>
      <c r="K17" s="46">
        <f>+C17/2.8/4</f>
        <v>0</v>
      </c>
      <c r="L17" s="47">
        <f t="shared" si="0"/>
        <v>0</v>
      </c>
      <c r="M17" s="48"/>
      <c r="N17" s="42">
        <f t="shared" si="2"/>
        <v>0</v>
      </c>
      <c r="O17" s="45"/>
      <c r="P17" s="49">
        <v>0</v>
      </c>
    </row>
    <row r="18" spans="1:16" s="27" customFormat="1">
      <c r="A18" s="51"/>
      <c r="B18" s="51"/>
      <c r="C18" s="45"/>
      <c r="D18" s="42">
        <v>0</v>
      </c>
      <c r="E18" s="42">
        <f t="shared" si="4"/>
        <v>0</v>
      </c>
      <c r="F18" s="42">
        <v>0</v>
      </c>
      <c r="G18" s="43">
        <v>0</v>
      </c>
      <c r="H18" s="44">
        <v>0</v>
      </c>
      <c r="I18" s="45">
        <v>0</v>
      </c>
      <c r="J18" s="45">
        <v>0</v>
      </c>
      <c r="K18" s="46">
        <f>+C18/2.8/5</f>
        <v>0</v>
      </c>
      <c r="L18" s="47">
        <f t="shared" si="0"/>
        <v>0</v>
      </c>
      <c r="M18" s="48"/>
      <c r="N18" s="42">
        <f>+M18/$F$43</f>
        <v>0</v>
      </c>
      <c r="O18" s="45"/>
      <c r="P18" s="49">
        <f t="shared" si="5"/>
        <v>0</v>
      </c>
    </row>
    <row r="19" spans="1:16" s="27" customFormat="1">
      <c r="A19" s="51"/>
      <c r="B19" s="51"/>
      <c r="C19" s="45"/>
      <c r="D19" s="42">
        <v>0</v>
      </c>
      <c r="E19" s="42">
        <f t="shared" si="4"/>
        <v>0</v>
      </c>
      <c r="F19" s="42">
        <v>0</v>
      </c>
      <c r="G19" s="43">
        <f>(F19*$D$41)/3600</f>
        <v>0</v>
      </c>
      <c r="H19" s="44">
        <v>0</v>
      </c>
      <c r="I19" s="45">
        <v>0</v>
      </c>
      <c r="J19" s="45">
        <v>0</v>
      </c>
      <c r="K19" s="46">
        <f>+C19/2.8/5</f>
        <v>0</v>
      </c>
      <c r="L19" s="47">
        <f t="shared" si="0"/>
        <v>0</v>
      </c>
      <c r="M19" s="48"/>
      <c r="N19" s="42">
        <f t="shared" si="2"/>
        <v>0</v>
      </c>
      <c r="O19" s="45"/>
      <c r="P19" s="49">
        <f t="shared" si="5"/>
        <v>0</v>
      </c>
    </row>
    <row r="20" spans="1:16" s="27" customFormat="1">
      <c r="A20" s="54"/>
      <c r="B20" s="51"/>
      <c r="C20" s="45"/>
      <c r="D20" s="42">
        <v>0</v>
      </c>
      <c r="E20" s="42">
        <f t="shared" si="4"/>
        <v>0</v>
      </c>
      <c r="F20" s="42">
        <v>0</v>
      </c>
      <c r="G20" s="43">
        <f>(F20*$D$41)/3600</f>
        <v>0</v>
      </c>
      <c r="H20" s="44">
        <v>0</v>
      </c>
      <c r="I20" s="45">
        <v>0</v>
      </c>
      <c r="J20" s="45">
        <v>0</v>
      </c>
      <c r="K20" s="46">
        <f>+C20/K4/5</f>
        <v>0</v>
      </c>
      <c r="L20" s="47">
        <f t="shared" si="0"/>
        <v>0</v>
      </c>
      <c r="M20" s="48"/>
      <c r="N20" s="42">
        <f t="shared" si="2"/>
        <v>0</v>
      </c>
      <c r="O20" s="45"/>
      <c r="P20" s="49">
        <v>0</v>
      </c>
    </row>
    <row r="21" spans="1:16" s="27" customFormat="1">
      <c r="A21" s="51"/>
      <c r="B21" s="51"/>
      <c r="C21" s="45"/>
      <c r="D21" s="42">
        <v>0</v>
      </c>
      <c r="E21" s="42">
        <f t="shared" si="4"/>
        <v>0</v>
      </c>
      <c r="F21" s="42">
        <v>0</v>
      </c>
      <c r="G21" s="43">
        <v>0</v>
      </c>
      <c r="H21" s="44">
        <v>0</v>
      </c>
      <c r="I21" s="45">
        <v>0</v>
      </c>
      <c r="J21" s="45">
        <v>0</v>
      </c>
      <c r="K21" s="46">
        <f>+C21/K4/5</f>
        <v>0</v>
      </c>
      <c r="L21" s="47">
        <f t="shared" si="0"/>
        <v>0</v>
      </c>
      <c r="M21" s="48"/>
      <c r="N21" s="42">
        <f t="shared" si="2"/>
        <v>0</v>
      </c>
      <c r="O21" s="45"/>
      <c r="P21" s="49">
        <v>0</v>
      </c>
    </row>
    <row r="22" spans="1:16" ht="15.75" thickBot="1">
      <c r="A22" s="55"/>
      <c r="B22" s="56"/>
      <c r="C22" s="56"/>
      <c r="D22" s="57">
        <v>0</v>
      </c>
      <c r="E22" s="57">
        <f t="shared" si="4"/>
        <v>0</v>
      </c>
      <c r="F22" s="57">
        <v>0</v>
      </c>
      <c r="G22" s="58">
        <v>0</v>
      </c>
      <c r="H22" s="59">
        <v>0</v>
      </c>
      <c r="I22" s="56">
        <v>0</v>
      </c>
      <c r="J22" s="56">
        <v>0</v>
      </c>
      <c r="K22" s="60">
        <f>+C22/K4/5</f>
        <v>0</v>
      </c>
      <c r="L22" s="61">
        <f t="shared" si="0"/>
        <v>0</v>
      </c>
      <c r="M22" s="62"/>
      <c r="N22" s="57">
        <f t="shared" si="2"/>
        <v>0</v>
      </c>
      <c r="O22" s="56"/>
      <c r="P22" s="49">
        <v>0</v>
      </c>
    </row>
    <row r="23" spans="1:16">
      <c r="A23" s="63"/>
      <c r="B23" s="64" t="s">
        <v>34</v>
      </c>
      <c r="C23" s="64">
        <f>+SUM(C5:C22)</f>
        <v>99225.540000000008</v>
      </c>
      <c r="D23" s="65">
        <f>+SUM(D5:D22)</f>
        <v>373</v>
      </c>
      <c r="E23" s="66">
        <f>+SUM(E5:E22)</f>
        <v>6.2166666666666668</v>
      </c>
      <c r="F23" s="65">
        <f>+SUM(F5:F22)</f>
        <v>0</v>
      </c>
      <c r="G23" s="66">
        <f>+SUM(G5:G22)</f>
        <v>0</v>
      </c>
      <c r="L23" s="66">
        <f>+SUM(L5:L22)</f>
        <v>28.254696196660483</v>
      </c>
      <c r="M23" s="65">
        <f>+SUM(M5:M22)</f>
        <v>106</v>
      </c>
      <c r="N23" s="66">
        <f>+SUM(N5:N22)</f>
        <v>2.65</v>
      </c>
      <c r="P23" s="66">
        <f>+SUM(P5:P22)</f>
        <v>12</v>
      </c>
    </row>
    <row r="24" spans="1:16">
      <c r="B24" s="67" t="s">
        <v>35</v>
      </c>
      <c r="C24" s="67"/>
      <c r="D24" s="67"/>
      <c r="E24" s="67">
        <v>7.42</v>
      </c>
      <c r="F24" s="67"/>
      <c r="G24" s="67">
        <v>7.42</v>
      </c>
      <c r="L24" s="67">
        <v>7.42</v>
      </c>
      <c r="M24" s="67"/>
      <c r="N24" s="67">
        <v>7.42</v>
      </c>
      <c r="P24" s="67">
        <v>7.42</v>
      </c>
    </row>
    <row r="25" spans="1:16">
      <c r="B25" s="67" t="s">
        <v>36</v>
      </c>
      <c r="D25" s="65"/>
      <c r="E25" s="65">
        <f>+E23/E24</f>
        <v>0.83782569631626236</v>
      </c>
      <c r="F25" s="65"/>
      <c r="G25" s="66">
        <f>+G23/G24</f>
        <v>0</v>
      </c>
      <c r="L25" s="66">
        <f>+L23/L24</f>
        <v>3.8079105386334882</v>
      </c>
      <c r="M25" s="65"/>
      <c r="N25" s="65">
        <f>+N23/N24</f>
        <v>0.35714285714285715</v>
      </c>
      <c r="P25" s="65">
        <f>+P23/P24</f>
        <v>1.6172506738544474</v>
      </c>
    </row>
    <row r="27" spans="1:16" hidden="1">
      <c r="D27" s="68" t="e">
        <f ca="1">_xlfn.CEILING.PRECISE((C27/2.07/50),1)</f>
        <v>#NAME?</v>
      </c>
      <c r="F27" s="68" t="e">
        <f ca="1">_xlfn.CEILING.PRECISE((C27/2.8/10),1)</f>
        <v>#NAME?</v>
      </c>
    </row>
    <row r="28" spans="1:16" ht="15.75" thickBot="1"/>
    <row r="29" spans="1:16">
      <c r="A29" s="69" t="s">
        <v>37</v>
      </c>
      <c r="B29" s="70"/>
      <c r="C29" s="70"/>
      <c r="D29" s="71" t="s">
        <v>38</v>
      </c>
      <c r="E29" s="71"/>
      <c r="F29" s="71" t="s">
        <v>39</v>
      </c>
      <c r="G29" s="71"/>
      <c r="H29" s="70" t="s">
        <v>40</v>
      </c>
      <c r="I29" s="70"/>
      <c r="J29" s="70" t="s">
        <v>41</v>
      </c>
      <c r="K29" s="72"/>
    </row>
    <row r="30" spans="1:16" ht="15.75" thickBot="1">
      <c r="A30" s="73"/>
      <c r="B30" s="74"/>
      <c r="C30" s="74"/>
      <c r="D30" s="75"/>
      <c r="E30" s="75"/>
      <c r="F30" s="75"/>
      <c r="G30" s="75"/>
      <c r="H30" s="74"/>
      <c r="I30" s="74"/>
      <c r="J30" s="74"/>
      <c r="K30" s="76"/>
    </row>
    <row r="31" spans="1:16">
      <c r="A31" s="69" t="s">
        <v>42</v>
      </c>
      <c r="B31" s="70"/>
      <c r="C31" s="70"/>
      <c r="D31" s="71">
        <v>14.6</v>
      </c>
      <c r="E31" s="71"/>
      <c r="F31" s="71">
        <v>140</v>
      </c>
      <c r="G31" s="71"/>
      <c r="H31" s="71">
        <v>2</v>
      </c>
      <c r="I31" s="71"/>
      <c r="J31" s="71" t="s">
        <v>43</v>
      </c>
      <c r="K31" s="77"/>
    </row>
    <row r="32" spans="1:16">
      <c r="A32" s="78"/>
      <c r="B32" s="79"/>
      <c r="C32" s="79"/>
      <c r="D32" s="80"/>
      <c r="E32" s="80"/>
      <c r="F32" s="80"/>
      <c r="G32" s="80"/>
      <c r="H32" s="80"/>
      <c r="I32" s="80"/>
      <c r="J32" s="80"/>
      <c r="K32" s="81"/>
    </row>
    <row r="33" spans="1:11">
      <c r="A33" s="82" t="s">
        <v>44</v>
      </c>
      <c r="B33" s="83"/>
      <c r="C33" s="83"/>
      <c r="D33" s="84">
        <v>14.4</v>
      </c>
      <c r="E33" s="84"/>
      <c r="F33" s="84">
        <v>142</v>
      </c>
      <c r="G33" s="84"/>
      <c r="H33" s="84">
        <v>2</v>
      </c>
      <c r="I33" s="84"/>
      <c r="J33" s="84" t="s">
        <v>43</v>
      </c>
      <c r="K33" s="85"/>
    </row>
    <row r="34" spans="1:11">
      <c r="A34" s="78"/>
      <c r="B34" s="79"/>
      <c r="C34" s="79"/>
      <c r="D34" s="80"/>
      <c r="E34" s="80"/>
      <c r="F34" s="80"/>
      <c r="G34" s="80"/>
      <c r="H34" s="80"/>
      <c r="I34" s="80"/>
      <c r="J34" s="80"/>
      <c r="K34" s="81"/>
    </row>
    <row r="35" spans="1:11">
      <c r="A35" s="82" t="s">
        <v>45</v>
      </c>
      <c r="B35" s="83"/>
      <c r="C35" s="83"/>
      <c r="D35" s="84">
        <v>12.4</v>
      </c>
      <c r="E35" s="84"/>
      <c r="F35" s="84">
        <v>164</v>
      </c>
      <c r="G35" s="84"/>
      <c r="H35" s="84">
        <v>2</v>
      </c>
      <c r="I35" s="84"/>
      <c r="J35" s="84" t="s">
        <v>43</v>
      </c>
      <c r="K35" s="85"/>
    </row>
    <row r="36" spans="1:11">
      <c r="A36" s="78"/>
      <c r="B36" s="79"/>
      <c r="C36" s="79"/>
      <c r="D36" s="80"/>
      <c r="E36" s="80"/>
      <c r="F36" s="80"/>
      <c r="G36" s="80"/>
      <c r="H36" s="80"/>
      <c r="I36" s="80"/>
      <c r="J36" s="80"/>
      <c r="K36" s="81"/>
    </row>
    <row r="37" spans="1:11">
      <c r="A37" s="82" t="s">
        <v>46</v>
      </c>
      <c r="B37" s="83"/>
      <c r="C37" s="83"/>
      <c r="D37" s="84">
        <v>13.2</v>
      </c>
      <c r="E37" s="84"/>
      <c r="F37" s="84">
        <v>154</v>
      </c>
      <c r="G37" s="84"/>
      <c r="H37" s="84">
        <v>2</v>
      </c>
      <c r="I37" s="84"/>
      <c r="J37" s="84" t="s">
        <v>43</v>
      </c>
      <c r="K37" s="85"/>
    </row>
    <row r="38" spans="1:11">
      <c r="A38" s="78"/>
      <c r="B38" s="79"/>
      <c r="C38" s="79"/>
      <c r="D38" s="80"/>
      <c r="E38" s="80"/>
      <c r="F38" s="80"/>
      <c r="G38" s="80"/>
      <c r="H38" s="80"/>
      <c r="I38" s="80"/>
      <c r="J38" s="80"/>
      <c r="K38" s="81"/>
    </row>
    <row r="39" spans="1:11">
      <c r="A39" s="82" t="s">
        <v>47</v>
      </c>
      <c r="B39" s="83"/>
      <c r="C39" s="83"/>
      <c r="D39" s="84">
        <v>60</v>
      </c>
      <c r="E39" s="84"/>
      <c r="F39" s="84">
        <v>60</v>
      </c>
      <c r="G39" s="84"/>
      <c r="H39" s="84">
        <v>2</v>
      </c>
      <c r="I39" s="84"/>
      <c r="J39" s="84" t="s">
        <v>43</v>
      </c>
      <c r="K39" s="85"/>
    </row>
    <row r="40" spans="1:11">
      <c r="A40" s="78"/>
      <c r="B40" s="79"/>
      <c r="C40" s="79"/>
      <c r="D40" s="80"/>
      <c r="E40" s="80"/>
      <c r="F40" s="80"/>
      <c r="G40" s="80"/>
      <c r="H40" s="80"/>
      <c r="I40" s="80"/>
      <c r="J40" s="80"/>
      <c r="K40" s="81"/>
    </row>
    <row r="41" spans="1:11">
      <c r="A41" s="82" t="s">
        <v>48</v>
      </c>
      <c r="B41" s="83"/>
      <c r="C41" s="83"/>
      <c r="D41" s="84">
        <v>40</v>
      </c>
      <c r="E41" s="84"/>
      <c r="F41" s="84">
        <v>90</v>
      </c>
      <c r="G41" s="84"/>
      <c r="H41" s="84">
        <v>2</v>
      </c>
      <c r="I41" s="84"/>
      <c r="J41" s="84" t="s">
        <v>43</v>
      </c>
      <c r="K41" s="85"/>
    </row>
    <row r="42" spans="1:11">
      <c r="A42" s="78"/>
      <c r="B42" s="79"/>
      <c r="C42" s="79"/>
      <c r="D42" s="80"/>
      <c r="E42" s="80"/>
      <c r="F42" s="80"/>
      <c r="G42" s="80"/>
      <c r="H42" s="80"/>
      <c r="I42" s="80"/>
      <c r="J42" s="80"/>
      <c r="K42" s="81"/>
    </row>
    <row r="43" spans="1:11">
      <c r="A43" s="82" t="s">
        <v>49</v>
      </c>
      <c r="B43" s="83"/>
      <c r="C43" s="83"/>
      <c r="D43" s="84">
        <v>90</v>
      </c>
      <c r="E43" s="84"/>
      <c r="F43" s="84">
        <v>40</v>
      </c>
      <c r="G43" s="84"/>
      <c r="H43" s="84">
        <v>2</v>
      </c>
      <c r="I43" s="84"/>
      <c r="J43" s="84" t="s">
        <v>43</v>
      </c>
      <c r="K43" s="85"/>
    </row>
    <row r="44" spans="1:11">
      <c r="A44" s="78"/>
      <c r="B44" s="79"/>
      <c r="C44" s="79"/>
      <c r="D44" s="80"/>
      <c r="E44" s="80"/>
      <c r="F44" s="80"/>
      <c r="G44" s="80"/>
      <c r="H44" s="80"/>
      <c r="I44" s="80"/>
      <c r="J44" s="80"/>
      <c r="K44" s="81"/>
    </row>
    <row r="45" spans="1:11">
      <c r="A45" s="82" t="s">
        <v>50</v>
      </c>
      <c r="B45" s="83"/>
      <c r="C45" s="83"/>
      <c r="D45" s="84">
        <v>540</v>
      </c>
      <c r="E45" s="84"/>
      <c r="F45" s="84">
        <v>68.25</v>
      </c>
      <c r="G45" s="84"/>
      <c r="H45" s="84">
        <v>2</v>
      </c>
      <c r="I45" s="84"/>
      <c r="J45" s="84" t="s">
        <v>43</v>
      </c>
      <c r="K45" s="85"/>
    </row>
    <row r="46" spans="1:11" ht="15.75" thickBot="1">
      <c r="A46" s="73"/>
      <c r="B46" s="74"/>
      <c r="C46" s="74"/>
      <c r="D46" s="75"/>
      <c r="E46" s="75"/>
      <c r="F46" s="75"/>
      <c r="G46" s="75"/>
      <c r="H46" s="75"/>
      <c r="I46" s="75"/>
      <c r="J46" s="75"/>
      <c r="K46" s="86"/>
    </row>
    <row r="47" spans="1:11" ht="15.75" thickBot="1"/>
    <row r="48" spans="1:11" ht="15.75" thickBot="1">
      <c r="C48" s="87" t="s">
        <v>51</v>
      </c>
      <c r="D48" s="88"/>
      <c r="E48" s="88"/>
      <c r="F48" s="89"/>
    </row>
    <row r="49" spans="1:6" ht="15.75" thickBot="1">
      <c r="A49" s="90"/>
      <c r="B49" s="91" t="s">
        <v>52</v>
      </c>
      <c r="C49" s="92">
        <v>2</v>
      </c>
      <c r="D49" s="93">
        <v>3</v>
      </c>
      <c r="E49" s="93">
        <v>4</v>
      </c>
      <c r="F49" s="94">
        <v>5</v>
      </c>
    </row>
    <row r="50" spans="1:6" ht="15.75" thickBot="1">
      <c r="A50" s="95" t="s">
        <v>53</v>
      </c>
      <c r="B50" s="96">
        <f>+L23*1.5</f>
        <v>42.38204429499072</v>
      </c>
      <c r="C50" s="97">
        <v>0</v>
      </c>
      <c r="D50" s="98">
        <f>+L23*2</f>
        <v>56.509392393320965</v>
      </c>
      <c r="E50" s="99">
        <v>0</v>
      </c>
      <c r="F50" s="100">
        <v>0</v>
      </c>
    </row>
    <row r="51" spans="1:6" ht="15.75" thickBot="1">
      <c r="A51" s="95" t="s">
        <v>54</v>
      </c>
      <c r="B51" s="96">
        <f>+E23+G23+N23</f>
        <v>8.8666666666666671</v>
      </c>
      <c r="C51" s="101">
        <f>+P23</f>
        <v>12</v>
      </c>
      <c r="D51" s="102">
        <f>+E23*2+N23*2+G23*2</f>
        <v>17.733333333333334</v>
      </c>
      <c r="E51" s="103">
        <v>0</v>
      </c>
      <c r="F51" s="104">
        <v>0</v>
      </c>
    </row>
    <row r="52" spans="1:6" ht="15.75" thickBot="1">
      <c r="A52" s="95" t="s">
        <v>55</v>
      </c>
      <c r="B52" s="96">
        <f>+P23</f>
        <v>12</v>
      </c>
      <c r="C52" s="105">
        <v>0</v>
      </c>
      <c r="D52" s="106">
        <f>+P23*1</f>
        <v>12</v>
      </c>
      <c r="E52" s="107">
        <v>0</v>
      </c>
      <c r="F52" s="108">
        <v>0</v>
      </c>
    </row>
    <row r="53" spans="1:6" ht="15.75" thickBot="1">
      <c r="A53" s="109" t="s">
        <v>34</v>
      </c>
      <c r="B53" s="110">
        <f>+SUM(B50:B52)</f>
        <v>63.248710961657387</v>
      </c>
      <c r="C53" s="111">
        <f>+SUM(C50:F52)</f>
        <v>98.242725726654299</v>
      </c>
      <c r="D53" s="111"/>
      <c r="E53" s="111"/>
      <c r="F53" s="112"/>
    </row>
  </sheetData>
  <mergeCells count="48">
    <mergeCell ref="C48:F48"/>
    <mergeCell ref="C53:F53"/>
    <mergeCell ref="A43:C44"/>
    <mergeCell ref="D43:E44"/>
    <mergeCell ref="F43:G44"/>
    <mergeCell ref="H43:I44"/>
    <mergeCell ref="J43:K44"/>
    <mergeCell ref="A45:C46"/>
    <mergeCell ref="D45:E46"/>
    <mergeCell ref="F45:G46"/>
    <mergeCell ref="H45:I46"/>
    <mergeCell ref="J45:K46"/>
    <mergeCell ref="A39:C40"/>
    <mergeCell ref="D39:E40"/>
    <mergeCell ref="F39:G40"/>
    <mergeCell ref="H39:I40"/>
    <mergeCell ref="J39:K40"/>
    <mergeCell ref="A41:C42"/>
    <mergeCell ref="D41:E42"/>
    <mergeCell ref="F41:G42"/>
    <mergeCell ref="H41:I42"/>
    <mergeCell ref="J41:K42"/>
    <mergeCell ref="A35:C36"/>
    <mergeCell ref="D35:E36"/>
    <mergeCell ref="F35:G36"/>
    <mergeCell ref="H35:I36"/>
    <mergeCell ref="J35:K36"/>
    <mergeCell ref="A37:C38"/>
    <mergeCell ref="D37:E38"/>
    <mergeCell ref="F37:G38"/>
    <mergeCell ref="H37:I38"/>
    <mergeCell ref="J37:K38"/>
    <mergeCell ref="A31:C32"/>
    <mergeCell ref="D31:E32"/>
    <mergeCell ref="F31:G32"/>
    <mergeCell ref="H31:I32"/>
    <mergeCell ref="J31:K32"/>
    <mergeCell ref="A33:C34"/>
    <mergeCell ref="D33:E34"/>
    <mergeCell ref="F33:G34"/>
    <mergeCell ref="H33:I34"/>
    <mergeCell ref="J33:K34"/>
    <mergeCell ref="H3:K3"/>
    <mergeCell ref="A29:C30"/>
    <mergeCell ref="D29:E30"/>
    <mergeCell ref="F29:G30"/>
    <mergeCell ref="H29:I30"/>
    <mergeCell ref="J29:K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</dc:creator>
  <cp:lastModifiedBy>Кирилл</cp:lastModifiedBy>
  <dcterms:created xsi:type="dcterms:W3CDTF">2018-03-25T19:33:43Z</dcterms:created>
  <dcterms:modified xsi:type="dcterms:W3CDTF">2018-03-25T19:36:29Z</dcterms:modified>
</cp:coreProperties>
</file>