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"/>
    </mc:Choice>
  </mc:AlternateContent>
  <bookViews>
    <workbookView xWindow="0" yWindow="0" windowWidth="21600" windowHeight="9735"/>
  </bookViews>
  <sheets>
    <sheet name="участок сборки" sheetId="1" r:id="rId1"/>
  </sheets>
  <definedNames>
    <definedName name="_xlnm._FilterDatabase" localSheetId="0" hidden="1">'участок сборки'!$A$1:$A$32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1" l="1"/>
  <c r="O43" i="1"/>
  <c r="O45" i="1" s="1"/>
  <c r="L43" i="1"/>
  <c r="L45" i="1" s="1"/>
  <c r="K43" i="1"/>
  <c r="K45" i="1" s="1"/>
  <c r="J43" i="1"/>
  <c r="J45" i="1" s="1"/>
  <c r="I43" i="1"/>
  <c r="I45" i="1" s="1"/>
  <c r="H43" i="1"/>
  <c r="H45" i="1" s="1"/>
  <c r="O40" i="1"/>
  <c r="N40" i="1"/>
  <c r="N45" i="1" s="1"/>
  <c r="L40" i="1"/>
  <c r="J40" i="1"/>
  <c r="I40" i="1"/>
  <c r="H40" i="1"/>
  <c r="P40" i="1" s="1"/>
  <c r="O37" i="1"/>
  <c r="N37" i="1"/>
  <c r="M37" i="1"/>
  <c r="M45" i="1" s="1"/>
  <c r="L37" i="1"/>
  <c r="J37" i="1"/>
  <c r="I37" i="1"/>
  <c r="H37" i="1"/>
  <c r="P37" i="1" s="1"/>
  <c r="O34" i="1"/>
  <c r="N34" i="1"/>
  <c r="M34" i="1"/>
  <c r="L34" i="1"/>
  <c r="J34" i="1"/>
  <c r="I34" i="1"/>
  <c r="H34" i="1"/>
  <c r="P34" i="1" s="1"/>
  <c r="F30" i="1"/>
  <c r="L30" i="1" s="1"/>
  <c r="D30" i="1"/>
  <c r="K30" i="1" s="1"/>
  <c r="K32" i="1" s="1"/>
  <c r="C30" i="1"/>
  <c r="C31" i="1" s="1"/>
  <c r="O29" i="1"/>
  <c r="L29" i="1"/>
  <c r="K29" i="1"/>
  <c r="K31" i="1" s="1"/>
  <c r="J29" i="1"/>
  <c r="J31" i="1" s="1"/>
  <c r="I29" i="1"/>
  <c r="I31" i="1" s="1"/>
  <c r="H29" i="1"/>
  <c r="H31" i="1" s="1"/>
  <c r="F27" i="1"/>
  <c r="L27" i="1" s="1"/>
  <c r="C27" i="1"/>
  <c r="O27" i="1" s="1"/>
  <c r="O26" i="1"/>
  <c r="N26" i="1"/>
  <c r="L26" i="1"/>
  <c r="J26" i="1"/>
  <c r="I26" i="1"/>
  <c r="H26" i="1"/>
  <c r="P26" i="1" s="1"/>
  <c r="F24" i="1"/>
  <c r="L24" i="1" s="1"/>
  <c r="D24" i="1"/>
  <c r="N24" i="1" s="1"/>
  <c r="C24" i="1"/>
  <c r="O24" i="1" s="1"/>
  <c r="O23" i="1"/>
  <c r="N23" i="1"/>
  <c r="M23" i="1"/>
  <c r="L23" i="1"/>
  <c r="J23" i="1"/>
  <c r="I23" i="1"/>
  <c r="H23" i="1"/>
  <c r="P23" i="1" s="1"/>
  <c r="F21" i="1"/>
  <c r="L21" i="1" s="1"/>
  <c r="D21" i="1"/>
  <c r="N21" i="1" s="1"/>
  <c r="C21" i="1"/>
  <c r="O21" i="1" s="1"/>
  <c r="O20" i="1"/>
  <c r="N20" i="1"/>
  <c r="M20" i="1"/>
  <c r="L20" i="1"/>
  <c r="J20" i="1"/>
  <c r="I20" i="1"/>
  <c r="H20" i="1"/>
  <c r="P20" i="1" s="1"/>
  <c r="F16" i="1"/>
  <c r="L16" i="1" s="1"/>
  <c r="D16" i="1"/>
  <c r="K16" i="1" s="1"/>
  <c r="K18" i="1" s="1"/>
  <c r="C16" i="1"/>
  <c r="C17" i="1" s="1"/>
  <c r="O15" i="1"/>
  <c r="O17" i="1" s="1"/>
  <c r="L15" i="1"/>
  <c r="L17" i="1" s="1"/>
  <c r="K15" i="1"/>
  <c r="K17" i="1" s="1"/>
  <c r="J15" i="1"/>
  <c r="J17" i="1" s="1"/>
  <c r="I15" i="1"/>
  <c r="I17" i="1" s="1"/>
  <c r="H15" i="1"/>
  <c r="H17" i="1" s="1"/>
  <c r="F13" i="1"/>
  <c r="L13" i="1" s="1"/>
  <c r="D13" i="1"/>
  <c r="N13" i="1" s="1"/>
  <c r="C13" i="1"/>
  <c r="O13" i="1" s="1"/>
  <c r="O12" i="1"/>
  <c r="N12" i="1"/>
  <c r="N17" i="1" s="1"/>
  <c r="L12" i="1"/>
  <c r="J12" i="1"/>
  <c r="I12" i="1"/>
  <c r="H12" i="1"/>
  <c r="P12" i="1" s="1"/>
  <c r="F10" i="1"/>
  <c r="L10" i="1" s="1"/>
  <c r="D10" i="1"/>
  <c r="N10" i="1" s="1"/>
  <c r="C10" i="1"/>
  <c r="O10" i="1" s="1"/>
  <c r="O9" i="1"/>
  <c r="N9" i="1"/>
  <c r="M9" i="1"/>
  <c r="M17" i="1" s="1"/>
  <c r="L9" i="1"/>
  <c r="J9" i="1"/>
  <c r="I9" i="1"/>
  <c r="H9" i="1"/>
  <c r="P9" i="1" s="1"/>
  <c r="F7" i="1"/>
  <c r="L7" i="1" s="1"/>
  <c r="E7" i="1"/>
  <c r="M7" i="1" s="1"/>
  <c r="D7" i="1"/>
  <c r="N7" i="1" s="1"/>
  <c r="C7" i="1"/>
  <c r="O7" i="1" s="1"/>
  <c r="O6" i="1"/>
  <c r="N6" i="1"/>
  <c r="M6" i="1"/>
  <c r="L6" i="1"/>
  <c r="J6" i="1"/>
  <c r="I6" i="1"/>
  <c r="H6" i="1"/>
  <c r="P6" i="1" s="1"/>
  <c r="O4" i="1"/>
  <c r="N4" i="1"/>
  <c r="M4" i="1"/>
  <c r="L4" i="1"/>
  <c r="K4" i="1"/>
  <c r="K44" i="1" s="1"/>
  <c r="K46" i="1" s="1"/>
  <c r="J4" i="1"/>
  <c r="I4" i="1"/>
  <c r="H4" i="1"/>
  <c r="N18" i="1" l="1"/>
  <c r="P17" i="1"/>
  <c r="L18" i="1"/>
  <c r="L32" i="1"/>
  <c r="H44" i="1"/>
  <c r="H41" i="1"/>
  <c r="H38" i="1"/>
  <c r="H35" i="1"/>
  <c r="I44" i="1"/>
  <c r="I41" i="1"/>
  <c r="I38" i="1"/>
  <c r="I35" i="1"/>
  <c r="J44" i="1"/>
  <c r="J41" i="1"/>
  <c r="J38" i="1"/>
  <c r="J35" i="1"/>
  <c r="K49" i="1"/>
  <c r="L44" i="1"/>
  <c r="L41" i="1"/>
  <c r="L38" i="1"/>
  <c r="L35" i="1"/>
  <c r="M38" i="1"/>
  <c r="M35" i="1"/>
  <c r="N41" i="1"/>
  <c r="N38" i="1"/>
  <c r="N35" i="1"/>
  <c r="O44" i="1"/>
  <c r="O41" i="1"/>
  <c r="O38" i="1"/>
  <c r="O35" i="1"/>
  <c r="H7" i="1"/>
  <c r="I7" i="1"/>
  <c r="J7" i="1"/>
  <c r="H10" i="1"/>
  <c r="I10" i="1"/>
  <c r="J10" i="1"/>
  <c r="M10" i="1"/>
  <c r="M18" i="1" s="1"/>
  <c r="H13" i="1"/>
  <c r="I13" i="1"/>
  <c r="J13" i="1"/>
  <c r="P15" i="1"/>
  <c r="H16" i="1"/>
  <c r="I16" i="1"/>
  <c r="I18" i="1" s="1"/>
  <c r="J16" i="1"/>
  <c r="J18" i="1" s="1"/>
  <c r="O16" i="1"/>
  <c r="O18" i="1" s="1"/>
  <c r="H21" i="1"/>
  <c r="I21" i="1"/>
  <c r="J21" i="1"/>
  <c r="M21" i="1"/>
  <c r="M31" i="1"/>
  <c r="H24" i="1"/>
  <c r="I24" i="1"/>
  <c r="J24" i="1"/>
  <c r="M24" i="1"/>
  <c r="M32" i="1" s="1"/>
  <c r="N31" i="1"/>
  <c r="H27" i="1"/>
  <c r="I27" i="1"/>
  <c r="J27" i="1"/>
  <c r="N27" i="1"/>
  <c r="N32" i="1" s="1"/>
  <c r="L31" i="1"/>
  <c r="P31" i="1" s="1"/>
  <c r="O31" i="1"/>
  <c r="P29" i="1"/>
  <c r="H30" i="1"/>
  <c r="I30" i="1"/>
  <c r="I32" i="1" s="1"/>
  <c r="J30" i="1"/>
  <c r="J32" i="1" s="1"/>
  <c r="O30" i="1"/>
  <c r="O32" i="1" s="1"/>
  <c r="M48" i="1"/>
  <c r="N48" i="1"/>
  <c r="H48" i="1"/>
  <c r="P45" i="1"/>
  <c r="I48" i="1"/>
  <c r="J48" i="1"/>
  <c r="K48" i="1"/>
  <c r="L48" i="1"/>
  <c r="O48" i="1"/>
  <c r="P43" i="1"/>
  <c r="P48" i="1" l="1"/>
  <c r="H32" i="1"/>
  <c r="P32" i="1" s="1"/>
  <c r="P30" i="1"/>
  <c r="P27" i="1"/>
  <c r="P24" i="1"/>
  <c r="P21" i="1"/>
  <c r="H18" i="1"/>
  <c r="P18" i="1" s="1"/>
  <c r="P16" i="1"/>
  <c r="P13" i="1"/>
  <c r="P10" i="1"/>
  <c r="P7" i="1"/>
  <c r="O46" i="1"/>
  <c r="O49" i="1" s="1"/>
  <c r="N46" i="1"/>
  <c r="N49" i="1" s="1"/>
  <c r="M46" i="1"/>
  <c r="M49" i="1" s="1"/>
  <c r="L46" i="1"/>
  <c r="L49" i="1" s="1"/>
  <c r="J46" i="1"/>
  <c r="J49" i="1" s="1"/>
  <c r="I46" i="1"/>
  <c r="I49" i="1" s="1"/>
  <c r="P35" i="1"/>
  <c r="P38" i="1"/>
  <c r="P41" i="1"/>
  <c r="H46" i="1"/>
  <c r="P44" i="1"/>
  <c r="H49" i="1" l="1"/>
  <c r="P46" i="1"/>
  <c r="P49" i="1" s="1"/>
</calcChain>
</file>

<file path=xl/sharedStrings.xml><?xml version="1.0" encoding="utf-8"?>
<sst xmlns="http://schemas.openxmlformats.org/spreadsheetml/2006/main" count="125" uniqueCount="27">
  <si>
    <t>Пила-Торцовка профиля (2 чел), шт</t>
  </si>
  <si>
    <t>EL.ME.-Запил 45 с двух сторон (Инд), шт.</t>
  </si>
  <si>
    <t>Рапид-Запил 45 с двух сторон (Инд), шт.</t>
  </si>
  <si>
    <t>Balestrini-Фрезерование шип-паз (Инд), шт.</t>
  </si>
  <si>
    <t>Пила-Снятие четверти, шт.</t>
  </si>
  <si>
    <t>Пила-Снятие шуфляд, шт.</t>
  </si>
  <si>
    <t>Крепление шкантов, шт.</t>
  </si>
  <si>
    <t>Сборка фасадов (Инд), м2</t>
  </si>
  <si>
    <t>норма</t>
  </si>
  <si>
    <t>расценка</t>
  </si>
  <si>
    <t>ЗОВ №30 (48 неделя)</t>
  </si>
  <si>
    <t>ЗОВ №30 (48 нед)</t>
  </si>
  <si>
    <t>Турин-3</t>
  </si>
  <si>
    <t>м.кв.</t>
  </si>
  <si>
    <t>шт.</t>
  </si>
  <si>
    <t>шуфляды, шт.</t>
  </si>
  <si>
    <t>витрина, шт</t>
  </si>
  <si>
    <t>часы план</t>
  </si>
  <si>
    <t>сумма по расценке</t>
  </si>
  <si>
    <t>Турин-1</t>
  </si>
  <si>
    <t>Канзас</t>
  </si>
  <si>
    <t>София</t>
  </si>
  <si>
    <t>Итого часы план</t>
  </si>
  <si>
    <t>МАРКЕТИНГ №38 (48 неделя)</t>
  </si>
  <si>
    <t>МАРКЕТИНГ №38 (48 нед)</t>
  </si>
  <si>
    <t>МОСКВА-1 №39 (48 неделя)</t>
  </si>
  <si>
    <t>Итого сумма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</si>
</sst>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 applyAlignment="1"/>
    <xf numFmtId="0" fontId="1" fillId="0" borderId="0" xfId="0" applyFont="1"/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0" fillId="0" borderId="5" xfId="0" applyFont="1" applyBorder="1"/>
    <xf numFmtId="2" fontId="4" fillId="0" borderId="5" xfId="0" applyNumberFormat="1" applyFont="1" applyBorder="1"/>
    <xf numFmtId="4" fontId="4" fillId="0" borderId="0" xfId="0" applyNumberFormat="1" applyFont="1"/>
    <xf numFmtId="0" fontId="1" fillId="0" borderId="5" xfId="0" applyFont="1" applyBorder="1"/>
    <xf numFmtId="1" fontId="4" fillId="0" borderId="5" xfId="0" applyNumberFormat="1" applyFont="1" applyBorder="1"/>
    <xf numFmtId="0" fontId="4" fillId="0" borderId="5" xfId="0" applyFont="1" applyBorder="1"/>
    <xf numFmtId="3" fontId="4" fillId="0" borderId="0" xfId="0" applyNumberFormat="1" applyFont="1"/>
    <xf numFmtId="0" fontId="4" fillId="0" borderId="0" xfId="0" applyFont="1"/>
    <xf numFmtId="3" fontId="4" fillId="0" borderId="5" xfId="0" applyNumberFormat="1" applyFont="1" applyBorder="1"/>
    <xf numFmtId="0" fontId="0" fillId="0" borderId="10" xfId="0" applyFont="1" applyBorder="1"/>
    <xf numFmtId="3" fontId="4" fillId="0" borderId="10" xfId="0" applyNumberFormat="1" applyFont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5" fillId="0" borderId="1" xfId="0" applyFont="1" applyBorder="1"/>
    <xf numFmtId="2" fontId="5" fillId="0" borderId="2" xfId="0" applyNumberFormat="1" applyFont="1" applyBorder="1"/>
    <xf numFmtId="2" fontId="5" fillId="0" borderId="11" xfId="0" applyNumberFormat="1" applyFont="1" applyBorder="1"/>
    <xf numFmtId="3" fontId="5" fillId="2" borderId="12" xfId="0" applyNumberFormat="1" applyFont="1" applyFill="1" applyBorder="1"/>
    <xf numFmtId="0" fontId="5" fillId="0" borderId="7" xfId="0" applyFont="1" applyBorder="1"/>
    <xf numFmtId="3" fontId="5" fillId="0" borderId="8" xfId="0" applyNumberFormat="1" applyFont="1" applyBorder="1"/>
    <xf numFmtId="3" fontId="5" fillId="0" borderId="13" xfId="0" applyNumberFormat="1" applyFont="1" applyBorder="1"/>
    <xf numFmtId="3" fontId="5" fillId="2" borderId="14" xfId="0" applyNumberFormat="1" applyFont="1" applyFill="1" applyBorder="1"/>
    <xf numFmtId="4" fontId="1" fillId="0" borderId="0" xfId="0" applyNumberFormat="1" applyFont="1"/>
    <xf numFmtId="3" fontId="1" fillId="0" borderId="0" xfId="0" applyNumberFormat="1" applyFont="1"/>
    <xf numFmtId="0" fontId="5" fillId="2" borderId="15" xfId="0" applyFont="1" applyFill="1" applyBorder="1"/>
    <xf numFmtId="2" fontId="5" fillId="2" borderId="16" xfId="0" applyNumberFormat="1" applyFont="1" applyFill="1" applyBorder="1"/>
    <xf numFmtId="3" fontId="5" fillId="2" borderId="17" xfId="0" applyNumberFormat="1" applyFont="1" applyFill="1" applyBorder="1"/>
    <xf numFmtId="3" fontId="5" fillId="2" borderId="16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tabSelected="1" topLeftCell="B29" workbookViewId="0">
      <selection activeCell="G50" sqref="G50"/>
    </sheetView>
  </sheetViews>
  <sheetFormatPr defaultRowHeight="15" x14ac:dyDescent="0.25"/>
  <cols>
    <col min="1" max="1" width="25" hidden="1" customWidth="1"/>
    <col min="2" max="2" width="10.5703125" customWidth="1"/>
    <col min="5" max="5" width="10.140625" customWidth="1"/>
    <col min="6" max="6" width="8.42578125" bestFit="1" customWidth="1"/>
    <col min="7" max="7" width="18.7109375" bestFit="1" customWidth="1"/>
    <col min="8" max="8" width="15.140625" customWidth="1"/>
    <col min="9" max="9" width="17.42578125" customWidth="1"/>
    <col min="10" max="10" width="15.7109375" customWidth="1"/>
    <col min="11" max="11" width="14.7109375" customWidth="1"/>
    <col min="12" max="13" width="12.42578125" customWidth="1"/>
    <col min="14" max="14" width="10.7109375" customWidth="1"/>
    <col min="15" max="15" width="10.42578125" customWidth="1"/>
    <col min="16" max="16" width="10.140625" bestFit="1" customWidth="1"/>
  </cols>
  <sheetData>
    <row r="1" spans="1:16" ht="15.75" hidden="1" thickBot="1" x14ac:dyDescent="0.3">
      <c r="F1">
        <v>25000</v>
      </c>
      <c r="G1">
        <v>30000</v>
      </c>
      <c r="H1">
        <v>35000</v>
      </c>
      <c r="I1">
        <v>45000</v>
      </c>
      <c r="J1">
        <v>50000</v>
      </c>
    </row>
    <row r="2" spans="1:16" ht="44.25" customHeight="1" x14ac:dyDescent="0.25">
      <c r="G2" s="1"/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3" t="s">
        <v>7</v>
      </c>
    </row>
    <row r="3" spans="1:16" x14ac:dyDescent="0.25">
      <c r="G3" s="4" t="s">
        <v>8</v>
      </c>
      <c r="H3" s="5">
        <v>850</v>
      </c>
      <c r="I3" s="5">
        <v>150</v>
      </c>
      <c r="J3" s="5">
        <v>200</v>
      </c>
      <c r="K3" s="5">
        <v>125</v>
      </c>
      <c r="L3" s="5">
        <v>300</v>
      </c>
      <c r="M3" s="5">
        <v>50</v>
      </c>
      <c r="N3" s="5">
        <v>330</v>
      </c>
      <c r="O3" s="6">
        <v>5</v>
      </c>
    </row>
    <row r="4" spans="1:16" ht="15.75" thickBot="1" x14ac:dyDescent="0.3">
      <c r="G4" s="7" t="s">
        <v>9</v>
      </c>
      <c r="H4" s="8">
        <f>H1/H3</f>
        <v>41.176470588235297</v>
      </c>
      <c r="I4" s="8">
        <f>H1/I3</f>
        <v>233.33333333333334</v>
      </c>
      <c r="J4" s="9">
        <f>$H$1/J3</f>
        <v>175</v>
      </c>
      <c r="K4" s="9">
        <f>$H$1/K3</f>
        <v>280</v>
      </c>
      <c r="L4" s="8">
        <f>H1/L3</f>
        <v>116.66666666666667</v>
      </c>
      <c r="M4" s="9">
        <f>H1/M3</f>
        <v>700</v>
      </c>
      <c r="N4" s="8">
        <f>F1/N3</f>
        <v>75.757575757575751</v>
      </c>
      <c r="O4" s="10">
        <f>H1/O3</f>
        <v>7000</v>
      </c>
    </row>
    <row r="5" spans="1:16" x14ac:dyDescent="0.25">
      <c r="B5" s="11" t="s">
        <v>10</v>
      </c>
      <c r="C5" s="12"/>
      <c r="D5" s="12"/>
      <c r="I5" s="13">
        <v>0.7</v>
      </c>
      <c r="J5" s="13">
        <v>0.3</v>
      </c>
      <c r="K5" s="13">
        <v>0.7</v>
      </c>
    </row>
    <row r="6" spans="1:16" ht="30" x14ac:dyDescent="0.25">
      <c r="A6" s="11" t="s">
        <v>11</v>
      </c>
      <c r="B6" s="14" t="s">
        <v>12</v>
      </c>
      <c r="C6" s="15" t="s">
        <v>13</v>
      </c>
      <c r="D6" s="15" t="s">
        <v>14</v>
      </c>
      <c r="E6" s="16" t="s">
        <v>15</v>
      </c>
      <c r="F6" s="16" t="s">
        <v>16</v>
      </c>
      <c r="G6" s="17" t="s">
        <v>17</v>
      </c>
      <c r="H6" s="18">
        <f>D7*4/$H$3</f>
        <v>3.5952941176470588</v>
      </c>
      <c r="I6" s="18">
        <f>D7*4*$I$5/$I$3</f>
        <v>14.261333333333333</v>
      </c>
      <c r="J6" s="18">
        <f>D7*4*$J$5/$J$3</f>
        <v>4.5839999999999996</v>
      </c>
      <c r="K6" s="18"/>
      <c r="L6" s="18">
        <f>F7*4/$L$3</f>
        <v>1.0933333333333333</v>
      </c>
      <c r="M6" s="18">
        <f>E7*4/$M$3</f>
        <v>2.48</v>
      </c>
      <c r="N6" s="18">
        <f>D7*4/$N$3</f>
        <v>9.2606060606060598</v>
      </c>
      <c r="O6" s="18">
        <f>C7/$O$3</f>
        <v>34.967999999999996</v>
      </c>
      <c r="P6" s="19">
        <f>SUM(H6:O6)</f>
        <v>70.242566844919779</v>
      </c>
    </row>
    <row r="7" spans="1:16" x14ac:dyDescent="0.25">
      <c r="A7" s="11" t="s">
        <v>11</v>
      </c>
      <c r="B7" s="14"/>
      <c r="C7" s="20">
        <f>7.78+32.33+42.4+42.94+41.88+7.51</f>
        <v>174.83999999999997</v>
      </c>
      <c r="D7" s="20">
        <f>30+135+188+199+183+29</f>
        <v>764</v>
      </c>
      <c r="E7" s="5">
        <f>1+29+1</f>
        <v>31</v>
      </c>
      <c r="F7" s="5">
        <f>5+15+13+26+19+4</f>
        <v>82</v>
      </c>
      <c r="G7" s="17" t="s">
        <v>18</v>
      </c>
      <c r="H7" s="21">
        <f>D7*4*$H$4</f>
        <v>125835.29411764706</v>
      </c>
      <c r="I7" s="21">
        <f>D7*4*$I$4*$I$5</f>
        <v>499146.66666666669</v>
      </c>
      <c r="J7" s="21">
        <f>D7*4*$J$4*$J$5</f>
        <v>160440</v>
      </c>
      <c r="K7" s="21"/>
      <c r="L7" s="21">
        <f>F7*4*$L$4</f>
        <v>38266.666666666672</v>
      </c>
      <c r="M7" s="22">
        <f>E7*4*$M$4</f>
        <v>86800</v>
      </c>
      <c r="N7" s="21">
        <f>D7*4*$N$4</f>
        <v>231515.15151515149</v>
      </c>
      <c r="O7" s="22">
        <f>C7*$O$4</f>
        <v>1223879.9999999998</v>
      </c>
      <c r="P7" s="23">
        <f>SUM(H7:O7)</f>
        <v>2365883.7789661316</v>
      </c>
    </row>
    <row r="8" spans="1:16" x14ac:dyDescent="0.25">
      <c r="A8" s="11" t="s">
        <v>11</v>
      </c>
      <c r="B8" s="17"/>
      <c r="C8" s="5"/>
      <c r="D8" s="5"/>
      <c r="E8" s="5"/>
      <c r="F8" s="5"/>
      <c r="G8" s="17"/>
      <c r="H8" s="17"/>
      <c r="I8" s="17"/>
      <c r="J8" s="17"/>
      <c r="K8" s="17"/>
      <c r="L8" s="17"/>
      <c r="M8" s="17"/>
      <c r="N8" s="17"/>
      <c r="O8" s="17"/>
      <c r="P8" s="24"/>
    </row>
    <row r="9" spans="1:16" ht="30" x14ac:dyDescent="0.25">
      <c r="A9" s="11" t="s">
        <v>11</v>
      </c>
      <c r="B9" s="14" t="s">
        <v>19</v>
      </c>
      <c r="C9" s="15" t="s">
        <v>13</v>
      </c>
      <c r="D9" s="15" t="s">
        <v>14</v>
      </c>
      <c r="E9" s="16" t="s">
        <v>15</v>
      </c>
      <c r="F9" s="16" t="s">
        <v>16</v>
      </c>
      <c r="G9" s="17" t="s">
        <v>17</v>
      </c>
      <c r="H9" s="18">
        <f>D10*4/$H$3</f>
        <v>0.8</v>
      </c>
      <c r="I9" s="18">
        <f>D10*4*$I$5/$I$3</f>
        <v>3.1733333333333329</v>
      </c>
      <c r="J9" s="18">
        <f>D10*4*$J$5/$J$3</f>
        <v>1.02</v>
      </c>
      <c r="K9" s="18"/>
      <c r="L9" s="18">
        <f>F10*4/$L$3</f>
        <v>0.29333333333333333</v>
      </c>
      <c r="M9" s="18">
        <f>E10*4/$M$3</f>
        <v>0.4</v>
      </c>
      <c r="N9" s="18">
        <f>D10*4/$N$3</f>
        <v>2.0606060606060606</v>
      </c>
      <c r="O9" s="18">
        <f>C10/$O$3</f>
        <v>7.9959999999999996</v>
      </c>
      <c r="P9" s="19">
        <f>SUM(H9:O9)</f>
        <v>15.743272727272725</v>
      </c>
    </row>
    <row r="10" spans="1:16" x14ac:dyDescent="0.25">
      <c r="A10" s="11" t="s">
        <v>11</v>
      </c>
      <c r="B10" s="14"/>
      <c r="C10" s="20">
        <f>0.58+17.47+13.82+8.11</f>
        <v>39.979999999999997</v>
      </c>
      <c r="D10" s="20">
        <f>2+75+53+40</f>
        <v>170</v>
      </c>
      <c r="E10" s="5">
        <v>5</v>
      </c>
      <c r="F10" s="5">
        <f>1+9+4+8</f>
        <v>22</v>
      </c>
      <c r="G10" s="17" t="s">
        <v>18</v>
      </c>
      <c r="H10" s="21">
        <f>D10*4*$H$4</f>
        <v>28000.000000000004</v>
      </c>
      <c r="I10" s="21">
        <f>D10*4*$I$4*$I$5</f>
        <v>111066.66666666667</v>
      </c>
      <c r="J10" s="21">
        <f>D10*4*$J$4*$J$5</f>
        <v>35700</v>
      </c>
      <c r="K10" s="25"/>
      <c r="L10" s="21">
        <f>F10*4*$L$4</f>
        <v>10266.666666666668</v>
      </c>
      <c r="M10" s="22">
        <f>E10*4*$M$4</f>
        <v>14000</v>
      </c>
      <c r="N10" s="21">
        <f>D10*4*$N$4</f>
        <v>51515.151515151512</v>
      </c>
      <c r="O10" s="25">
        <f>C10*$O$4</f>
        <v>279860</v>
      </c>
      <c r="P10" s="23">
        <f>SUM(H10:O10)</f>
        <v>530408.48484848486</v>
      </c>
    </row>
    <row r="11" spans="1:16" x14ac:dyDescent="0.25">
      <c r="A11" s="11" t="s">
        <v>11</v>
      </c>
      <c r="B11" s="17"/>
      <c r="C11" s="5"/>
      <c r="D11" s="5"/>
      <c r="E11" s="5"/>
      <c r="F11" s="5"/>
      <c r="G11" s="17"/>
      <c r="H11" s="17"/>
      <c r="I11" s="17"/>
      <c r="J11" s="17"/>
      <c r="K11" s="17"/>
      <c r="L11" s="17"/>
      <c r="M11" s="17"/>
      <c r="N11" s="17"/>
      <c r="O11" s="17"/>
      <c r="P11" s="24"/>
    </row>
    <row r="12" spans="1:16" ht="30" x14ac:dyDescent="0.25">
      <c r="A12" s="11" t="s">
        <v>11</v>
      </c>
      <c r="B12" s="14" t="s">
        <v>20</v>
      </c>
      <c r="C12" s="15" t="s">
        <v>13</v>
      </c>
      <c r="D12" s="15" t="s">
        <v>14</v>
      </c>
      <c r="E12" s="16"/>
      <c r="F12" s="16" t="s">
        <v>16</v>
      </c>
      <c r="G12" s="17" t="s">
        <v>17</v>
      </c>
      <c r="H12" s="18">
        <f>D13*4/$H$3</f>
        <v>1.9341176470588235</v>
      </c>
      <c r="I12" s="18">
        <f>D13*4*$I$5/$I$3</f>
        <v>7.6719999999999997</v>
      </c>
      <c r="J12" s="18">
        <f>D13*4*$J$5/$J$3</f>
        <v>2.4659999999999997</v>
      </c>
      <c r="K12" s="18"/>
      <c r="L12" s="18">
        <f>F13*4/$L$3</f>
        <v>0.84</v>
      </c>
      <c r="M12" s="18"/>
      <c r="N12" s="18">
        <f>D13*4/$N$3</f>
        <v>4.9818181818181815</v>
      </c>
      <c r="O12" s="18">
        <f>C13/$O$3</f>
        <v>18.393999999999998</v>
      </c>
      <c r="P12" s="19">
        <f>SUM(H12:O12)</f>
        <v>36.287935828877004</v>
      </c>
    </row>
    <row r="13" spans="1:16" x14ac:dyDescent="0.25">
      <c r="A13" s="11" t="s">
        <v>11</v>
      </c>
      <c r="B13" s="14"/>
      <c r="C13" s="20">
        <f>0.4+43.57+48</f>
        <v>91.97</v>
      </c>
      <c r="D13" s="20">
        <f>3+200+208</f>
        <v>411</v>
      </c>
      <c r="E13" s="5"/>
      <c r="F13" s="5">
        <f>37+26</f>
        <v>63</v>
      </c>
      <c r="G13" s="17" t="s">
        <v>18</v>
      </c>
      <c r="H13" s="21">
        <f>D13*4*$H$4</f>
        <v>67694.117647058825</v>
      </c>
      <c r="I13" s="21">
        <f>D13*4*$I$4*$I$5</f>
        <v>268520</v>
      </c>
      <c r="J13" s="21">
        <f>D13*4*$J$4*$J$5</f>
        <v>86310</v>
      </c>
      <c r="K13" s="25"/>
      <c r="L13" s="21">
        <f>F13*4*$L$4</f>
        <v>29400</v>
      </c>
      <c r="M13" s="22"/>
      <c r="N13" s="21">
        <f>D13*4*$N$4</f>
        <v>124545.45454545453</v>
      </c>
      <c r="O13" s="25">
        <f>C13*$O$4</f>
        <v>643790</v>
      </c>
      <c r="P13" s="23">
        <f>SUM(H13:O13)</f>
        <v>1220259.5721925134</v>
      </c>
    </row>
    <row r="14" spans="1:16" x14ac:dyDescent="0.25">
      <c r="A14" s="11" t="s">
        <v>11</v>
      </c>
      <c r="B14" s="17"/>
      <c r="C14" s="5"/>
      <c r="D14" s="5"/>
      <c r="E14" s="5"/>
      <c r="F14" s="5"/>
      <c r="G14" s="17"/>
      <c r="H14" s="5"/>
      <c r="I14" s="5"/>
      <c r="J14" s="5"/>
      <c r="K14" s="5"/>
      <c r="L14" s="5"/>
      <c r="M14" s="5"/>
      <c r="N14" s="5"/>
      <c r="O14" s="5"/>
      <c r="P14" s="24"/>
    </row>
    <row r="15" spans="1:16" ht="30" x14ac:dyDescent="0.25">
      <c r="A15" s="11" t="s">
        <v>11</v>
      </c>
      <c r="B15" s="14" t="s">
        <v>21</v>
      </c>
      <c r="C15" s="15" t="s">
        <v>13</v>
      </c>
      <c r="D15" s="15" t="s">
        <v>14</v>
      </c>
      <c r="E15" s="16"/>
      <c r="F15" s="16" t="s">
        <v>16</v>
      </c>
      <c r="G15" s="17" t="s">
        <v>17</v>
      </c>
      <c r="H15" s="18">
        <f>D16*4/$H$3</f>
        <v>1.76</v>
      </c>
      <c r="I15" s="18">
        <f>D16*4*$I$5/$I$3</f>
        <v>6.9813333333333336</v>
      </c>
      <c r="J15" s="18">
        <f>D16*4*$J$5/$J$3</f>
        <v>2.2440000000000002</v>
      </c>
      <c r="K15" s="18">
        <f>D16*4*$K$5/$K$3</f>
        <v>8.377600000000001</v>
      </c>
      <c r="L15" s="18">
        <f>F16*4/$L$3</f>
        <v>0.70666666666666667</v>
      </c>
      <c r="M15" s="18"/>
      <c r="N15" s="18"/>
      <c r="O15" s="18">
        <f>C16/$O$3</f>
        <v>17.718</v>
      </c>
      <c r="P15" s="19">
        <f>SUM(H15:O15)</f>
        <v>37.787599999999998</v>
      </c>
    </row>
    <row r="16" spans="1:16" ht="15.75" thickBot="1" x14ac:dyDescent="0.3">
      <c r="A16" s="11" t="s">
        <v>11</v>
      </c>
      <c r="B16" s="14"/>
      <c r="C16" s="20">
        <f>3.29+19.77+47.81+17.72</f>
        <v>88.59</v>
      </c>
      <c r="D16" s="20">
        <f>13+89+203+69</f>
        <v>374</v>
      </c>
      <c r="E16" s="5"/>
      <c r="F16" s="5">
        <f>2+14+30+7</f>
        <v>53</v>
      </c>
      <c r="G16" s="26" t="s">
        <v>18</v>
      </c>
      <c r="H16" s="22">
        <f>D16*4*$H$4</f>
        <v>61600.000000000007</v>
      </c>
      <c r="I16" s="21">
        <f>D16*4*$I$4*$I$5</f>
        <v>244346.66666666666</v>
      </c>
      <c r="J16" s="21">
        <f>D16*4*$J$4*$J$5</f>
        <v>78540</v>
      </c>
      <c r="K16" s="27">
        <f>D16*4*$K$4*$K$5</f>
        <v>293216</v>
      </c>
      <c r="L16" s="21">
        <f>F16*4*$L$4</f>
        <v>24733.333333333336</v>
      </c>
      <c r="M16" s="22"/>
      <c r="N16" s="21"/>
      <c r="O16" s="27">
        <f>C16*$O$4</f>
        <v>620130</v>
      </c>
      <c r="P16" s="23">
        <f>SUM(H16:O16)</f>
        <v>1322566</v>
      </c>
    </row>
    <row r="17" spans="1:16" x14ac:dyDescent="0.25">
      <c r="A17" s="11" t="s">
        <v>11</v>
      </c>
      <c r="B17" s="28"/>
      <c r="C17" s="29">
        <f>C16+C13+C10+C7</f>
        <v>395.38</v>
      </c>
      <c r="D17" s="29"/>
      <c r="E17" s="30"/>
      <c r="F17" s="30"/>
      <c r="G17" s="31" t="s">
        <v>22</v>
      </c>
      <c r="H17" s="32">
        <f>H15+H12+H9+H6</f>
        <v>8.0894117647058827</v>
      </c>
      <c r="I17" s="32">
        <f>I15+I12+I9+I6</f>
        <v>32.087999999999994</v>
      </c>
      <c r="J17" s="32">
        <f t="shared" ref="J17:O18" si="0">J15+J12+J9+J6</f>
        <v>10.314</v>
      </c>
      <c r="K17" s="32">
        <f t="shared" si="0"/>
        <v>8.377600000000001</v>
      </c>
      <c r="L17" s="32">
        <f t="shared" si="0"/>
        <v>2.9333333333333331</v>
      </c>
      <c r="M17" s="32">
        <f t="shared" si="0"/>
        <v>2.88</v>
      </c>
      <c r="N17" s="32">
        <f t="shared" si="0"/>
        <v>16.303030303030301</v>
      </c>
      <c r="O17" s="33">
        <f t="shared" si="0"/>
        <v>79.075999999999993</v>
      </c>
      <c r="P17" s="34">
        <f>SUM(H17:O17)</f>
        <v>160.06137540106948</v>
      </c>
    </row>
    <row r="18" spans="1:16" ht="15.75" thickBot="1" x14ac:dyDescent="0.3">
      <c r="A18" s="11" t="s">
        <v>11</v>
      </c>
      <c r="G18" s="35" t="s">
        <v>26</v>
      </c>
      <c r="H18" s="36">
        <f>H16+H13+H10+H7</f>
        <v>283129.4117647059</v>
      </c>
      <c r="I18" s="36">
        <f>I16+I13+I10+I7</f>
        <v>1123080</v>
      </c>
      <c r="J18" s="36">
        <f t="shared" si="0"/>
        <v>360990</v>
      </c>
      <c r="K18" s="36">
        <f t="shared" si="0"/>
        <v>293216</v>
      </c>
      <c r="L18" s="36">
        <f t="shared" si="0"/>
        <v>102666.66666666667</v>
      </c>
      <c r="M18" s="36">
        <f t="shared" si="0"/>
        <v>100800</v>
      </c>
      <c r="N18" s="36">
        <f t="shared" si="0"/>
        <v>407575.75757575757</v>
      </c>
      <c r="O18" s="37">
        <f t="shared" si="0"/>
        <v>2767660</v>
      </c>
      <c r="P18" s="38">
        <f>SUM(H18:O18)</f>
        <v>5439117.8360071303</v>
      </c>
    </row>
    <row r="19" spans="1:16" x14ac:dyDescent="0.25">
      <c r="A19" s="11"/>
      <c r="B19" s="11" t="s">
        <v>23</v>
      </c>
    </row>
    <row r="20" spans="1:16" ht="30" x14ac:dyDescent="0.25">
      <c r="A20" s="11" t="s">
        <v>24</v>
      </c>
      <c r="B20" s="14" t="s">
        <v>12</v>
      </c>
      <c r="C20" s="15" t="s">
        <v>13</v>
      </c>
      <c r="D20" s="15" t="s">
        <v>14</v>
      </c>
      <c r="E20" s="16" t="s">
        <v>15</v>
      </c>
      <c r="F20" s="16" t="s">
        <v>16</v>
      </c>
      <c r="G20" s="20" t="s">
        <v>17</v>
      </c>
      <c r="H20" s="18">
        <f>D21*4/$H$3</f>
        <v>2.1411764705882352</v>
      </c>
      <c r="I20" s="18">
        <f>D21*4*$I$5/$I$3</f>
        <v>8.4933333333333341</v>
      </c>
      <c r="J20" s="18">
        <f>D21*4*$J$5/$J$3</f>
        <v>2.73</v>
      </c>
      <c r="K20" s="18"/>
      <c r="L20" s="18">
        <f>F21*4/$L$3</f>
        <v>0.65333333333333332</v>
      </c>
      <c r="M20" s="18">
        <f>E21*4/$M$3</f>
        <v>0.72</v>
      </c>
      <c r="N20" s="18">
        <f>D21*4/$N$3</f>
        <v>5.5151515151515156</v>
      </c>
      <c r="O20" s="18">
        <f>C21/$O$3</f>
        <v>19.906000000000002</v>
      </c>
      <c r="P20" s="39">
        <f>SUM(H20:O20)</f>
        <v>40.15899465240642</v>
      </c>
    </row>
    <row r="21" spans="1:16" x14ac:dyDescent="0.25">
      <c r="A21" s="11" t="s">
        <v>24</v>
      </c>
      <c r="B21" s="14"/>
      <c r="C21" s="20">
        <f>50.52+32.75+16.26</f>
        <v>99.530000000000015</v>
      </c>
      <c r="D21" s="20">
        <f>231+147+77</f>
        <v>455</v>
      </c>
      <c r="E21" s="5">
        <v>9</v>
      </c>
      <c r="F21" s="5">
        <f>21+18+10</f>
        <v>49</v>
      </c>
      <c r="G21" s="20" t="s">
        <v>18</v>
      </c>
      <c r="H21" s="21">
        <f>D21*4*$H$4</f>
        <v>74941.176470588238</v>
      </c>
      <c r="I21" s="21">
        <f>D21*4*$I$4*$I$5</f>
        <v>297266.66666666669</v>
      </c>
      <c r="J21" s="21">
        <f>D21*4*$J$4*$J$5</f>
        <v>95550</v>
      </c>
      <c r="K21" s="21"/>
      <c r="L21" s="21">
        <f>F21*4*$L$4</f>
        <v>22866.666666666668</v>
      </c>
      <c r="M21" s="22">
        <f>E21*4*$M$4</f>
        <v>25200</v>
      </c>
      <c r="N21" s="21">
        <f>D21*4*$N$4</f>
        <v>137878.78787878787</v>
      </c>
      <c r="O21" s="22">
        <f>C21*$O$4</f>
        <v>696710.00000000012</v>
      </c>
      <c r="P21" s="40">
        <f>SUM(H21:O21)</f>
        <v>1350413.2976827095</v>
      </c>
    </row>
    <row r="22" spans="1:16" x14ac:dyDescent="0.25">
      <c r="A22" s="11" t="s">
        <v>24</v>
      </c>
      <c r="B22" s="17"/>
      <c r="C22" s="5"/>
      <c r="D22" s="5"/>
      <c r="E22" s="5"/>
      <c r="F22" s="5"/>
      <c r="G22" s="5"/>
      <c r="H22" s="17"/>
      <c r="I22" s="17"/>
      <c r="J22" s="17"/>
      <c r="K22" s="17"/>
      <c r="L22" s="17"/>
      <c r="M22" s="17"/>
      <c r="N22" s="17"/>
      <c r="O22" s="17"/>
    </row>
    <row r="23" spans="1:16" ht="30" x14ac:dyDescent="0.25">
      <c r="A23" s="11" t="s">
        <v>24</v>
      </c>
      <c r="B23" s="14" t="s">
        <v>19</v>
      </c>
      <c r="C23" s="15" t="s">
        <v>13</v>
      </c>
      <c r="D23" s="15" t="s">
        <v>14</v>
      </c>
      <c r="E23" s="16" t="s">
        <v>15</v>
      </c>
      <c r="F23" s="16" t="s">
        <v>16</v>
      </c>
      <c r="G23" s="20" t="s">
        <v>17</v>
      </c>
      <c r="H23" s="18">
        <f>D24*4/$H$3</f>
        <v>0.31058823529411766</v>
      </c>
      <c r="I23" s="18">
        <f>D24*4*$I$5/$I$3</f>
        <v>1.232</v>
      </c>
      <c r="J23" s="18">
        <f>D24*4*$J$5/$J$3</f>
        <v>0.39600000000000002</v>
      </c>
      <c r="K23" s="18"/>
      <c r="L23" s="18">
        <f>F24*4/$L$3</f>
        <v>0.08</v>
      </c>
      <c r="M23" s="18">
        <f>E24*4/$M$3</f>
        <v>0.16</v>
      </c>
      <c r="N23" s="18">
        <f>D24*4/$N$3</f>
        <v>0.8</v>
      </c>
      <c r="O23" s="18">
        <f>C24/$O$3</f>
        <v>2.8260000000000001</v>
      </c>
      <c r="P23" s="39">
        <f>SUM(H23:O23)</f>
        <v>5.8045882352941174</v>
      </c>
    </row>
    <row r="24" spans="1:16" x14ac:dyDescent="0.25">
      <c r="A24" s="11" t="s">
        <v>24</v>
      </c>
      <c r="B24" s="14"/>
      <c r="C24" s="20">
        <f>3.59+4.12+4.7+1.72</f>
        <v>14.13</v>
      </c>
      <c r="D24" s="20">
        <f>18+19+21+8</f>
        <v>66</v>
      </c>
      <c r="E24" s="5">
        <v>2</v>
      </c>
      <c r="F24" s="5">
        <f>1+2+2+1</f>
        <v>6</v>
      </c>
      <c r="G24" s="20" t="s">
        <v>18</v>
      </c>
      <c r="H24" s="21">
        <f>D24*4*$H$4</f>
        <v>10870.588235294119</v>
      </c>
      <c r="I24" s="21">
        <f>D24*4*$I$4*$I$5</f>
        <v>43120</v>
      </c>
      <c r="J24" s="21">
        <f>D24*4*$J$4*$J$5</f>
        <v>13860</v>
      </c>
      <c r="K24" s="25"/>
      <c r="L24" s="21">
        <f>F24*4*$L$4</f>
        <v>2800</v>
      </c>
      <c r="M24" s="22">
        <f>E24*4*$M$4</f>
        <v>5600</v>
      </c>
      <c r="N24" s="21">
        <f>D24*4*$N$4</f>
        <v>20000</v>
      </c>
      <c r="O24" s="25">
        <f>C24*$O$4</f>
        <v>98910</v>
      </c>
      <c r="P24" s="40">
        <f>SUM(H24:O24)</f>
        <v>195160.58823529413</v>
      </c>
    </row>
    <row r="25" spans="1:16" x14ac:dyDescent="0.25">
      <c r="A25" s="11" t="s">
        <v>24</v>
      </c>
      <c r="B25" s="17"/>
      <c r="C25" s="5"/>
      <c r="D25" s="5"/>
      <c r="E25" s="5"/>
      <c r="F25" s="5"/>
      <c r="G25" s="5"/>
      <c r="H25" s="17"/>
      <c r="I25" s="17"/>
      <c r="J25" s="17"/>
      <c r="K25" s="17"/>
      <c r="L25" s="17"/>
      <c r="M25" s="17"/>
      <c r="N25" s="17"/>
      <c r="O25" s="17"/>
    </row>
    <row r="26" spans="1:16" ht="30" x14ac:dyDescent="0.25">
      <c r="A26" s="11" t="s">
        <v>24</v>
      </c>
      <c r="B26" s="14" t="s">
        <v>20</v>
      </c>
      <c r="C26" s="15" t="s">
        <v>13</v>
      </c>
      <c r="D26" s="15" t="s">
        <v>14</v>
      </c>
      <c r="E26" s="16"/>
      <c r="F26" s="16" t="s">
        <v>16</v>
      </c>
      <c r="G26" s="20" t="s">
        <v>17</v>
      </c>
      <c r="H26" s="18">
        <f>D27*4/$H$3</f>
        <v>1.3129411764705883</v>
      </c>
      <c r="I26" s="18">
        <f>D27*4*$I$5/$I$3</f>
        <v>5.2079999999999993</v>
      </c>
      <c r="J26" s="18">
        <f>D27*4*$J$5/$J$3</f>
        <v>1.6740000000000002</v>
      </c>
      <c r="K26" s="18"/>
      <c r="L26" s="18">
        <f>F27*4/$L$3</f>
        <v>0.58666666666666667</v>
      </c>
      <c r="M26" s="18"/>
      <c r="N26" s="18">
        <f>D27*4/$N$3</f>
        <v>3.3818181818181818</v>
      </c>
      <c r="O26" s="18">
        <f>C27/$O$3</f>
        <v>11.854000000000001</v>
      </c>
      <c r="P26" s="39">
        <f>SUM(H26:O26)</f>
        <v>24.017426024955434</v>
      </c>
    </row>
    <row r="27" spans="1:16" x14ac:dyDescent="0.25">
      <c r="A27" s="11" t="s">
        <v>24</v>
      </c>
      <c r="B27" s="14"/>
      <c r="C27" s="20">
        <f>59.27</f>
        <v>59.27</v>
      </c>
      <c r="D27" s="20">
        <v>279</v>
      </c>
      <c r="E27" s="5"/>
      <c r="F27" s="5">
        <f>44</f>
        <v>44</v>
      </c>
      <c r="G27" s="20" t="s">
        <v>18</v>
      </c>
      <c r="H27" s="21">
        <f>D27*4*$H$4</f>
        <v>45952.941176470595</v>
      </c>
      <c r="I27" s="21">
        <f>D27*4*$I$4*$I$5</f>
        <v>182280</v>
      </c>
      <c r="J27" s="21">
        <f>D27*4*$J$4*$J$5</f>
        <v>58590</v>
      </c>
      <c r="K27" s="25"/>
      <c r="L27" s="21">
        <f>F27*4*$L$4</f>
        <v>20533.333333333336</v>
      </c>
      <c r="M27" s="22"/>
      <c r="N27" s="21">
        <f>D27*4*$N$4</f>
        <v>84545.454545454544</v>
      </c>
      <c r="O27" s="25">
        <f>C27*$O$4</f>
        <v>414890</v>
      </c>
      <c r="P27" s="40">
        <f>SUM(H27:O27)</f>
        <v>806791.72905525845</v>
      </c>
    </row>
    <row r="28" spans="1:16" x14ac:dyDescent="0.25">
      <c r="A28" s="11" t="s">
        <v>24</v>
      </c>
      <c r="B28" s="1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6" ht="30" x14ac:dyDescent="0.25">
      <c r="A29" s="11" t="s">
        <v>24</v>
      </c>
      <c r="B29" s="14" t="s">
        <v>21</v>
      </c>
      <c r="C29" s="15" t="s">
        <v>13</v>
      </c>
      <c r="D29" s="15" t="s">
        <v>14</v>
      </c>
      <c r="E29" s="16"/>
      <c r="F29" s="16" t="s">
        <v>16</v>
      </c>
      <c r="G29" s="20" t="s">
        <v>17</v>
      </c>
      <c r="H29" s="18">
        <f>D30*4/$H$3</f>
        <v>1.3788235294117648</v>
      </c>
      <c r="I29" s="18">
        <f>D30*4*$I$5/$I$3</f>
        <v>5.4693333333333332</v>
      </c>
      <c r="J29" s="18">
        <f>D30*4*$J$5/$J$3</f>
        <v>1.7579999999999998</v>
      </c>
      <c r="K29" s="18">
        <f>D30*4*$K$5/$K$3</f>
        <v>6.5632000000000001</v>
      </c>
      <c r="L29" s="18">
        <f>F30*4/$L$3</f>
        <v>0.56000000000000005</v>
      </c>
      <c r="M29" s="18"/>
      <c r="N29" s="18"/>
      <c r="O29" s="18">
        <f>C30/$O$3</f>
        <v>13.437999999999999</v>
      </c>
      <c r="P29" s="39">
        <f>SUM(H29:O29)</f>
        <v>29.167356862745095</v>
      </c>
    </row>
    <row r="30" spans="1:16" ht="15.75" thickBot="1" x14ac:dyDescent="0.3">
      <c r="A30" s="11" t="s">
        <v>24</v>
      </c>
      <c r="B30" s="14"/>
      <c r="C30" s="20">
        <f>36.99+20.49+9.71</f>
        <v>67.19</v>
      </c>
      <c r="D30" s="20">
        <f>157+90+46</f>
        <v>293</v>
      </c>
      <c r="E30" s="5"/>
      <c r="F30" s="5">
        <f>16+20+6</f>
        <v>42</v>
      </c>
      <c r="G30" s="20" t="s">
        <v>18</v>
      </c>
      <c r="H30" s="21">
        <f>D30*4*$H$4</f>
        <v>48258.823529411769</v>
      </c>
      <c r="I30" s="21">
        <f>D30*4*$I$4*$I$5</f>
        <v>191426.66666666666</v>
      </c>
      <c r="J30" s="21">
        <f>D30*4*$J$4*$J$5</f>
        <v>61530</v>
      </c>
      <c r="K30" s="27">
        <f>D30*4*$K$4*$K$5</f>
        <v>229711.99999999997</v>
      </c>
      <c r="L30" s="21">
        <f>F30*4*$L$4</f>
        <v>19600</v>
      </c>
      <c r="M30" s="22"/>
      <c r="N30" s="21"/>
      <c r="O30" s="27">
        <f>C30*$O$4</f>
        <v>470330</v>
      </c>
      <c r="P30" s="40">
        <f>SUM(H30:O30)</f>
        <v>1020857.4901960784</v>
      </c>
    </row>
    <row r="31" spans="1:16" x14ac:dyDescent="0.25">
      <c r="A31" s="11" t="s">
        <v>24</v>
      </c>
      <c r="C31" s="29">
        <f>C30+C27+C24+C21</f>
        <v>240.12</v>
      </c>
      <c r="G31" s="31" t="s">
        <v>22</v>
      </c>
      <c r="H31" s="32">
        <f>H29+H26+H23+H20</f>
        <v>5.1435294117647059</v>
      </c>
      <c r="I31" s="32">
        <f t="shared" ref="I31:O32" si="1">I29+I26+I23+I20</f>
        <v>20.402666666666669</v>
      </c>
      <c r="J31" s="32">
        <f t="shared" si="1"/>
        <v>6.5579999999999998</v>
      </c>
      <c r="K31" s="32">
        <f t="shared" si="1"/>
        <v>6.5632000000000001</v>
      </c>
      <c r="L31" s="32">
        <f t="shared" si="1"/>
        <v>1.8800000000000001</v>
      </c>
      <c r="M31" s="32">
        <f t="shared" si="1"/>
        <v>0.88</v>
      </c>
      <c r="N31" s="32">
        <f t="shared" si="1"/>
        <v>9.6969696969696972</v>
      </c>
      <c r="O31" s="33">
        <f t="shared" si="1"/>
        <v>48.024000000000001</v>
      </c>
      <c r="P31" s="34">
        <f>SUM(H31:O31)</f>
        <v>99.148365775401075</v>
      </c>
    </row>
    <row r="32" spans="1:16" ht="15.75" thickBot="1" x14ac:dyDescent="0.3">
      <c r="A32" s="11" t="s">
        <v>24</v>
      </c>
      <c r="G32" s="35" t="s">
        <v>26</v>
      </c>
      <c r="H32" s="36">
        <f>H30+H27+H24+H21</f>
        <v>180023.5294117647</v>
      </c>
      <c r="I32" s="36">
        <f>I30+I27+I24+I21</f>
        <v>714093.33333333326</v>
      </c>
      <c r="J32" s="36">
        <f t="shared" si="1"/>
        <v>229530</v>
      </c>
      <c r="K32" s="36">
        <f t="shared" si="1"/>
        <v>229711.99999999997</v>
      </c>
      <c r="L32" s="36">
        <f t="shared" si="1"/>
        <v>65800</v>
      </c>
      <c r="M32" s="36">
        <f t="shared" si="1"/>
        <v>30800</v>
      </c>
      <c r="N32" s="36">
        <f t="shared" si="1"/>
        <v>242424.24242424243</v>
      </c>
      <c r="O32" s="37">
        <f t="shared" si="1"/>
        <v>1680840</v>
      </c>
      <c r="P32" s="38">
        <f>SUM(H32:O32)</f>
        <v>3373223.10516934</v>
      </c>
    </row>
    <row r="33" spans="2:16" x14ac:dyDescent="0.25">
      <c r="B33" s="11" t="s">
        <v>25</v>
      </c>
    </row>
    <row r="34" spans="2:16" ht="30" x14ac:dyDescent="0.25">
      <c r="B34" s="14" t="s">
        <v>12</v>
      </c>
      <c r="C34" s="15" t="s">
        <v>13</v>
      </c>
      <c r="D34" s="15" t="s">
        <v>14</v>
      </c>
      <c r="E34" s="16" t="s">
        <v>15</v>
      </c>
      <c r="F34" s="16" t="s">
        <v>16</v>
      </c>
      <c r="G34" s="20" t="s">
        <v>17</v>
      </c>
      <c r="H34" s="18">
        <f>D35*4/$H$3</f>
        <v>1.9482352941176471</v>
      </c>
      <c r="I34" s="18">
        <f>D35*4*$I$5/$I$3</f>
        <v>7.7279999999999989</v>
      </c>
      <c r="J34" s="18">
        <f>D35*4*$J$5/$J$3</f>
        <v>2.484</v>
      </c>
      <c r="K34" s="18"/>
      <c r="L34" s="18">
        <f>F35*4/$L$3</f>
        <v>0.49333333333333335</v>
      </c>
      <c r="M34" s="18">
        <f>E35*4/$M$3</f>
        <v>1.28</v>
      </c>
      <c r="N34" s="18">
        <f>D35*4/$N$3</f>
        <v>5.0181818181818185</v>
      </c>
      <c r="O34" s="18">
        <f>C35/$O$3</f>
        <v>18.791999999999998</v>
      </c>
      <c r="P34" s="39">
        <f>SUM(H34:O34)</f>
        <v>37.743750445632799</v>
      </c>
    </row>
    <row r="35" spans="2:16" x14ac:dyDescent="0.25">
      <c r="B35" s="14"/>
      <c r="C35" s="20">
        <v>93.96</v>
      </c>
      <c r="D35" s="20">
        <v>414</v>
      </c>
      <c r="E35" s="5">
        <v>16</v>
      </c>
      <c r="F35" s="5">
        <v>37</v>
      </c>
      <c r="G35" s="20" t="s">
        <v>18</v>
      </c>
      <c r="H35" s="21">
        <f>D35*4*$H$4</f>
        <v>68188.23529411765</v>
      </c>
      <c r="I35" s="21">
        <f>D35*4*$I$4*$I$5</f>
        <v>270480</v>
      </c>
      <c r="J35" s="21">
        <f>D35*4*$J$4*$J$5</f>
        <v>86940</v>
      </c>
      <c r="K35" s="21"/>
      <c r="L35" s="21">
        <f>F35*4*$L$4</f>
        <v>17266.666666666668</v>
      </c>
      <c r="M35" s="22">
        <f>E35*4*$M$4</f>
        <v>44800</v>
      </c>
      <c r="N35" s="21">
        <f>D35*4*$N$4</f>
        <v>125454.54545454544</v>
      </c>
      <c r="O35" s="22">
        <f>C35*$O$4</f>
        <v>657720</v>
      </c>
      <c r="P35" s="40">
        <f>SUM(H35:O35)</f>
        <v>1270849.4474153297</v>
      </c>
    </row>
    <row r="36" spans="2:16" x14ac:dyDescent="0.25">
      <c r="B36" s="17"/>
      <c r="C36" s="5"/>
      <c r="D36" s="5"/>
      <c r="E36" s="5"/>
      <c r="F36" s="5"/>
      <c r="G36" s="5"/>
      <c r="H36" s="17"/>
      <c r="I36" s="17"/>
      <c r="J36" s="17"/>
      <c r="K36" s="17"/>
      <c r="L36" s="17"/>
      <c r="M36" s="17"/>
      <c r="N36" s="17"/>
      <c r="O36" s="17"/>
    </row>
    <row r="37" spans="2:16" ht="30" x14ac:dyDescent="0.25">
      <c r="B37" s="14" t="s">
        <v>19</v>
      </c>
      <c r="C37" s="15" t="s">
        <v>13</v>
      </c>
      <c r="D37" s="15" t="s">
        <v>14</v>
      </c>
      <c r="E37" s="16" t="s">
        <v>15</v>
      </c>
      <c r="F37" s="16" t="s">
        <v>16</v>
      </c>
      <c r="G37" s="20" t="s">
        <v>17</v>
      </c>
      <c r="H37" s="18">
        <f>D38*4/$H$3</f>
        <v>0.17882352941176471</v>
      </c>
      <c r="I37" s="18">
        <f>D38*4*$I$5/$I$3</f>
        <v>0.70933333333333326</v>
      </c>
      <c r="J37" s="18">
        <f>D38*4*$J$5/$J$3</f>
        <v>0.22800000000000001</v>
      </c>
      <c r="K37" s="18"/>
      <c r="L37" s="18">
        <f>F38*4/$L$3</f>
        <v>2.6666666666666668E-2</v>
      </c>
      <c r="M37" s="18">
        <f>E38*4/$M$3</f>
        <v>0.08</v>
      </c>
      <c r="N37" s="18">
        <f>D38*4/$N$3</f>
        <v>0.46060606060606063</v>
      </c>
      <c r="O37" s="18">
        <f>C38/$O$3</f>
        <v>1.8679999999999999</v>
      </c>
      <c r="P37" s="39">
        <f>SUM(H37:O37)</f>
        <v>3.5514295900178254</v>
      </c>
    </row>
    <row r="38" spans="2:16" x14ac:dyDescent="0.25">
      <c r="B38" s="14"/>
      <c r="C38" s="20">
        <v>9.34</v>
      </c>
      <c r="D38" s="20">
        <v>38</v>
      </c>
      <c r="E38" s="5">
        <v>1</v>
      </c>
      <c r="F38" s="5">
        <v>2</v>
      </c>
      <c r="G38" s="20" t="s">
        <v>18</v>
      </c>
      <c r="H38" s="21">
        <f>D38*4*$H$4</f>
        <v>6258.8235294117649</v>
      </c>
      <c r="I38" s="21">
        <f>D38*4*$I$4*$I$5</f>
        <v>24826.666666666668</v>
      </c>
      <c r="J38" s="21">
        <f>D38*4*$J$4*$J$5</f>
        <v>7980</v>
      </c>
      <c r="K38" s="25"/>
      <c r="L38" s="21">
        <f>F38*4*$L$4</f>
        <v>933.33333333333337</v>
      </c>
      <c r="M38" s="22">
        <f>E38*4*$M$4</f>
        <v>2800</v>
      </c>
      <c r="N38" s="21">
        <f>D38*4*$N$4</f>
        <v>11515.151515151514</v>
      </c>
      <c r="O38" s="25">
        <f>C38*$O$4</f>
        <v>65380</v>
      </c>
      <c r="P38" s="40">
        <f>SUM(H38:O38)</f>
        <v>119693.97504456328</v>
      </c>
    </row>
    <row r="39" spans="2:16" x14ac:dyDescent="0.25">
      <c r="B39" s="17"/>
      <c r="C39" s="5"/>
      <c r="D39" s="5"/>
      <c r="E39" s="5"/>
      <c r="F39" s="5"/>
      <c r="G39" s="5"/>
      <c r="H39" s="17"/>
      <c r="I39" s="17"/>
      <c r="J39" s="17"/>
      <c r="K39" s="17"/>
      <c r="L39" s="17"/>
      <c r="M39" s="17"/>
      <c r="N39" s="17"/>
      <c r="O39" s="17"/>
    </row>
    <row r="40" spans="2:16" ht="30" x14ac:dyDescent="0.25">
      <c r="B40" s="14" t="s">
        <v>20</v>
      </c>
      <c r="C40" s="15" t="s">
        <v>13</v>
      </c>
      <c r="D40" s="15" t="s">
        <v>14</v>
      </c>
      <c r="E40" s="16"/>
      <c r="F40" s="16" t="s">
        <v>16</v>
      </c>
      <c r="G40" s="20" t="s">
        <v>17</v>
      </c>
      <c r="H40" s="18">
        <f>D41*4/$H$3</f>
        <v>0.12235294117647059</v>
      </c>
      <c r="I40" s="18">
        <f>D41*4*$I$5/$I$3</f>
        <v>0.48533333333333334</v>
      </c>
      <c r="J40" s="18">
        <f>D41*4*$J$5/$J$3</f>
        <v>0.156</v>
      </c>
      <c r="K40" s="18"/>
      <c r="L40" s="18">
        <f>F41*4/$L$3</f>
        <v>0.04</v>
      </c>
      <c r="M40" s="18"/>
      <c r="N40" s="18">
        <f>D41*4/$N$3</f>
        <v>0.31515151515151513</v>
      </c>
      <c r="O40" s="18">
        <f>C41/$O$3</f>
        <v>1.242</v>
      </c>
      <c r="P40" s="39">
        <f>SUM(H40:O40)</f>
        <v>2.3608377896613191</v>
      </c>
    </row>
    <row r="41" spans="2:16" x14ac:dyDescent="0.25">
      <c r="B41" s="14"/>
      <c r="C41" s="20">
        <v>6.21</v>
      </c>
      <c r="D41" s="20">
        <v>26</v>
      </c>
      <c r="E41" s="5"/>
      <c r="F41" s="5">
        <v>3</v>
      </c>
      <c r="G41" s="20" t="s">
        <v>18</v>
      </c>
      <c r="H41" s="21">
        <f>D41*4*$H$4</f>
        <v>4282.3529411764712</v>
      </c>
      <c r="I41" s="21">
        <f>D41*4*$I$4*$I$5</f>
        <v>16986.666666666668</v>
      </c>
      <c r="J41" s="21">
        <f>D41*4*$J$4*$J$5</f>
        <v>5460</v>
      </c>
      <c r="K41" s="25"/>
      <c r="L41" s="21">
        <f>F41*4*$L$4</f>
        <v>1400</v>
      </c>
      <c r="M41" s="22"/>
      <c r="N41" s="21">
        <f>D41*4*$N$4</f>
        <v>7878.7878787878781</v>
      </c>
      <c r="O41" s="25">
        <f>C41*$O$4</f>
        <v>43470</v>
      </c>
      <c r="P41" s="40">
        <f>SUM(H41:O41)</f>
        <v>79477.80748663102</v>
      </c>
    </row>
    <row r="42" spans="2:16" x14ac:dyDescent="0.25">
      <c r="B42" s="1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2:16" ht="30" x14ac:dyDescent="0.25">
      <c r="B43" s="14" t="s">
        <v>21</v>
      </c>
      <c r="C43" s="15" t="s">
        <v>13</v>
      </c>
      <c r="D43" s="15" t="s">
        <v>14</v>
      </c>
      <c r="E43" s="16"/>
      <c r="F43" s="16" t="s">
        <v>16</v>
      </c>
      <c r="G43" s="20" t="s">
        <v>17</v>
      </c>
      <c r="H43" s="18">
        <f>D44*4/$H$3</f>
        <v>1.2988235294117647</v>
      </c>
      <c r="I43" s="18">
        <f>D44*4*$I$5/$I$3</f>
        <v>5.1520000000000001</v>
      </c>
      <c r="J43" s="18">
        <f>D44*4*$J$5/$J$3</f>
        <v>1.6559999999999999</v>
      </c>
      <c r="K43" s="18">
        <f>D44*4*$K$5/$K$3</f>
        <v>6.1823999999999995</v>
      </c>
      <c r="L43" s="18">
        <f>F44*4/$L$3</f>
        <v>0.36</v>
      </c>
      <c r="M43" s="18"/>
      <c r="N43" s="18"/>
      <c r="O43" s="18">
        <f>C44/$O$3</f>
        <v>13.802000000000001</v>
      </c>
      <c r="P43" s="39">
        <f>SUM(H43:O43)</f>
        <v>28.451223529411763</v>
      </c>
    </row>
    <row r="44" spans="2:16" ht="15.75" thickBot="1" x14ac:dyDescent="0.3">
      <c r="B44" s="14"/>
      <c r="C44" s="20">
        <v>69.010000000000005</v>
      </c>
      <c r="D44" s="20">
        <v>276</v>
      </c>
      <c r="E44" s="5"/>
      <c r="F44" s="5">
        <v>27</v>
      </c>
      <c r="G44" s="20" t="s">
        <v>18</v>
      </c>
      <c r="H44" s="21">
        <f>D44*4*$H$4</f>
        <v>45458.823529411769</v>
      </c>
      <c r="I44" s="21">
        <f>D44*4*$I$4*$I$5</f>
        <v>180320</v>
      </c>
      <c r="J44" s="21">
        <f>D44*4*$J$4*$J$5</f>
        <v>57960</v>
      </c>
      <c r="K44" s="27">
        <f>D44*4*$K$4*$K$5</f>
        <v>216384</v>
      </c>
      <c r="L44" s="21">
        <f>F44*4*$L$4</f>
        <v>12600</v>
      </c>
      <c r="M44" s="22"/>
      <c r="N44" s="21"/>
      <c r="O44" s="27">
        <f>C44*$O$4</f>
        <v>483070.00000000006</v>
      </c>
      <c r="P44" s="40">
        <f>SUM(H44:O44)</f>
        <v>995792.82352941181</v>
      </c>
    </row>
    <row r="45" spans="2:16" x14ac:dyDescent="0.25">
      <c r="C45" s="29">
        <f>C44+C41+C38+C35</f>
        <v>178.51999999999998</v>
      </c>
      <c r="G45" s="31" t="s">
        <v>22</v>
      </c>
      <c r="H45" s="32">
        <f>H43+H40+H37+H34</f>
        <v>3.5482352941176472</v>
      </c>
      <c r="I45" s="32">
        <f t="shared" ref="I45:O46" si="2">I43+I40+I37+I34</f>
        <v>14.074666666666666</v>
      </c>
      <c r="J45" s="32">
        <f t="shared" si="2"/>
        <v>4.524</v>
      </c>
      <c r="K45" s="32">
        <f t="shared" si="2"/>
        <v>6.1823999999999995</v>
      </c>
      <c r="L45" s="32">
        <f t="shared" si="2"/>
        <v>0.91999999999999993</v>
      </c>
      <c r="M45" s="32">
        <f t="shared" si="2"/>
        <v>1.36</v>
      </c>
      <c r="N45" s="32">
        <f t="shared" si="2"/>
        <v>5.7939393939393939</v>
      </c>
      <c r="O45" s="33">
        <f t="shared" si="2"/>
        <v>35.703999999999994</v>
      </c>
      <c r="P45" s="34">
        <f>SUM(H45:O45)</f>
        <v>72.107241354723698</v>
      </c>
    </row>
    <row r="46" spans="2:16" ht="15.75" thickBot="1" x14ac:dyDescent="0.3">
      <c r="G46" s="35" t="s">
        <v>26</v>
      </c>
      <c r="H46" s="36">
        <f>H44+H41+H38+H35</f>
        <v>124188.23529411765</v>
      </c>
      <c r="I46" s="36">
        <f>I44+I41+I38+I35</f>
        <v>492613.33333333331</v>
      </c>
      <c r="J46" s="36">
        <f t="shared" si="2"/>
        <v>158340</v>
      </c>
      <c r="K46" s="36">
        <f t="shared" si="2"/>
        <v>216384</v>
      </c>
      <c r="L46" s="36">
        <f t="shared" si="2"/>
        <v>32200</v>
      </c>
      <c r="M46" s="36">
        <f t="shared" si="2"/>
        <v>47600</v>
      </c>
      <c r="N46" s="36">
        <f t="shared" si="2"/>
        <v>144848.48484848483</v>
      </c>
      <c r="O46" s="37">
        <f t="shared" si="2"/>
        <v>1249640</v>
      </c>
      <c r="P46" s="38">
        <f>SUM(H46:O46)</f>
        <v>2465814.0534759359</v>
      </c>
    </row>
    <row r="47" spans="2:16" ht="15.75" thickBot="1" x14ac:dyDescent="0.3"/>
    <row r="48" spans="2:16" ht="15.75" thickBot="1" x14ac:dyDescent="0.3">
      <c r="G48" s="41" t="s">
        <v>22</v>
      </c>
      <c r="H48" s="42">
        <f>H45+H31+H17</f>
        <v>16.781176470588235</v>
      </c>
      <c r="I48" s="42">
        <f t="shared" ref="I48:P49" si="3">I45+I31+I17</f>
        <v>66.565333333333328</v>
      </c>
      <c r="J48" s="42">
        <f t="shared" si="3"/>
        <v>21.396000000000001</v>
      </c>
      <c r="K48" s="42">
        <f t="shared" si="3"/>
        <v>21.123200000000001</v>
      </c>
      <c r="L48" s="42">
        <f t="shared" si="3"/>
        <v>5.7333333333333325</v>
      </c>
      <c r="M48" s="42">
        <f t="shared" si="3"/>
        <v>5.12</v>
      </c>
      <c r="N48" s="42">
        <f t="shared" si="3"/>
        <v>31.793939393939393</v>
      </c>
      <c r="O48" s="42">
        <f>O45+O31+O17</f>
        <v>162.80399999999997</v>
      </c>
      <c r="P48" s="43">
        <f>P45+P31+P17</f>
        <v>331.31698253119424</v>
      </c>
    </row>
    <row r="49" spans="7:16" ht="15.75" thickBot="1" x14ac:dyDescent="0.3">
      <c r="G49" s="41" t="s">
        <v>26</v>
      </c>
      <c r="H49" s="44">
        <f>H46+H32+H18</f>
        <v>587341.17647058819</v>
      </c>
      <c r="I49" s="44">
        <f t="shared" si="3"/>
        <v>2329786.6666666665</v>
      </c>
      <c r="J49" s="44">
        <f t="shared" si="3"/>
        <v>748860</v>
      </c>
      <c r="K49" s="44">
        <f t="shared" si="3"/>
        <v>739312</v>
      </c>
      <c r="L49" s="44">
        <f t="shared" si="3"/>
        <v>200666.66666666669</v>
      </c>
      <c r="M49" s="44">
        <f t="shared" si="3"/>
        <v>179200</v>
      </c>
      <c r="N49" s="44">
        <f t="shared" si="3"/>
        <v>794848.48484848486</v>
      </c>
      <c r="O49" s="44">
        <f t="shared" si="3"/>
        <v>5698140</v>
      </c>
      <c r="P49" s="43">
        <f t="shared" si="3"/>
        <v>11278154.994652405</v>
      </c>
    </row>
  </sheetData>
  <autoFilter ref="A1:A32"/>
  <mergeCells count="12">
    <mergeCell ref="B26:B27"/>
    <mergeCell ref="B29:B30"/>
    <mergeCell ref="B34:B35"/>
    <mergeCell ref="B37:B38"/>
    <mergeCell ref="B40:B41"/>
    <mergeCell ref="B43:B44"/>
    <mergeCell ref="B6:B7"/>
    <mergeCell ref="B9:B10"/>
    <mergeCell ref="B12:B13"/>
    <mergeCell ref="B15:B16"/>
    <mergeCell ref="B20:B21"/>
    <mergeCell ref="B23:B24"/>
  </mergeCells>
  <pageMargins left="0.16" right="0.16" top="0.22" bottom="0.16" header="0.22" footer="0.16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участок сборки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</dc:creator>
  <cp:lastModifiedBy>П</cp:lastModifiedBy>
  <dcterms:created xsi:type="dcterms:W3CDTF">2013-11-26T08:04:40Z</dcterms:created>
  <dcterms:modified xsi:type="dcterms:W3CDTF">2013-11-26T08:06:44Z</dcterms:modified>
</cp:coreProperties>
</file>