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9735"/>
  </bookViews>
  <sheets>
    <sheet name="Эффективность" sheetId="1" r:id="rId1"/>
  </sheets>
  <externalReferences>
    <externalReference r:id="rId2"/>
  </externalReferences>
  <definedNames>
    <definedName name="Z_F8F8C5F3_D71A_4887_B1AD_75C60ECDAB10_.wvu.Cols" localSheetId="0" hidden="1">Эффективность!$W:$BL</definedName>
    <definedName name="Z_FB6BCA17_853B_4499_A9CB_80FE1CB766F6_.wvu.Cols" localSheetId="0" hidden="1">Эффективность!$W:$BL</definedName>
  </definedNames>
  <calcPr calcId="144525" calcMode="manual"/>
  <customWorkbookViews>
    <customWorkbookView name="Ирина Ошмяна - Личное представление" guid="{FB6BCA17-853B-4499-A9CB-80FE1CB766F6}" mergeInterval="0" personalView="1" maximized="1" xWindow="-8" yWindow="-8" windowWidth="1382" windowHeight="744" activeSheetId="1"/>
    <customWorkbookView name="П - Личное представление" guid="{F8F8C5F3-D71A-4887-B1AD-75C60ECDAB10}" mergeInterval="0" personalView="1" maximized="1" xWindow="-8" yWindow="-8" windowWidth="1456" windowHeight="876" activeSheetId="1"/>
  </customWorkbookViews>
</workbook>
</file>

<file path=xl/calcChain.xml><?xml version="1.0" encoding="utf-8"?>
<calcChain xmlns="http://schemas.openxmlformats.org/spreadsheetml/2006/main">
  <c r="H21" i="1" l="1"/>
  <c r="H22" i="1" s="1"/>
  <c r="N18" i="1"/>
  <c r="E83" i="1" l="1"/>
  <c r="N97" i="1" l="1"/>
  <c r="L96" i="1"/>
  <c r="J96" i="1"/>
  <c r="H96" i="1"/>
  <c r="F96" i="1"/>
  <c r="D96" i="1"/>
  <c r="B96" i="1"/>
  <c r="M95" i="1"/>
  <c r="K95" i="1"/>
  <c r="I95" i="1"/>
  <c r="E95" i="1"/>
  <c r="C95" i="1"/>
  <c r="C94" i="1"/>
  <c r="C93" i="1"/>
  <c r="C92" i="1"/>
  <c r="C91" i="1"/>
  <c r="M90" i="1"/>
  <c r="K90" i="1"/>
  <c r="I90" i="1"/>
  <c r="G90" i="1"/>
  <c r="E90" i="1"/>
  <c r="C90" i="1"/>
  <c r="M89" i="1"/>
  <c r="K89" i="1"/>
  <c r="I89" i="1"/>
  <c r="G89" i="1"/>
  <c r="E89" i="1"/>
  <c r="C89" i="1"/>
  <c r="M88" i="1"/>
  <c r="K88" i="1"/>
  <c r="I88" i="1"/>
  <c r="G88" i="1"/>
  <c r="E88" i="1"/>
  <c r="C88" i="1"/>
  <c r="M87" i="1"/>
  <c r="K87" i="1"/>
  <c r="I87" i="1"/>
  <c r="G87" i="1"/>
  <c r="E87" i="1"/>
  <c r="C87" i="1"/>
  <c r="M86" i="1"/>
  <c r="K86" i="1"/>
  <c r="I86" i="1"/>
  <c r="E86" i="1"/>
  <c r="C86" i="1"/>
  <c r="M85" i="1"/>
  <c r="K85" i="1"/>
  <c r="I85" i="1"/>
  <c r="E85" i="1"/>
  <c r="C85" i="1"/>
  <c r="M84" i="1"/>
  <c r="K84" i="1"/>
  <c r="I84" i="1"/>
  <c r="G84" i="1"/>
  <c r="E84" i="1"/>
  <c r="C84" i="1"/>
  <c r="M83" i="1"/>
  <c r="K83" i="1"/>
  <c r="I83" i="1"/>
  <c r="C83" i="1"/>
  <c r="M82" i="1"/>
  <c r="M96" i="1"/>
  <c r="K82" i="1"/>
  <c r="K96" i="1"/>
  <c r="K98" i="1"/>
  <c r="I82" i="1"/>
  <c r="I96" i="1"/>
  <c r="I98" i="1"/>
  <c r="E82" i="1"/>
  <c r="E96" i="1"/>
  <c r="E98" i="1"/>
  <c r="C82" i="1"/>
  <c r="C96" i="1" s="1"/>
  <c r="C98" i="1" s="1"/>
  <c r="M98" i="1"/>
  <c r="N96" i="1"/>
  <c r="C3" i="1"/>
  <c r="E3" i="1"/>
  <c r="I3" i="1"/>
  <c r="K3" i="1"/>
  <c r="M3" i="1"/>
  <c r="C4" i="1"/>
  <c r="E4" i="1"/>
  <c r="I4" i="1"/>
  <c r="K4" i="1"/>
  <c r="M4" i="1"/>
  <c r="C5" i="1"/>
  <c r="E5" i="1"/>
  <c r="G5" i="1"/>
  <c r="I5" i="1"/>
  <c r="K5" i="1"/>
  <c r="M5" i="1"/>
  <c r="C6" i="1"/>
  <c r="E6" i="1"/>
  <c r="I6" i="1"/>
  <c r="K6" i="1"/>
  <c r="M6" i="1"/>
  <c r="C7" i="1"/>
  <c r="E7" i="1"/>
  <c r="I7" i="1"/>
  <c r="K7" i="1"/>
  <c r="M7" i="1"/>
  <c r="C8" i="1"/>
  <c r="E8" i="1"/>
  <c r="G8" i="1"/>
  <c r="I8" i="1"/>
  <c r="K8" i="1"/>
  <c r="M8" i="1"/>
  <c r="C9" i="1"/>
  <c r="E9" i="1"/>
  <c r="G9" i="1"/>
  <c r="I9" i="1"/>
  <c r="K9" i="1"/>
  <c r="M9" i="1"/>
  <c r="C10" i="1"/>
  <c r="E10" i="1"/>
  <c r="G10" i="1"/>
  <c r="I10" i="1"/>
  <c r="K10" i="1"/>
  <c r="M10" i="1"/>
  <c r="C11" i="1"/>
  <c r="E11" i="1"/>
  <c r="G11" i="1"/>
  <c r="I11" i="1"/>
  <c r="K11" i="1"/>
  <c r="M11" i="1"/>
  <c r="C12" i="1"/>
  <c r="C13" i="1"/>
  <c r="C14" i="1"/>
  <c r="C15" i="1"/>
  <c r="C16" i="1"/>
  <c r="E16" i="1"/>
  <c r="I16" i="1"/>
  <c r="K16" i="1"/>
  <c r="M16" i="1"/>
  <c r="B17" i="1"/>
  <c r="AK8" i="1"/>
  <c r="AK9" i="1"/>
  <c r="AK10" i="1"/>
  <c r="AI8" i="1"/>
  <c r="AI9" i="1"/>
  <c r="AI10" i="1"/>
  <c r="AI11" i="1"/>
  <c r="Y8" i="1"/>
  <c r="Y9" i="1"/>
  <c r="Y10" i="1"/>
  <c r="Y11" i="1"/>
  <c r="Z15" i="1"/>
  <c r="H17" i="1"/>
  <c r="F17" i="1"/>
  <c r="T34" i="1"/>
  <c r="S34" i="1"/>
  <c r="R34" i="1"/>
  <c r="D17" i="1"/>
  <c r="L17" i="1"/>
  <c r="AL85" i="1"/>
  <c r="AK85" i="1"/>
  <c r="AJ85" i="1"/>
  <c r="AI84" i="1"/>
  <c r="AI83" i="1"/>
  <c r="AI82" i="1"/>
  <c r="AI81" i="1"/>
  <c r="C72" i="1"/>
  <c r="BD68" i="1"/>
  <c r="C67" i="1"/>
  <c r="BD66" i="1"/>
  <c r="C66" i="1"/>
  <c r="BD65" i="1"/>
  <c r="C65" i="1"/>
  <c r="BD64" i="1"/>
  <c r="C64" i="1"/>
  <c r="BD63" i="1"/>
  <c r="C63" i="1"/>
  <c r="BD62" i="1"/>
  <c r="C62" i="1"/>
  <c r="J62" i="1"/>
  <c r="BD61" i="1"/>
  <c r="BK61" i="1"/>
  <c r="C61" i="1"/>
  <c r="J61" i="1"/>
  <c r="BD60" i="1"/>
  <c r="BK60" i="1"/>
  <c r="C60" i="1"/>
  <c r="J60" i="1"/>
  <c r="BD59" i="1"/>
  <c r="BK59" i="1"/>
  <c r="C59" i="1"/>
  <c r="J59" i="1"/>
  <c r="BD58" i="1"/>
  <c r="BK58" i="1"/>
  <c r="AZ15" i="1"/>
  <c r="AS15" i="1"/>
  <c r="AQ15" i="1"/>
  <c r="AJ15" i="1"/>
  <c r="AY13" i="1"/>
  <c r="AX13" i="1"/>
  <c r="AW13" i="1"/>
  <c r="AU13" i="1"/>
  <c r="AT13" i="1"/>
  <c r="AP13" i="1"/>
  <c r="AO13" i="1"/>
  <c r="AN13" i="1"/>
  <c r="AL13" i="1"/>
  <c r="AK13" i="1"/>
  <c r="AF13" i="1"/>
  <c r="AE13" i="1"/>
  <c r="AD13" i="1"/>
  <c r="AC13" i="1"/>
  <c r="AB13" i="1"/>
  <c r="AA13" i="1"/>
  <c r="AK12" i="1"/>
  <c r="AA12" i="1"/>
  <c r="AY11" i="1"/>
  <c r="AX11" i="1"/>
  <c r="AW11" i="1"/>
  <c r="AV11" i="1"/>
  <c r="AU11" i="1"/>
  <c r="AT11" i="1"/>
  <c r="AP11" i="1"/>
  <c r="AO11" i="1"/>
  <c r="AN11" i="1"/>
  <c r="AM11" i="1"/>
  <c r="AL11" i="1"/>
  <c r="AK11" i="1"/>
  <c r="AF11" i="1"/>
  <c r="AE11" i="1"/>
  <c r="AD11" i="1"/>
  <c r="AC11" i="1"/>
  <c r="AB11" i="1"/>
  <c r="AA11" i="1"/>
  <c r="AY10" i="1"/>
  <c r="AX10" i="1"/>
  <c r="AW10" i="1"/>
  <c r="AV10" i="1"/>
  <c r="AU10" i="1"/>
  <c r="AT10" i="1"/>
  <c r="AP10" i="1"/>
  <c r="AO10" i="1"/>
  <c r="AN10" i="1"/>
  <c r="AM10" i="1"/>
  <c r="AL10" i="1"/>
  <c r="AF10" i="1"/>
  <c r="AE10" i="1"/>
  <c r="AD10" i="1"/>
  <c r="AC10" i="1"/>
  <c r="AB10" i="1"/>
  <c r="AA10" i="1"/>
  <c r="AY9" i="1"/>
  <c r="AX9" i="1"/>
  <c r="AW9" i="1"/>
  <c r="AV9" i="1"/>
  <c r="AU9" i="1"/>
  <c r="AT9" i="1"/>
  <c r="AP9" i="1"/>
  <c r="AO9" i="1"/>
  <c r="AN9" i="1"/>
  <c r="AM9" i="1"/>
  <c r="AL9" i="1"/>
  <c r="AF9" i="1"/>
  <c r="AE9" i="1"/>
  <c r="AD9" i="1"/>
  <c r="AC9" i="1"/>
  <c r="AB9" i="1"/>
  <c r="AA9" i="1"/>
  <c r="AY8" i="1"/>
  <c r="AX8" i="1"/>
  <c r="AW8" i="1"/>
  <c r="AV8" i="1"/>
  <c r="AU8" i="1"/>
  <c r="AT8" i="1"/>
  <c r="AP8" i="1"/>
  <c r="AO8" i="1"/>
  <c r="AN8" i="1"/>
  <c r="AM8" i="1"/>
  <c r="AL8" i="1"/>
  <c r="AF8" i="1"/>
  <c r="AE8" i="1"/>
  <c r="AD8" i="1"/>
  <c r="AC8" i="1"/>
  <c r="AB8" i="1"/>
  <c r="AA8" i="1"/>
  <c r="AY7" i="1"/>
  <c r="AX7" i="1"/>
  <c r="AW7" i="1"/>
  <c r="AU7" i="1"/>
  <c r="AT7" i="1"/>
  <c r="AP7" i="1"/>
  <c r="AO7" i="1"/>
  <c r="AN7" i="1"/>
  <c r="AL7" i="1"/>
  <c r="AK7" i="1"/>
  <c r="AF7" i="1"/>
  <c r="AE7" i="1"/>
  <c r="AD7" i="1"/>
  <c r="AB7" i="1"/>
  <c r="AA7" i="1"/>
  <c r="AY6" i="1"/>
  <c r="AX6" i="1"/>
  <c r="AW6" i="1"/>
  <c r="AU6" i="1"/>
  <c r="AT6" i="1"/>
  <c r="AP6" i="1"/>
  <c r="AO6" i="1"/>
  <c r="AN6" i="1"/>
  <c r="AL6" i="1"/>
  <c r="AK6" i="1"/>
  <c r="AF6" i="1"/>
  <c r="AE6" i="1"/>
  <c r="AD6" i="1"/>
  <c r="AB6" i="1"/>
  <c r="AA6" i="1"/>
  <c r="AY5" i="1"/>
  <c r="AW5" i="1"/>
  <c r="AX5" i="1"/>
  <c r="AV5" i="1"/>
  <c r="AU5" i="1"/>
  <c r="AT5" i="1"/>
  <c r="AP5" i="1"/>
  <c r="AN5" i="1"/>
  <c r="AO5" i="1"/>
  <c r="AM5" i="1"/>
  <c r="AL5" i="1"/>
  <c r="AK5" i="1"/>
  <c r="AF5" i="1"/>
  <c r="AD5" i="1"/>
  <c r="AE5" i="1"/>
  <c r="AC5" i="1"/>
  <c r="AB5" i="1"/>
  <c r="AA5" i="1"/>
  <c r="E17" i="1"/>
  <c r="AX4" i="1"/>
  <c r="AY4" i="1"/>
  <c r="AW4" i="1"/>
  <c r="AU4" i="1"/>
  <c r="AT4" i="1"/>
  <c r="AO4" i="1"/>
  <c r="AP4" i="1"/>
  <c r="AN4" i="1"/>
  <c r="AL4" i="1"/>
  <c r="AK4" i="1"/>
  <c r="AE4" i="1"/>
  <c r="AF4" i="1"/>
  <c r="AD4" i="1"/>
  <c r="AB4" i="1"/>
  <c r="AA4" i="1"/>
  <c r="AY3" i="1"/>
  <c r="AY14" i="1"/>
  <c r="AY16" i="1"/>
  <c r="AX3" i="1"/>
  <c r="AX14" i="1"/>
  <c r="AX16" i="1"/>
  <c r="AW3" i="1"/>
  <c r="AW14" i="1"/>
  <c r="AW16" i="1"/>
  <c r="AU3" i="1"/>
  <c r="AU14" i="1"/>
  <c r="AU16" i="1"/>
  <c r="AT3" i="1"/>
  <c r="AT14" i="1"/>
  <c r="AP3" i="1"/>
  <c r="AP14" i="1"/>
  <c r="AP16" i="1"/>
  <c r="AO3" i="1"/>
  <c r="AO14" i="1"/>
  <c r="AO16" i="1"/>
  <c r="AN3" i="1"/>
  <c r="AN14" i="1"/>
  <c r="AN16" i="1"/>
  <c r="AL3" i="1"/>
  <c r="AL14" i="1"/>
  <c r="AL16" i="1"/>
  <c r="AK3" i="1"/>
  <c r="AK14" i="1"/>
  <c r="AF3" i="1"/>
  <c r="AE3" i="1"/>
  <c r="AE14" i="1"/>
  <c r="AE16" i="1"/>
  <c r="AD3" i="1"/>
  <c r="AB3" i="1"/>
  <c r="AB14" i="1"/>
  <c r="AB16" i="1"/>
  <c r="AA3" i="1"/>
  <c r="J17" i="1"/>
  <c r="AA14" i="1"/>
  <c r="AD14" i="1"/>
  <c r="AD16" i="1"/>
  <c r="AF14" i="1"/>
  <c r="AF16" i="1"/>
  <c r="I17" i="1"/>
  <c r="I19" i="1"/>
  <c r="M17" i="1"/>
  <c r="M19" i="1"/>
  <c r="E19" i="1"/>
  <c r="BK63" i="1"/>
  <c r="J64" i="1"/>
  <c r="BK64" i="1"/>
  <c r="J65" i="1"/>
  <c r="BK65" i="1"/>
  <c r="J66" i="1"/>
  <c r="BK66" i="1"/>
  <c r="J67" i="1"/>
  <c r="BK68" i="1"/>
  <c r="J72" i="1"/>
  <c r="AA16" i="1"/>
  <c r="AK16" i="1"/>
  <c r="AQ14" i="1"/>
  <c r="AJ14" i="1"/>
  <c r="AT16" i="1"/>
  <c r="AZ14" i="1"/>
  <c r="AS14" i="1"/>
  <c r="C17" i="1"/>
  <c r="C19" i="1"/>
  <c r="K17" i="1"/>
  <c r="K19" i="1"/>
  <c r="AS17" i="1"/>
  <c r="AS18" i="1"/>
  <c r="AJ17" i="1"/>
  <c r="AJ18" i="1"/>
  <c r="Z17" i="1"/>
  <c r="Z18" i="1"/>
  <c r="AJ20" i="1"/>
  <c r="AK20" i="1"/>
  <c r="AK27" i="1"/>
  <c r="Z14" i="1"/>
  <c r="N17" i="1"/>
  <c r="AD20" i="1"/>
  <c r="AE20" i="1"/>
  <c r="AK28" i="1"/>
  <c r="AK22" i="1"/>
  <c r="AK24" i="1"/>
  <c r="AK26" i="1"/>
  <c r="AK21" i="1"/>
  <c r="AK23" i="1"/>
  <c r="AK25" i="1"/>
  <c r="Z20" i="1"/>
  <c r="AA20" i="1"/>
  <c r="AA28" i="1"/>
  <c r="AE28" i="1"/>
  <c r="AE27" i="1"/>
  <c r="AE26" i="1"/>
  <c r="AE25" i="1"/>
  <c r="AE24" i="1"/>
  <c r="AE23" i="1"/>
  <c r="AE22" i="1"/>
  <c r="AE21" i="1"/>
  <c r="AA27" i="1"/>
  <c r="AA25" i="1"/>
  <c r="AA23" i="1"/>
  <c r="AA21" i="1"/>
  <c r="AA22" i="1"/>
  <c r="AA24" i="1"/>
  <c r="AA26" i="1"/>
  <c r="L99" i="1" l="1"/>
  <c r="H99" i="1"/>
  <c r="H100" i="1" s="1"/>
  <c r="H101" i="1" s="1"/>
  <c r="H20" i="1"/>
  <c r="I22" i="1" s="1"/>
  <c r="L20" i="1"/>
  <c r="I101" i="1"/>
</calcChain>
</file>

<file path=xl/sharedStrings.xml><?xml version="1.0" encoding="utf-8"?>
<sst xmlns="http://schemas.openxmlformats.org/spreadsheetml/2006/main" count="218" uniqueCount="42">
  <si>
    <t>Август</t>
  </si>
  <si>
    <t>Июль</t>
  </si>
  <si>
    <t>Июнь</t>
  </si>
  <si>
    <t>Зачистка и обезжирка, м. кв.</t>
  </si>
  <si>
    <t>Грунт В ,м. кв.</t>
  </si>
  <si>
    <t>Грунт Н ,м. кв.</t>
  </si>
  <si>
    <t>Патина, м. кв.</t>
  </si>
  <si>
    <t>Лак, м. кв.</t>
  </si>
  <si>
    <t>м. кв.</t>
  </si>
  <si>
    <t>Зачистка и обезжирка</t>
  </si>
  <si>
    <t>Грунт</t>
  </si>
  <si>
    <t>Патина</t>
  </si>
  <si>
    <t>Протирка</t>
  </si>
  <si>
    <t>Лак</t>
  </si>
  <si>
    <t>Женева-луара</t>
  </si>
  <si>
    <t>Женева слива+орех</t>
  </si>
  <si>
    <t>Турин-1</t>
  </si>
  <si>
    <t>Турин-3 молочн</t>
  </si>
  <si>
    <t>Турин-3 темный</t>
  </si>
  <si>
    <t>София золото</t>
  </si>
  <si>
    <t>София золото+вишня</t>
  </si>
  <si>
    <t>София вишня</t>
  </si>
  <si>
    <t>Канзас</t>
  </si>
  <si>
    <t>София светлая</t>
  </si>
  <si>
    <t xml:space="preserve"> -на Balestrini  канзас</t>
  </si>
  <si>
    <t xml:space="preserve"> -на Balestrini</t>
  </si>
  <si>
    <t xml:space="preserve"> -на Balestrini София вишня</t>
  </si>
  <si>
    <t>Гнутые,шт</t>
  </si>
  <si>
    <t>Гнутые, шт</t>
  </si>
  <si>
    <t xml:space="preserve"> -на Balestrini София золото</t>
  </si>
  <si>
    <t>∑ план. вр.</t>
  </si>
  <si>
    <t xml:space="preserve"> -на Balestrini София светл</t>
  </si>
  <si>
    <t>FA 2</t>
  </si>
  <si>
    <t>план/FA2</t>
  </si>
  <si>
    <t>Условный фасад</t>
  </si>
  <si>
    <t>Эффективность (усл. фасад/время факт)</t>
  </si>
  <si>
    <t xml:space="preserve"> </t>
  </si>
  <si>
    <t>Гнутые</t>
  </si>
  <si>
    <t xml:space="preserve">Август </t>
  </si>
  <si>
    <r>
      <rPr>
        <b/>
        <i/>
        <sz val="14"/>
        <color indexed="8"/>
        <rFont val="Calibri"/>
        <family val="2"/>
        <charset val="204"/>
      </rPr>
      <t>t</t>
    </r>
    <r>
      <rPr>
        <b/>
        <i/>
        <sz val="11"/>
        <color indexed="8"/>
        <rFont val="Calibri"/>
        <family val="2"/>
        <charset val="204"/>
      </rPr>
      <t>план</t>
    </r>
  </si>
  <si>
    <t>ЯНВАРЬ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</si>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</sst>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3" fillId="0" borderId="3" xfId="0" applyFont="1" applyBorder="1"/>
    <xf numFmtId="1" fontId="3" fillId="0" borderId="4" xfId="0" applyNumberFormat="1" applyFon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4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Fill="1"/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3" fillId="0" borderId="0" xfId="0" applyFont="1" applyFill="1"/>
    <xf numFmtId="1" fontId="3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2" fontId="0" fillId="0" borderId="0" xfId="0" applyNumberFormat="1"/>
    <xf numFmtId="0" fontId="3" fillId="3" borderId="0" xfId="0" applyFont="1" applyFill="1"/>
    <xf numFmtId="2" fontId="3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0" fontId="3" fillId="0" borderId="1" xfId="0" applyFont="1" applyBorder="1" applyAlignment="1">
      <alignment horizontal="center" vertical="justify"/>
    </xf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justify" wrapText="1"/>
    </xf>
    <xf numFmtId="0" fontId="0" fillId="0" borderId="1" xfId="0" applyFont="1" applyBorder="1" applyAlignment="1">
      <alignment vertical="justify" wrapText="1"/>
    </xf>
    <xf numFmtId="164" fontId="9" fillId="0" borderId="1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justify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3" fillId="0" borderId="3" xfId="0" applyFont="1" applyBorder="1"/>
    <xf numFmtId="1" fontId="3" fillId="0" borderId="4" xfId="0" applyNumberFormat="1" applyFont="1" applyBorder="1"/>
    <xf numFmtId="0" fontId="0" fillId="0" borderId="5" xfId="0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4" fillId="0" borderId="0" xfId="0" applyFont="1"/>
    <xf numFmtId="2" fontId="3" fillId="0" borderId="0" xfId="0" applyNumberFormat="1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164" fontId="6" fillId="0" borderId="1" xfId="0" applyNumberFormat="1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Патина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Август</a:t>
            </a:r>
          </a:p>
        </c:rich>
      </c:tx>
      <c:layout>
        <c:manualLayout>
          <c:xMode val="edge"/>
          <c:yMode val="edge"/>
          <c:x val="1.1413259535026759E-2"/>
          <c:y val="3.5180308777847153E-3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384007438400741E-3"/>
          <c:y val="1.9227285293467497E-2"/>
          <c:w val="0.95772835926889877"/>
          <c:h val="0.980477144710737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val>
            <c:numRef>
              <c:f>[1]Лист1!$AB$76:$AB$85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330.22230000000002</c:v>
                </c:pt>
                <c:pt idx="6">
                  <c:v>160.21370000000002</c:v>
                </c:pt>
                <c:pt idx="7">
                  <c:v>351.03029999999995</c:v>
                </c:pt>
                <c:pt idx="8">
                  <c:v>211.1498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EA69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AC5DED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FFFFC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89F39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rgbClr val="FC9CF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val>
            <c:numRef>
              <c:f>[1]Лист1!$AC$76:$AC$85</c:f>
              <c:numCache>
                <c:formatCode>General</c:formatCode>
                <c:ptCount val="10"/>
                <c:pt idx="0">
                  <c:v>68.441999999999993</c:v>
                </c:pt>
                <c:pt idx="1">
                  <c:v>368.35199999999998</c:v>
                </c:pt>
                <c:pt idx="2">
                  <c:v>484.61200000000002</c:v>
                </c:pt>
                <c:pt idx="3">
                  <c:v>834.57</c:v>
                </c:pt>
                <c:pt idx="4">
                  <c:v>942.82100000000003</c:v>
                </c:pt>
                <c:pt idx="5">
                  <c:v>550.12599999999998</c:v>
                </c:pt>
                <c:pt idx="6">
                  <c:v>266.976</c:v>
                </c:pt>
                <c:pt idx="7">
                  <c:v>584.95399999999995</c:v>
                </c:pt>
                <c:pt idx="8">
                  <c:v>351.49</c:v>
                </c:pt>
                <c:pt idx="9">
                  <c:v>266.8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59097128277462E-2"/>
          <c:y val="0.13155781415470252"/>
          <c:w val="0.91367766253887872"/>
          <c:h val="0.53558194311997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[1]Лист1!$AB$75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[1]Лист1!$AB$76:$AB$85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330.22230000000002</c:v>
                </c:pt>
                <c:pt idx="6">
                  <c:v>160.21370000000002</c:v>
                </c:pt>
                <c:pt idx="7">
                  <c:v>351.03029999999995</c:v>
                </c:pt>
                <c:pt idx="8">
                  <c:v>211.1498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[1]Лист1!$AC$75</c:f>
              <c:strCache>
                <c:ptCount val="1"/>
                <c:pt idx="0">
                  <c:v>Август 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[1]Лист1!$AC$76:$AC$85</c:f>
              <c:numCache>
                <c:formatCode>General</c:formatCode>
                <c:ptCount val="10"/>
                <c:pt idx="0">
                  <c:v>68.441999999999993</c:v>
                </c:pt>
                <c:pt idx="1">
                  <c:v>368.35199999999998</c:v>
                </c:pt>
                <c:pt idx="2">
                  <c:v>484.61200000000002</c:v>
                </c:pt>
                <c:pt idx="3">
                  <c:v>834.57</c:v>
                </c:pt>
                <c:pt idx="4">
                  <c:v>942.82100000000003</c:v>
                </c:pt>
                <c:pt idx="5">
                  <c:v>550.12599999999998</c:v>
                </c:pt>
                <c:pt idx="6">
                  <c:v>266.976</c:v>
                </c:pt>
                <c:pt idx="7">
                  <c:v>584.95399999999995</c:v>
                </c:pt>
                <c:pt idx="8">
                  <c:v>351.49</c:v>
                </c:pt>
                <c:pt idx="9">
                  <c:v>266.8</c:v>
                </c:pt>
              </c:numCache>
            </c:numRef>
          </c:val>
        </c:ser>
        <c:ser>
          <c:idx val="2"/>
          <c:order val="2"/>
          <c:tx>
            <c:strRef>
              <c:f>[1]Лист1!$AD$75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[1]Лист1!$AD$76:$AD$85</c:f>
              <c:numCache>
                <c:formatCode>General</c:formatCode>
                <c:ptCount val="10"/>
                <c:pt idx="0">
                  <c:v>159</c:v>
                </c:pt>
                <c:pt idx="1">
                  <c:v>229</c:v>
                </c:pt>
                <c:pt idx="2">
                  <c:v>471</c:v>
                </c:pt>
                <c:pt idx="3">
                  <c:v>592.43600000000004</c:v>
                </c:pt>
                <c:pt idx="4">
                  <c:v>723.66399999999999</c:v>
                </c:pt>
                <c:pt idx="5">
                  <c:v>627.11800000000005</c:v>
                </c:pt>
                <c:pt idx="6">
                  <c:v>397.44099999999997</c:v>
                </c:pt>
                <c:pt idx="7">
                  <c:v>376</c:v>
                </c:pt>
                <c:pt idx="8">
                  <c:v>197</c:v>
                </c:pt>
                <c:pt idx="9">
                  <c:v>181.60000000000002</c:v>
                </c:pt>
              </c:numCache>
            </c:numRef>
          </c:val>
        </c:ser>
        <c:ser>
          <c:idx val="3"/>
          <c:order val="3"/>
          <c:tx>
            <c:strRef>
              <c:f>[1]Лист1!$AE$75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[1]Лист1!$AE$76:$AE$85</c:f>
              <c:numCache>
                <c:formatCode>General</c:formatCode>
                <c:ptCount val="10"/>
                <c:pt idx="0">
                  <c:v>138</c:v>
                </c:pt>
                <c:pt idx="1">
                  <c:v>104</c:v>
                </c:pt>
                <c:pt idx="2">
                  <c:v>388</c:v>
                </c:pt>
                <c:pt idx="3">
                  <c:v>503.44299999999998</c:v>
                </c:pt>
                <c:pt idx="4">
                  <c:v>983.58900000000006</c:v>
                </c:pt>
                <c:pt idx="5">
                  <c:v>492.37</c:v>
                </c:pt>
                <c:pt idx="6">
                  <c:v>400.702</c:v>
                </c:pt>
                <c:pt idx="7">
                  <c:v>416</c:v>
                </c:pt>
                <c:pt idx="8">
                  <c:v>196</c:v>
                </c:pt>
                <c:pt idx="9">
                  <c:v>185.20000000000002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578432"/>
        <c:axId val="210592512"/>
      </c:barChart>
      <c:catAx>
        <c:axId val="2105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effectLst>
                  <a:reflection stA="45000" endPos="16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92512"/>
        <c:crosses val="autoZero"/>
        <c:auto val="1"/>
        <c:lblAlgn val="ctr"/>
        <c:lblOffset val="200"/>
        <c:noMultiLvlLbl val="0"/>
      </c:catAx>
      <c:valAx>
        <c:axId val="2105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7843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Эффективность!$A$24</c:f>
              <c:strCache>
                <c:ptCount val="1"/>
                <c:pt idx="0">
                  <c:v>Эффективность (усл. фасад/время 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407867494824044E-2"/>
                  <c:y val="-8.732155541322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932367149758454E-2"/>
                  <c:y val="8.0604512689128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126293995859313E-2"/>
                  <c:y val="8.0604512689128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689440993788921E-2"/>
                  <c:y val="-8.0604512689128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Эффективность!$B$23:$I$23</c:f>
              <c:numCache>
                <c:formatCode>mmm\-yy</c:formatCode>
                <c:ptCount val="8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</c:numCache>
            </c:numRef>
          </c:cat>
          <c:val>
            <c:numRef>
              <c:f>Эффективность!$B$24:$I$24</c:f>
              <c:numCache>
                <c:formatCode>General</c:formatCode>
                <c:ptCount val="8"/>
                <c:pt idx="0">
                  <c:v>1.8</c:v>
                </c:pt>
                <c:pt idx="1">
                  <c:v>1.65</c:v>
                </c:pt>
                <c:pt idx="2">
                  <c:v>1.82</c:v>
                </c:pt>
                <c:pt idx="3">
                  <c:v>1.86</c:v>
                </c:pt>
                <c:pt idx="4">
                  <c:v>1.84</c:v>
                </c:pt>
                <c:pt idx="5">
                  <c:v>1.89</c:v>
                </c:pt>
                <c:pt idx="6">
                  <c:v>1.78</c:v>
                </c:pt>
                <c:pt idx="7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024"/>
        <c:axId val="210274560"/>
      </c:lineChart>
      <c:dateAx>
        <c:axId val="21027302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74560"/>
        <c:crosses val="autoZero"/>
        <c:auto val="1"/>
        <c:lblOffset val="100"/>
        <c:baseTimeUnit val="months"/>
      </c:dateAx>
      <c:valAx>
        <c:axId val="2102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7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Структура</a:t>
            </a:r>
          </a:p>
        </c:rich>
      </c:tx>
      <c:layout>
        <c:manualLayout>
          <c:xMode val="edge"/>
          <c:yMode val="edge"/>
          <c:x val="1.8936310497419707E-2"/>
          <c:y val="1.957901741155595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0996561873596439"/>
          <c:w val="0.87781184431592074"/>
          <c:h val="0.8900343812640357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FFCC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FFFFCC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6666FF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FFCC0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rgbClr val="FF505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rgbClr val="FFFF99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rgbClr val="CCFF66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rgbClr val="AC5DED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4.3505648750427936E-2"/>
                  <c:y val="5.2714050229016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1487478920207438"/>
                  <c:y val="0.12092083963402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341841327805039E-2"/>
                  <c:y val="6.74699565896486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1482648002333054"/>
                  <c:y val="2.3390295722282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271511433998927"/>
                  <c:y val="-0.2908148367862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2898870376009625"/>
                  <c:y val="-0.28547206933264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7.6119545830251878E-2"/>
                  <c:y val="-0.20854090463832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1770986499615725"/>
                  <c:y val="6.53169354443349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8.2175181000925607E-2"/>
                  <c:y val="1.99563823404155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6.2207640711577659E-2"/>
                  <c:y val="9.13723037338588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Эффективность!$A$3:$A$16</c:f>
              <c:strCache>
                <c:ptCount val="14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 -на Balestrini  канзас</c:v>
                </c:pt>
                <c:pt idx="10">
                  <c:v> -на Balestrini София вишня</c:v>
                </c:pt>
                <c:pt idx="11">
                  <c:v> -на Balestrini София золото</c:v>
                </c:pt>
                <c:pt idx="12">
                  <c:v> -на Balestrini София светл</c:v>
                </c:pt>
                <c:pt idx="13">
                  <c:v>Гнутые,шт</c:v>
                </c:pt>
              </c:strCache>
            </c:strRef>
          </c:cat>
          <c:val>
            <c:numRef>
              <c:f>Эффективность!$L$3:$L$16</c:f>
              <c:numCache>
                <c:formatCode>0.0</c:formatCode>
                <c:ptCount val="14"/>
                <c:pt idx="0">
                  <c:v>234.78649999999999</c:v>
                </c:pt>
                <c:pt idx="1">
                  <c:v>289.1635</c:v>
                </c:pt>
                <c:pt idx="2">
                  <c:v>240.68600000000001</c:v>
                </c:pt>
                <c:pt idx="3">
                  <c:v>540.90250000000003</c:v>
                </c:pt>
                <c:pt idx="4">
                  <c:v>744.12600000000009</c:v>
                </c:pt>
                <c:pt idx="5">
                  <c:v>601.54099999999994</c:v>
                </c:pt>
                <c:pt idx="6">
                  <c:v>297.00650000000002</c:v>
                </c:pt>
                <c:pt idx="7">
                  <c:v>449.43102999999996</c:v>
                </c:pt>
                <c:pt idx="8">
                  <c:v>171.73000000000002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2001546908085765"/>
          <c:y val="1.6414624228309489E-2"/>
          <c:w val="0.16893478894848291"/>
          <c:h val="0.970146464086355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23345765989777E-2"/>
          <c:y val="4.3426313738258754E-2"/>
          <c:w val="0.93445260395082197"/>
          <c:h val="0.7790549710697927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Эффективность!$P$24</c:f>
              <c:strCache>
                <c:ptCount val="1"/>
                <c:pt idx="0">
                  <c:v>окт.13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Эффективность!$P$25:$P$34</c:f>
              <c:numCache>
                <c:formatCode>0</c:formatCode>
                <c:ptCount val="10"/>
                <c:pt idx="0">
                  <c:v>154.16300000000001</c:v>
                </c:pt>
                <c:pt idx="1">
                  <c:v>311.322</c:v>
                </c:pt>
                <c:pt idx="2">
                  <c:v>351.66899999999998</c:v>
                </c:pt>
                <c:pt idx="3">
                  <c:v>469.00599999999997</c:v>
                </c:pt>
                <c:pt idx="4">
                  <c:v>990.49199999999996</c:v>
                </c:pt>
                <c:pt idx="5">
                  <c:v>1053.0930000000001</c:v>
                </c:pt>
                <c:pt idx="6">
                  <c:v>199.79900000000001</c:v>
                </c:pt>
                <c:pt idx="7">
                  <c:v>774.33699999999999</c:v>
                </c:pt>
                <c:pt idx="8">
                  <c:v>235.82900000000001</c:v>
                </c:pt>
                <c:pt idx="9">
                  <c:v>606</c:v>
                </c:pt>
              </c:numCache>
            </c:numRef>
          </c:val>
        </c:ser>
        <c:ser>
          <c:idx val="0"/>
          <c:order val="1"/>
          <c:tx>
            <c:strRef>
              <c:f>Эффективность!$O$24</c:f>
              <c:strCache>
                <c:ptCount val="1"/>
                <c:pt idx="0">
                  <c:v>ноя.13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Эффективность!$O$25:$O$34</c:f>
              <c:numCache>
                <c:formatCode>0</c:formatCode>
                <c:ptCount val="10"/>
                <c:pt idx="0">
                  <c:v>116.67700000000001</c:v>
                </c:pt>
                <c:pt idx="1">
                  <c:v>344.80599999999998</c:v>
                </c:pt>
                <c:pt idx="2">
                  <c:v>301.03699999999998</c:v>
                </c:pt>
                <c:pt idx="3">
                  <c:v>538.12800000000004</c:v>
                </c:pt>
                <c:pt idx="4">
                  <c:v>721.92200000000003</c:v>
                </c:pt>
                <c:pt idx="5">
                  <c:v>939.06600000000003</c:v>
                </c:pt>
                <c:pt idx="6">
                  <c:v>198.14400000000001</c:v>
                </c:pt>
                <c:pt idx="7">
                  <c:v>597.93200000000002</c:v>
                </c:pt>
                <c:pt idx="8">
                  <c:v>285.16300000000001</c:v>
                </c:pt>
                <c:pt idx="9">
                  <c:v>687</c:v>
                </c:pt>
              </c:numCache>
            </c:numRef>
          </c:val>
        </c:ser>
        <c:ser>
          <c:idx val="1"/>
          <c:order val="2"/>
          <c:tx>
            <c:strRef>
              <c:f>Эффективность!$N$24</c:f>
              <c:strCache>
                <c:ptCount val="1"/>
                <c:pt idx="0">
                  <c:v>дек.13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Эффективность!$N$25:$N$34</c:f>
              <c:numCache>
                <c:formatCode>0</c:formatCode>
                <c:ptCount val="10"/>
                <c:pt idx="0">
                  <c:v>201.29900000000001</c:v>
                </c:pt>
                <c:pt idx="1">
                  <c:v>194.74299999999999</c:v>
                </c:pt>
                <c:pt idx="2">
                  <c:v>406.709</c:v>
                </c:pt>
                <c:pt idx="3">
                  <c:v>479.47500000000002</c:v>
                </c:pt>
                <c:pt idx="4">
                  <c:v>596.08199999999999</c:v>
                </c:pt>
                <c:pt idx="5">
                  <c:v>546.452</c:v>
                </c:pt>
                <c:pt idx="6">
                  <c:v>518.52800000000002</c:v>
                </c:pt>
                <c:pt idx="7">
                  <c:v>388.43700000000001</c:v>
                </c:pt>
                <c:pt idx="8">
                  <c:v>256.065</c:v>
                </c:pt>
                <c:pt idx="9">
                  <c:v>515</c:v>
                </c:pt>
              </c:numCache>
            </c:numRef>
          </c:val>
        </c:ser>
        <c:ser>
          <c:idx val="5"/>
          <c:order val="3"/>
          <c:tx>
            <c:strRef>
              <c:f>Эффективность!$M$24</c:f>
              <c:strCache>
                <c:ptCount val="1"/>
                <c:pt idx="0">
                  <c:v>янв.14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Эффективность!$M$25:$M$34</c:f>
              <c:numCache>
                <c:formatCode>0</c:formatCode>
                <c:ptCount val="10"/>
                <c:pt idx="0">
                  <c:v>188.983</c:v>
                </c:pt>
                <c:pt idx="1">
                  <c:v>269.41399999999999</c:v>
                </c:pt>
                <c:pt idx="2">
                  <c:v>264.08000000000004</c:v>
                </c:pt>
                <c:pt idx="3">
                  <c:v>460.11299999999994</c:v>
                </c:pt>
                <c:pt idx="4">
                  <c:v>680.24099999999999</c:v>
                </c:pt>
                <c:pt idx="5">
                  <c:v>588.07199999999989</c:v>
                </c:pt>
                <c:pt idx="6">
                  <c:v>288.44400000000002</c:v>
                </c:pt>
                <c:pt idx="7">
                  <c:v>566.06700000000001</c:v>
                </c:pt>
                <c:pt idx="8">
                  <c:v>182.27199999999999</c:v>
                </c:pt>
                <c:pt idx="9">
                  <c:v>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10630912"/>
        <c:axId val="210653184"/>
      </c:barChart>
      <c:catAx>
        <c:axId val="210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3184"/>
        <c:crosses val="autoZero"/>
        <c:auto val="1"/>
        <c:lblAlgn val="ctr"/>
        <c:lblOffset val="100"/>
        <c:noMultiLvlLbl val="0"/>
      </c:catAx>
      <c:valAx>
        <c:axId val="210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30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20687940323249"/>
          <c:y val="0.93000433769308244"/>
          <c:w val="0.23308832711700511"/>
          <c:h val="6.302565120536403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54</xdr:row>
      <xdr:rowOff>95250</xdr:rowOff>
    </xdr:from>
    <xdr:to>
      <xdr:col>32</xdr:col>
      <xdr:colOff>400050</xdr:colOff>
      <xdr:row>72</xdr:row>
      <xdr:rowOff>85725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72</xdr:row>
      <xdr:rowOff>161925</xdr:rowOff>
    </xdr:from>
    <xdr:to>
      <xdr:col>32</xdr:col>
      <xdr:colOff>409575</xdr:colOff>
      <xdr:row>92</xdr:row>
      <xdr:rowOff>66675</xdr:rowOff>
    </xdr:to>
    <xdr:graphicFrame macro="">
      <xdr:nvGraphicFramePr>
        <xdr:cNvPr id="102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24</xdr:row>
      <xdr:rowOff>57150</xdr:rowOff>
    </xdr:from>
    <xdr:to>
      <xdr:col>9</xdr:col>
      <xdr:colOff>238125</xdr:colOff>
      <xdr:row>35</xdr:row>
      <xdr:rowOff>114300</xdr:rowOff>
    </xdr:to>
    <xdr:graphicFrame macro="">
      <xdr:nvGraphicFramePr>
        <xdr:cNvPr id="102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38101</xdr:rowOff>
    </xdr:from>
    <xdr:to>
      <xdr:col>10</xdr:col>
      <xdr:colOff>419100</xdr:colOff>
      <xdr:row>53</xdr:row>
      <xdr:rowOff>95251</xdr:rowOff>
    </xdr:to>
    <xdr:graphicFrame macro="">
      <xdr:nvGraphicFramePr>
        <xdr:cNvPr id="1028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36</xdr:row>
      <xdr:rowOff>38100</xdr:rowOff>
    </xdr:from>
    <xdr:to>
      <xdr:col>67</xdr:col>
      <xdr:colOff>0</xdr:colOff>
      <xdr:row>54</xdr:row>
      <xdr:rowOff>9525</xdr:rowOff>
    </xdr:to>
    <xdr:graphicFrame macro="">
      <xdr:nvGraphicFramePr>
        <xdr:cNvPr id="1029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&#1052;&#1072;&#1088;&#1094;&#1091;&#1083;&#1077;&#1074;&#1080;&#1095;%20&#1045;&#1082;&#1072;&#1090;&#1077;&#1088;&#1080;&#1085;&#1072;/jgh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75">
          <cell r="AC75" t="str">
            <v xml:space="preserve">Август </v>
          </cell>
          <cell r="AD75" t="str">
            <v>Июль</v>
          </cell>
          <cell r="AE75" t="str">
            <v>Июнь</v>
          </cell>
        </row>
        <row r="76">
          <cell r="AB76">
            <v>0</v>
          </cell>
          <cell r="AC76">
            <v>68.441999999999993</v>
          </cell>
          <cell r="AD76">
            <v>159</v>
          </cell>
          <cell r="AE76">
            <v>138</v>
          </cell>
        </row>
        <row r="77">
          <cell r="AB77">
            <v>0</v>
          </cell>
          <cell r="AC77">
            <v>368.35199999999998</v>
          </cell>
          <cell r="AD77">
            <v>229</v>
          </cell>
          <cell r="AE77">
            <v>104</v>
          </cell>
        </row>
        <row r="78">
          <cell r="AB78">
            <v>0</v>
          </cell>
          <cell r="AC78">
            <v>484.61200000000002</v>
          </cell>
          <cell r="AD78">
            <v>471</v>
          </cell>
          <cell r="AE78">
            <v>388</v>
          </cell>
        </row>
        <row r="79">
          <cell r="AB79">
            <v>0</v>
          </cell>
          <cell r="AC79">
            <v>834.57</v>
          </cell>
          <cell r="AD79">
            <v>592.43600000000004</v>
          </cell>
          <cell r="AE79">
            <v>503.44299999999998</v>
          </cell>
        </row>
        <row r="80">
          <cell r="AB80">
            <v>0</v>
          </cell>
          <cell r="AC80">
            <v>942.82100000000003</v>
          </cell>
          <cell r="AD80">
            <v>723.66399999999999</v>
          </cell>
          <cell r="AE80">
            <v>983.58900000000006</v>
          </cell>
        </row>
        <row r="81">
          <cell r="AB81">
            <v>330.22230000000002</v>
          </cell>
          <cell r="AC81">
            <v>550.12599999999998</v>
          </cell>
          <cell r="AD81">
            <v>627.11800000000005</v>
          </cell>
          <cell r="AE81">
            <v>492.37</v>
          </cell>
        </row>
        <row r="82">
          <cell r="AB82">
            <v>160.21370000000002</v>
          </cell>
          <cell r="AC82">
            <v>266.976</v>
          </cell>
          <cell r="AD82">
            <v>397.44099999999997</v>
          </cell>
          <cell r="AE82">
            <v>400.702</v>
          </cell>
        </row>
        <row r="83">
          <cell r="AB83">
            <v>351.03029999999995</v>
          </cell>
          <cell r="AC83">
            <v>584.95399999999995</v>
          </cell>
          <cell r="AD83">
            <v>376</v>
          </cell>
          <cell r="AE83">
            <v>416</v>
          </cell>
        </row>
        <row r="84">
          <cell r="AB84">
            <v>211.1498</v>
          </cell>
          <cell r="AC84">
            <v>351.49</v>
          </cell>
          <cell r="AD84">
            <v>197</v>
          </cell>
          <cell r="AE84">
            <v>196</v>
          </cell>
        </row>
        <row r="85">
          <cell r="AB85">
            <v>0</v>
          </cell>
          <cell r="AC85">
            <v>266.8</v>
          </cell>
          <cell r="AD85">
            <v>181.60000000000002</v>
          </cell>
          <cell r="AE85">
            <v>185.20000000000002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01"/>
  <sheetViews>
    <sheetView tabSelected="1" topLeftCell="A10" workbookViewId="0">
      <selection activeCell="I24" sqref="I24"/>
    </sheetView>
  </sheetViews>
  <sheetFormatPr defaultRowHeight="15" x14ac:dyDescent="0.25"/>
  <cols>
    <col min="1" max="1" width="26.5703125" bestFit="1" customWidth="1"/>
    <col min="10" max="10" width="9.5703125" customWidth="1"/>
    <col min="12" max="12" width="11.28515625" customWidth="1"/>
    <col min="15" max="15" width="10.7109375" bestFit="1" customWidth="1"/>
    <col min="16" max="16" width="6.7109375" bestFit="1" customWidth="1"/>
    <col min="17" max="17" width="9.28515625" customWidth="1"/>
    <col min="22" max="22" width="16.5703125" customWidth="1"/>
    <col min="23" max="23" width="9.42578125" hidden="1" customWidth="1"/>
    <col min="24" max="24" width="19.42578125" hidden="1" customWidth="1"/>
    <col min="25" max="25" width="4" hidden="1" customWidth="1"/>
    <col min="26" max="27" width="9.140625" hidden="1" customWidth="1"/>
    <col min="28" max="28" width="14.5703125" hidden="1" customWidth="1"/>
    <col min="29" max="30" width="9.140625" hidden="1" customWidth="1"/>
    <col min="31" max="31" width="15.7109375" hidden="1" customWidth="1"/>
    <col min="32" max="32" width="23.7109375" hidden="1" customWidth="1"/>
    <col min="33" max="33" width="19.140625" hidden="1" customWidth="1"/>
    <col min="34" max="34" width="9.42578125" style="62" hidden="1" customWidth="1"/>
    <col min="35" max="35" width="20.5703125" style="62" hidden="1" customWidth="1"/>
    <col min="36" max="36" width="10.85546875" hidden="1" customWidth="1"/>
    <col min="37" max="37" width="8.28515625" hidden="1" customWidth="1"/>
    <col min="38" max="38" width="6.140625" hidden="1" customWidth="1"/>
    <col min="39" max="39" width="6" hidden="1" customWidth="1"/>
    <col min="40" max="40" width="9.5703125" hidden="1" customWidth="1"/>
    <col min="41" max="41" width="9.7109375" hidden="1" customWidth="1"/>
    <col min="42" max="42" width="5.5703125" hidden="1" customWidth="1"/>
    <col min="43" max="43" width="10.5703125" hidden="1" customWidth="1"/>
    <col min="44" max="44" width="20.5703125" hidden="1" customWidth="1"/>
    <col min="45" max="45" width="10.7109375" hidden="1" customWidth="1"/>
    <col min="46" max="46" width="12.7109375" hidden="1" customWidth="1"/>
    <col min="47" max="47" width="9.140625" hidden="1" customWidth="1"/>
    <col min="48" max="48" width="6.85546875" hidden="1" customWidth="1"/>
    <col min="49" max="53" width="9.140625" hidden="1" customWidth="1"/>
    <col min="54" max="54" width="19.42578125" hidden="1" customWidth="1"/>
    <col min="55" max="62" width="9.140625" hidden="1" customWidth="1"/>
    <col min="63" max="63" width="4.5703125" hidden="1" customWidth="1"/>
    <col min="64" max="64" width="17.140625" hidden="1" customWidth="1"/>
  </cols>
  <sheetData>
    <row r="1" spans="1:52" x14ac:dyDescent="0.25">
      <c r="A1" s="1" t="s">
        <v>40</v>
      </c>
      <c r="R1" s="62"/>
      <c r="S1" s="62"/>
      <c r="T1" s="62"/>
      <c r="U1" s="62"/>
      <c r="V1" s="62"/>
      <c r="W1" s="62"/>
      <c r="X1" s="62"/>
      <c r="AA1" s="2" t="s">
        <v>0</v>
      </c>
      <c r="AL1" s="2" t="s">
        <v>1</v>
      </c>
      <c r="AT1" s="2" t="s">
        <v>2</v>
      </c>
    </row>
    <row r="2" spans="1:52" ht="60" x14ac:dyDescent="0.25">
      <c r="A2" s="3"/>
      <c r="B2" s="4" t="s">
        <v>3</v>
      </c>
      <c r="C2" s="56" t="s">
        <v>39</v>
      </c>
      <c r="D2" s="4" t="s">
        <v>4</v>
      </c>
      <c r="E2" s="56" t="s">
        <v>39</v>
      </c>
      <c r="F2" s="4" t="s">
        <v>5</v>
      </c>
      <c r="G2" s="56" t="s">
        <v>39</v>
      </c>
      <c r="H2" s="4" t="s">
        <v>6</v>
      </c>
      <c r="I2" s="56" t="s">
        <v>39</v>
      </c>
      <c r="J2" s="4" t="s">
        <v>12</v>
      </c>
      <c r="K2" s="56" t="s">
        <v>39</v>
      </c>
      <c r="L2" s="4" t="s">
        <v>7</v>
      </c>
      <c r="M2" s="56" t="s">
        <v>39</v>
      </c>
      <c r="N2" s="5"/>
      <c r="O2" s="5"/>
      <c r="P2" s="5"/>
      <c r="Q2" s="5"/>
      <c r="R2" s="64"/>
      <c r="S2" s="64"/>
      <c r="T2" s="64"/>
      <c r="U2" s="64"/>
      <c r="V2" s="62"/>
      <c r="W2" s="62"/>
      <c r="X2" s="65"/>
      <c r="Y2" s="6"/>
      <c r="Z2" s="9" t="s">
        <v>8</v>
      </c>
      <c r="AA2" s="8" t="s">
        <v>9</v>
      </c>
      <c r="AB2" s="90" t="s">
        <v>10</v>
      </c>
      <c r="AC2" s="90"/>
      <c r="AD2" s="7" t="s">
        <v>11</v>
      </c>
      <c r="AE2" s="7" t="s">
        <v>12</v>
      </c>
      <c r="AF2" s="7" t="s">
        <v>13</v>
      </c>
      <c r="AH2" s="65"/>
      <c r="AI2" s="65"/>
      <c r="AJ2" s="66" t="s">
        <v>8</v>
      </c>
      <c r="AK2" s="67" t="s">
        <v>9</v>
      </c>
      <c r="AL2" s="91" t="s">
        <v>10</v>
      </c>
      <c r="AM2" s="92"/>
      <c r="AN2" s="66" t="s">
        <v>11</v>
      </c>
      <c r="AO2" s="66" t="s">
        <v>12</v>
      </c>
      <c r="AP2" s="66" t="s">
        <v>13</v>
      </c>
      <c r="AR2" s="6"/>
      <c r="AS2" s="7" t="s">
        <v>8</v>
      </c>
      <c r="AT2" s="8" t="s">
        <v>9</v>
      </c>
      <c r="AU2" s="90" t="s">
        <v>10</v>
      </c>
      <c r="AV2" s="90"/>
      <c r="AW2" s="7" t="s">
        <v>11</v>
      </c>
      <c r="AX2" s="7" t="s">
        <v>12</v>
      </c>
      <c r="AY2" s="7" t="s">
        <v>13</v>
      </c>
    </row>
    <row r="3" spans="1:52" x14ac:dyDescent="0.25">
      <c r="A3" s="3" t="s">
        <v>14</v>
      </c>
      <c r="B3" s="10">
        <v>174.50299999999999</v>
      </c>
      <c r="C3" s="10">
        <f>B3/10</f>
        <v>17.450299999999999</v>
      </c>
      <c r="D3" s="10">
        <v>195.655</v>
      </c>
      <c r="E3" s="10">
        <f>D3/20</f>
        <v>9.7827500000000001</v>
      </c>
      <c r="F3" s="10">
        <v>0</v>
      </c>
      <c r="G3" s="11"/>
      <c r="H3" s="12">
        <v>188.983</v>
      </c>
      <c r="I3" s="10">
        <f>H3/6</f>
        <v>31.497166666666669</v>
      </c>
      <c r="J3" s="10">
        <v>230.07599999999999</v>
      </c>
      <c r="K3" s="10">
        <f>J3/5</f>
        <v>46.0152</v>
      </c>
      <c r="L3" s="10">
        <v>234.78649999999999</v>
      </c>
      <c r="M3" s="10">
        <f>L3/13</f>
        <v>18.060499999999998</v>
      </c>
      <c r="N3" s="13"/>
      <c r="O3" s="13"/>
      <c r="R3" s="62"/>
      <c r="S3" s="62"/>
      <c r="T3" s="62"/>
      <c r="U3" s="69"/>
      <c r="V3" s="62"/>
      <c r="W3" s="62"/>
      <c r="X3" s="65" t="s">
        <v>14</v>
      </c>
      <c r="Y3" s="6"/>
      <c r="Z3" s="6">
        <v>68.441999999999993</v>
      </c>
      <c r="AA3" s="10">
        <f>Z3/10</f>
        <v>6.844199999999999</v>
      </c>
      <c r="AB3" s="10">
        <f t="shared" ref="AB3:AB11" si="0">Z3/20</f>
        <v>3.4220999999999995</v>
      </c>
      <c r="AC3" s="6"/>
      <c r="AD3" s="10">
        <f>Z3/6</f>
        <v>11.406999999999998</v>
      </c>
      <c r="AE3" s="10">
        <f>Z3/5</f>
        <v>13.688399999999998</v>
      </c>
      <c r="AF3" s="14">
        <f>Z3/13</f>
        <v>5.2647692307692306</v>
      </c>
      <c r="AH3" s="65" t="s">
        <v>14</v>
      </c>
      <c r="AI3" s="65"/>
      <c r="AJ3" s="65">
        <v>159</v>
      </c>
      <c r="AK3" s="68">
        <f>AJ3/10</f>
        <v>15.9</v>
      </c>
      <c r="AL3" s="68">
        <f>AJ3/20</f>
        <v>7.95</v>
      </c>
      <c r="AM3" s="65"/>
      <c r="AN3" s="68">
        <f>AJ3/6</f>
        <v>26.5</v>
      </c>
      <c r="AO3" s="68">
        <f>AJ3/5</f>
        <v>31.8</v>
      </c>
      <c r="AP3" s="70">
        <f>AJ3/13</f>
        <v>12.23076923076923</v>
      </c>
      <c r="AR3" s="6" t="s">
        <v>14</v>
      </c>
      <c r="AS3" s="6">
        <v>138</v>
      </c>
      <c r="AT3" s="10">
        <f>AS3/10</f>
        <v>13.8</v>
      </c>
      <c r="AU3" s="10">
        <f>AS3/20</f>
        <v>6.9</v>
      </c>
      <c r="AV3" s="6"/>
      <c r="AW3" s="10">
        <f>AS3/6</f>
        <v>23</v>
      </c>
      <c r="AX3" s="10">
        <f>AS3/5</f>
        <v>27.6</v>
      </c>
      <c r="AY3" s="14">
        <f>AS3/13</f>
        <v>10.615384615384615</v>
      </c>
    </row>
    <row r="4" spans="1:52" x14ac:dyDescent="0.25">
      <c r="A4" s="3" t="s">
        <v>15</v>
      </c>
      <c r="B4" s="10">
        <v>319.21100000000001</v>
      </c>
      <c r="C4" s="10">
        <f>B4/10</f>
        <v>31.921100000000003</v>
      </c>
      <c r="D4" s="10">
        <v>330.02199999999999</v>
      </c>
      <c r="E4" s="10">
        <f>D4/15</f>
        <v>22.001466666666666</v>
      </c>
      <c r="F4" s="10">
        <v>0</v>
      </c>
      <c r="G4" s="11"/>
      <c r="H4" s="12">
        <v>269.41399999999999</v>
      </c>
      <c r="I4" s="10">
        <f>H4/8</f>
        <v>33.676749999999998</v>
      </c>
      <c r="J4" s="10">
        <v>299.88600000000002</v>
      </c>
      <c r="K4" s="10">
        <f>J4/5</f>
        <v>59.977200000000003</v>
      </c>
      <c r="L4" s="10">
        <v>289.1635</v>
      </c>
      <c r="M4" s="10">
        <f>L4/13</f>
        <v>22.243346153846154</v>
      </c>
      <c r="N4" s="13"/>
      <c r="O4" s="13"/>
      <c r="R4" s="62"/>
      <c r="S4" s="62"/>
      <c r="T4" s="62"/>
      <c r="U4" s="69"/>
      <c r="V4" s="62"/>
      <c r="W4" s="62"/>
      <c r="X4" s="65" t="s">
        <v>15</v>
      </c>
      <c r="Y4" s="6"/>
      <c r="Z4" s="6">
        <v>368.35199999999998</v>
      </c>
      <c r="AA4" s="10">
        <f>Z4/10</f>
        <v>36.8352</v>
      </c>
      <c r="AB4" s="10">
        <f t="shared" si="0"/>
        <v>18.4176</v>
      </c>
      <c r="AC4" s="6"/>
      <c r="AD4" s="10">
        <f>Z4/8</f>
        <v>46.043999999999997</v>
      </c>
      <c r="AE4" s="10">
        <f>Z4/5</f>
        <v>73.670400000000001</v>
      </c>
      <c r="AF4" s="14">
        <f>AE4/13</f>
        <v>5.666953846153846</v>
      </c>
      <c r="AH4" s="65" t="s">
        <v>15</v>
      </c>
      <c r="AI4" s="65"/>
      <c r="AJ4" s="65">
        <v>229</v>
      </c>
      <c r="AK4" s="68">
        <f>AJ4/10</f>
        <v>22.9</v>
      </c>
      <c r="AL4" s="68">
        <f t="shared" ref="AL4:AL11" si="1">AJ4/20</f>
        <v>11.45</v>
      </c>
      <c r="AM4" s="65"/>
      <c r="AN4" s="68">
        <f>AJ4/8</f>
        <v>28.625</v>
      </c>
      <c r="AO4" s="68">
        <f>AJ4/5</f>
        <v>45.8</v>
      </c>
      <c r="AP4" s="70">
        <f>AO4/13</f>
        <v>3.523076923076923</v>
      </c>
      <c r="AR4" s="6" t="s">
        <v>15</v>
      </c>
      <c r="AS4" s="6">
        <v>104</v>
      </c>
      <c r="AT4" s="10">
        <f>AS4/10</f>
        <v>10.4</v>
      </c>
      <c r="AU4" s="10">
        <f t="shared" ref="AU4:AU11" si="2">AS4/20</f>
        <v>5.2</v>
      </c>
      <c r="AV4" s="6"/>
      <c r="AW4" s="10">
        <f>AS4/8</f>
        <v>13</v>
      </c>
      <c r="AX4" s="10">
        <f>AS4/5</f>
        <v>20.8</v>
      </c>
      <c r="AY4" s="14">
        <f>AX4/13</f>
        <v>1.6</v>
      </c>
    </row>
    <row r="5" spans="1:52" x14ac:dyDescent="0.25">
      <c r="A5" s="3" t="s">
        <v>16</v>
      </c>
      <c r="B5" s="10">
        <v>280.971</v>
      </c>
      <c r="C5" s="10">
        <f>B5/4.5</f>
        <v>62.438000000000002</v>
      </c>
      <c r="D5" s="10">
        <v>270.44499999999999</v>
      </c>
      <c r="E5" s="10">
        <f t="shared" ref="E5:E11" si="3">D5/20</f>
        <v>13.52225</v>
      </c>
      <c r="F5" s="10">
        <v>241.12</v>
      </c>
      <c r="G5" s="10">
        <f>F5/30</f>
        <v>8.0373333333333328</v>
      </c>
      <c r="H5" s="12">
        <v>264.08000000000004</v>
      </c>
      <c r="I5" s="10">
        <f>H5/9</f>
        <v>29.342222222222226</v>
      </c>
      <c r="J5" s="10">
        <v>278.63400000000001</v>
      </c>
      <c r="K5" s="10">
        <f>J5/4</f>
        <v>69.658500000000004</v>
      </c>
      <c r="L5" s="10">
        <v>240.68600000000001</v>
      </c>
      <c r="M5" s="10">
        <f t="shared" ref="M5:M11" si="4">L5/17.5</f>
        <v>13.753485714285715</v>
      </c>
      <c r="N5" s="13"/>
      <c r="O5" s="13"/>
      <c r="R5" s="62"/>
      <c r="S5" s="62"/>
      <c r="T5" s="62"/>
      <c r="U5" s="69"/>
      <c r="V5" s="62"/>
      <c r="W5" s="62"/>
      <c r="X5" s="65" t="s">
        <v>16</v>
      </c>
      <c r="Y5" s="6"/>
      <c r="Z5" s="6">
        <v>484.61200000000002</v>
      </c>
      <c r="AA5" s="10">
        <f>Z5/4.5</f>
        <v>107.69155555555557</v>
      </c>
      <c r="AB5" s="10">
        <f t="shared" si="0"/>
        <v>24.230600000000003</v>
      </c>
      <c r="AC5" s="10">
        <f>Z5/30</f>
        <v>16.153733333333335</v>
      </c>
      <c r="AD5" s="10">
        <f>Z5/9</f>
        <v>53.845777777777784</v>
      </c>
      <c r="AE5" s="10">
        <f>AD5/4</f>
        <v>13.461444444444446</v>
      </c>
      <c r="AF5" s="14">
        <f t="shared" ref="AF5:AF11" si="5">Z5/17.5</f>
        <v>27.692114285714286</v>
      </c>
      <c r="AH5" s="65" t="s">
        <v>16</v>
      </c>
      <c r="AI5" s="65"/>
      <c r="AJ5" s="65">
        <v>471</v>
      </c>
      <c r="AK5" s="68">
        <f>AJ5/4.5</f>
        <v>104.66666666666667</v>
      </c>
      <c r="AL5" s="68">
        <f t="shared" si="1"/>
        <v>23.55</v>
      </c>
      <c r="AM5" s="68">
        <f>AJ5/30</f>
        <v>15.7</v>
      </c>
      <c r="AN5" s="68">
        <f>AJ5/9</f>
        <v>52.333333333333336</v>
      </c>
      <c r="AO5" s="68">
        <f>AN5/4</f>
        <v>13.083333333333334</v>
      </c>
      <c r="AP5" s="70">
        <f t="shared" ref="AP5:AP11" si="6">AJ5/17.5</f>
        <v>26.914285714285715</v>
      </c>
      <c r="AR5" s="6" t="s">
        <v>16</v>
      </c>
      <c r="AS5" s="6">
        <v>388</v>
      </c>
      <c r="AT5" s="10">
        <f>AS5/4.5</f>
        <v>86.222222222222229</v>
      </c>
      <c r="AU5" s="10">
        <f t="shared" si="2"/>
        <v>19.399999999999999</v>
      </c>
      <c r="AV5" s="10">
        <f>AS5/30</f>
        <v>12.933333333333334</v>
      </c>
      <c r="AW5" s="10">
        <f>AS5/9</f>
        <v>43.111111111111114</v>
      </c>
      <c r="AX5" s="10">
        <f>AW5/4</f>
        <v>10.777777777777779</v>
      </c>
      <c r="AY5" s="14">
        <f t="shared" ref="AY5:AY11" si="7">AS5/17.5</f>
        <v>22.171428571428571</v>
      </c>
    </row>
    <row r="6" spans="1:52" x14ac:dyDescent="0.25">
      <c r="A6" s="3" t="s">
        <v>17</v>
      </c>
      <c r="B6" s="10">
        <v>508.98599999999993</v>
      </c>
      <c r="C6" s="10">
        <f>B6/7.5</f>
        <v>67.864799999999988</v>
      </c>
      <c r="D6" s="10">
        <v>537.49950000000001</v>
      </c>
      <c r="E6" s="10">
        <f t="shared" si="3"/>
        <v>26.874974999999999</v>
      </c>
      <c r="F6" s="10">
        <v>0</v>
      </c>
      <c r="G6" s="10"/>
      <c r="H6" s="12">
        <v>460.11299999999994</v>
      </c>
      <c r="I6" s="10">
        <f>H6/12</f>
        <v>38.342749999999995</v>
      </c>
      <c r="J6" s="10">
        <v>537.29500000000007</v>
      </c>
      <c r="K6" s="10">
        <f>J6/3.5</f>
        <v>153.51285714285717</v>
      </c>
      <c r="L6" s="10">
        <v>540.90250000000003</v>
      </c>
      <c r="M6" s="10">
        <f t="shared" si="4"/>
        <v>30.908714285714286</v>
      </c>
      <c r="N6" s="13"/>
      <c r="O6" s="13"/>
      <c r="R6" s="62"/>
      <c r="S6" s="62"/>
      <c r="T6" s="62"/>
      <c r="U6" s="69"/>
      <c r="V6" s="62"/>
      <c r="W6" s="62"/>
      <c r="X6" s="65" t="s">
        <v>17</v>
      </c>
      <c r="Y6" s="6"/>
      <c r="Z6" s="15">
        <v>834.57</v>
      </c>
      <c r="AA6" s="10">
        <f>Z6/7.5</f>
        <v>111.27600000000001</v>
      </c>
      <c r="AB6" s="10">
        <f t="shared" si="0"/>
        <v>41.728500000000004</v>
      </c>
      <c r="AC6" s="6"/>
      <c r="AD6" s="10">
        <f>Z6/12</f>
        <v>69.547499999999999</v>
      </c>
      <c r="AE6" s="10">
        <f>Z6/3.5</f>
        <v>238.44857142857146</v>
      </c>
      <c r="AF6" s="14">
        <f t="shared" si="5"/>
        <v>47.689714285714288</v>
      </c>
      <c r="AH6" s="65" t="s">
        <v>17</v>
      </c>
      <c r="AI6" s="65"/>
      <c r="AJ6" s="71">
        <v>592.43600000000004</v>
      </c>
      <c r="AK6" s="68">
        <f>AJ6/7.5</f>
        <v>78.991466666666668</v>
      </c>
      <c r="AL6" s="68">
        <f t="shared" si="1"/>
        <v>29.6218</v>
      </c>
      <c r="AM6" s="65"/>
      <c r="AN6" s="68">
        <f>AJ6/12</f>
        <v>49.369666666666667</v>
      </c>
      <c r="AO6" s="68">
        <f>AJ6/3.5</f>
        <v>169.26742857142858</v>
      </c>
      <c r="AP6" s="70">
        <f t="shared" si="6"/>
        <v>33.853485714285718</v>
      </c>
      <c r="AR6" s="6" t="s">
        <v>17</v>
      </c>
      <c r="AS6" s="15">
        <v>503.44299999999998</v>
      </c>
      <c r="AT6" s="10">
        <f>AS6/7.5</f>
        <v>67.125733333333329</v>
      </c>
      <c r="AU6" s="10">
        <f t="shared" si="2"/>
        <v>25.172149999999998</v>
      </c>
      <c r="AV6" s="6"/>
      <c r="AW6" s="10">
        <f>AS6/12</f>
        <v>41.953583333333334</v>
      </c>
      <c r="AX6" s="10">
        <f>AS6/3.5</f>
        <v>143.84085714285715</v>
      </c>
      <c r="AY6" s="14">
        <f t="shared" si="7"/>
        <v>28.768171428571428</v>
      </c>
    </row>
    <row r="7" spans="1:52" x14ac:dyDescent="0.25">
      <c r="A7" s="3" t="s">
        <v>18</v>
      </c>
      <c r="B7" s="10">
        <v>663.63</v>
      </c>
      <c r="C7" s="10">
        <f>B7/7.5</f>
        <v>88.483999999999995</v>
      </c>
      <c r="D7" s="10">
        <v>504.71150000000006</v>
      </c>
      <c r="E7" s="10">
        <f t="shared" si="3"/>
        <v>25.235575000000004</v>
      </c>
      <c r="F7" s="10">
        <v>0</v>
      </c>
      <c r="G7" s="10"/>
      <c r="H7" s="12">
        <v>680.24099999999999</v>
      </c>
      <c r="I7" s="10">
        <f>H7/12</f>
        <v>56.686749999999996</v>
      </c>
      <c r="J7" s="61">
        <v>640.00300000000004</v>
      </c>
      <c r="K7" s="10">
        <f>J7/6</f>
        <v>106.66716666666667</v>
      </c>
      <c r="L7" s="10">
        <v>744.12600000000009</v>
      </c>
      <c r="M7" s="10">
        <f t="shared" si="4"/>
        <v>42.521485714285717</v>
      </c>
      <c r="N7" s="13"/>
      <c r="O7" s="13"/>
      <c r="R7" s="62"/>
      <c r="S7" s="62"/>
      <c r="T7" s="62"/>
      <c r="U7" s="69"/>
      <c r="V7" s="62"/>
      <c r="W7" s="62"/>
      <c r="X7" s="65" t="s">
        <v>18</v>
      </c>
      <c r="Y7" s="6"/>
      <c r="Z7" s="15">
        <v>942.82100000000003</v>
      </c>
      <c r="AA7" s="10">
        <f>Z7/7.5</f>
        <v>125.70946666666667</v>
      </c>
      <c r="AB7" s="10">
        <f t="shared" si="0"/>
        <v>47.14105</v>
      </c>
      <c r="AC7" s="6"/>
      <c r="AD7" s="10">
        <f>Z7/12</f>
        <v>78.568416666666664</v>
      </c>
      <c r="AE7" s="10">
        <f>Z7/6</f>
        <v>157.13683333333333</v>
      </c>
      <c r="AF7" s="14">
        <f t="shared" si="5"/>
        <v>53.875485714285716</v>
      </c>
      <c r="AH7" s="65" t="s">
        <v>18</v>
      </c>
      <c r="AI7" s="65"/>
      <c r="AJ7" s="71">
        <v>723.66399999999999</v>
      </c>
      <c r="AK7" s="68">
        <f>AJ7/7.5</f>
        <v>96.488533333333336</v>
      </c>
      <c r="AL7" s="68">
        <f t="shared" si="1"/>
        <v>36.183199999999999</v>
      </c>
      <c r="AM7" s="65"/>
      <c r="AN7" s="68">
        <f>AJ7/12</f>
        <v>60.30533333333333</v>
      </c>
      <c r="AO7" s="68">
        <f>AJ7/6</f>
        <v>120.61066666666666</v>
      </c>
      <c r="AP7" s="70">
        <f t="shared" si="6"/>
        <v>41.352228571428569</v>
      </c>
      <c r="AR7" s="6" t="s">
        <v>18</v>
      </c>
      <c r="AS7" s="15">
        <v>983.58900000000006</v>
      </c>
      <c r="AT7" s="10">
        <f>AS7/7.5</f>
        <v>131.14520000000002</v>
      </c>
      <c r="AU7" s="10">
        <f t="shared" si="2"/>
        <v>49.179450000000003</v>
      </c>
      <c r="AV7" s="6"/>
      <c r="AW7" s="10">
        <f>AS7/12</f>
        <v>81.96575</v>
      </c>
      <c r="AX7" s="10">
        <f>AS7/6</f>
        <v>163.9315</v>
      </c>
      <c r="AY7" s="14">
        <f t="shared" si="7"/>
        <v>56.205085714285715</v>
      </c>
    </row>
    <row r="8" spans="1:52" x14ac:dyDescent="0.25">
      <c r="A8" s="3" t="s">
        <v>19</v>
      </c>
      <c r="B8" s="10">
        <v>47.866</v>
      </c>
      <c r="C8" s="10">
        <f>B8/4.5</f>
        <v>10.636888888888889</v>
      </c>
      <c r="D8" s="10">
        <v>577.26</v>
      </c>
      <c r="E8" s="10">
        <f t="shared" si="3"/>
        <v>28.863</v>
      </c>
      <c r="F8" s="10">
        <v>577.202</v>
      </c>
      <c r="G8" s="10">
        <f>F8/30</f>
        <v>19.240066666666667</v>
      </c>
      <c r="H8" s="12">
        <v>588.07199999999989</v>
      </c>
      <c r="I8" s="10">
        <f>H8/10</f>
        <v>58.807199999999987</v>
      </c>
      <c r="J8" s="84">
        <v>592.14200000000005</v>
      </c>
      <c r="K8" s="10">
        <f>J8/3</f>
        <v>197.38066666666668</v>
      </c>
      <c r="L8" s="10">
        <v>601.54099999999994</v>
      </c>
      <c r="M8" s="10">
        <f t="shared" si="4"/>
        <v>34.373771428571423</v>
      </c>
      <c r="N8" s="13"/>
      <c r="O8" s="13"/>
      <c r="R8" s="62"/>
      <c r="S8" s="62"/>
      <c r="T8" s="62"/>
      <c r="U8" s="69"/>
      <c r="V8" s="62"/>
      <c r="W8" s="62"/>
      <c r="X8" s="65" t="s">
        <v>19</v>
      </c>
      <c r="Y8" s="15">
        <f>Z8-219.9037</f>
        <v>330.22230000000002</v>
      </c>
      <c r="Z8" s="15">
        <v>550.12599999999998</v>
      </c>
      <c r="AA8" s="16">
        <f>Y8/5</f>
        <v>66.044460000000001</v>
      </c>
      <c r="AB8" s="10">
        <f t="shared" si="0"/>
        <v>27.5063</v>
      </c>
      <c r="AC8" s="10">
        <f>Z8/30</f>
        <v>18.337533333333333</v>
      </c>
      <c r="AD8" s="10">
        <f>Z8/10</f>
        <v>55.012599999999999</v>
      </c>
      <c r="AE8" s="10">
        <f>Z8/3</f>
        <v>183.37533333333332</v>
      </c>
      <c r="AF8" s="14">
        <f t="shared" si="5"/>
        <v>31.435771428571428</v>
      </c>
      <c r="AH8" s="65" t="s">
        <v>19</v>
      </c>
      <c r="AI8" s="71">
        <f>AJ8-125.39644</f>
        <v>501.72156000000007</v>
      </c>
      <c r="AJ8" s="71">
        <v>627.11800000000005</v>
      </c>
      <c r="AK8" s="72">
        <f>AJ8/5</f>
        <v>125.42360000000001</v>
      </c>
      <c r="AL8" s="68">
        <f t="shared" si="1"/>
        <v>31.355900000000002</v>
      </c>
      <c r="AM8" s="68">
        <f>AJ8/30</f>
        <v>20.903933333333335</v>
      </c>
      <c r="AN8" s="68">
        <f>AJ8/10</f>
        <v>62.711800000000004</v>
      </c>
      <c r="AO8" s="68">
        <f>AJ8/3</f>
        <v>209.03933333333336</v>
      </c>
      <c r="AP8" s="70">
        <f t="shared" si="6"/>
        <v>35.83531428571429</v>
      </c>
      <c r="AR8" s="6" t="s">
        <v>20</v>
      </c>
      <c r="AS8" s="15">
        <v>492.37</v>
      </c>
      <c r="AT8" s="16">
        <f>AS8/5</f>
        <v>98.474000000000004</v>
      </c>
      <c r="AU8" s="10">
        <f t="shared" si="2"/>
        <v>24.618500000000001</v>
      </c>
      <c r="AV8" s="10">
        <f>AS8/30</f>
        <v>16.412333333333333</v>
      </c>
      <c r="AW8" s="10">
        <f>AS8/10</f>
        <v>49.237000000000002</v>
      </c>
      <c r="AX8" s="10">
        <f>AS8/3</f>
        <v>164.12333333333333</v>
      </c>
      <c r="AY8" s="14">
        <f t="shared" si="7"/>
        <v>28.135428571428573</v>
      </c>
    </row>
    <row r="9" spans="1:52" x14ac:dyDescent="0.25">
      <c r="A9" s="3" t="s">
        <v>21</v>
      </c>
      <c r="B9" s="10">
        <v>18.885999999999999</v>
      </c>
      <c r="C9" s="10">
        <f>B9/4.5</f>
        <v>4.1968888888888891</v>
      </c>
      <c r="D9" s="10">
        <v>259.82600000000002</v>
      </c>
      <c r="E9" s="10">
        <f t="shared" si="3"/>
        <v>12.991300000000001</v>
      </c>
      <c r="F9" s="10">
        <v>290.91849999999994</v>
      </c>
      <c r="G9" s="10">
        <f>F9/30</f>
        <v>9.6972833333333313</v>
      </c>
      <c r="H9" s="12">
        <v>288.44400000000002</v>
      </c>
      <c r="I9" s="10">
        <f>H9/10</f>
        <v>28.8444</v>
      </c>
      <c r="J9" s="61">
        <v>268.84000000000003</v>
      </c>
      <c r="K9" s="10">
        <f>J9/4</f>
        <v>67.210000000000008</v>
      </c>
      <c r="L9" s="10">
        <v>297.00650000000002</v>
      </c>
      <c r="M9" s="10">
        <f t="shared" si="4"/>
        <v>16.971800000000002</v>
      </c>
      <c r="N9" s="13"/>
      <c r="O9" s="13"/>
      <c r="R9" s="62"/>
      <c r="S9" s="62"/>
      <c r="T9" s="62"/>
      <c r="U9" s="69"/>
      <c r="V9" s="62"/>
      <c r="W9" s="62"/>
      <c r="X9" s="73" t="s">
        <v>21</v>
      </c>
      <c r="Y9" s="18">
        <f>Z9-106.7623</f>
        <v>160.21370000000002</v>
      </c>
      <c r="Z9" s="15">
        <v>266.976</v>
      </c>
      <c r="AA9" s="16">
        <f>Y9/5</f>
        <v>32.042740000000002</v>
      </c>
      <c r="AB9" s="10">
        <f t="shared" si="0"/>
        <v>13.348800000000001</v>
      </c>
      <c r="AC9" s="10">
        <f>Z9/30</f>
        <v>8.8992000000000004</v>
      </c>
      <c r="AD9" s="10">
        <f>Z9/10</f>
        <v>26.697600000000001</v>
      </c>
      <c r="AE9" s="10">
        <f>Z9/4</f>
        <v>66.744</v>
      </c>
      <c r="AF9" s="14">
        <f t="shared" si="5"/>
        <v>15.255771428571428</v>
      </c>
      <c r="AH9" s="73" t="s">
        <v>21</v>
      </c>
      <c r="AI9" s="74">
        <f>AJ9-79.3996</f>
        <v>318.04139999999995</v>
      </c>
      <c r="AJ9" s="71">
        <v>397.44099999999997</v>
      </c>
      <c r="AK9" s="72">
        <f>AJ9/5</f>
        <v>79.488199999999992</v>
      </c>
      <c r="AL9" s="68">
        <f>AJ9/20</f>
        <v>19.872049999999998</v>
      </c>
      <c r="AM9" s="68">
        <f>AJ9/30</f>
        <v>13.248033333333332</v>
      </c>
      <c r="AN9" s="68">
        <f>AJ9/10</f>
        <v>39.744099999999996</v>
      </c>
      <c r="AO9" s="68">
        <f>AJ9/4</f>
        <v>99.360249999999994</v>
      </c>
      <c r="AP9" s="70">
        <f t="shared" si="6"/>
        <v>22.710914285714285</v>
      </c>
      <c r="AR9" s="17" t="s">
        <v>21</v>
      </c>
      <c r="AS9" s="15">
        <v>400.702</v>
      </c>
      <c r="AT9" s="16">
        <f>AS9/5</f>
        <v>80.1404</v>
      </c>
      <c r="AU9" s="10">
        <f>AS9/20</f>
        <v>20.0351</v>
      </c>
      <c r="AV9" s="10">
        <f>AS9/30</f>
        <v>13.356733333333333</v>
      </c>
      <c r="AW9" s="10">
        <f>AS9/10</f>
        <v>40.0702</v>
      </c>
      <c r="AX9" s="10">
        <f>AS9/4</f>
        <v>100.1755</v>
      </c>
      <c r="AY9" s="14">
        <f t="shared" si="7"/>
        <v>22.897257142857143</v>
      </c>
    </row>
    <row r="10" spans="1:52" x14ac:dyDescent="0.25">
      <c r="A10" s="3" t="s">
        <v>22</v>
      </c>
      <c r="B10" s="10">
        <v>214.791</v>
      </c>
      <c r="C10" s="10">
        <f>B10/4.5</f>
        <v>47.731333333333332</v>
      </c>
      <c r="D10" s="10">
        <v>624.92650000000003</v>
      </c>
      <c r="E10" s="10">
        <f t="shared" si="3"/>
        <v>31.246325000000002</v>
      </c>
      <c r="F10" s="10">
        <v>524.47950000000003</v>
      </c>
      <c r="G10" s="10">
        <f>F10/30</f>
        <v>17.48265</v>
      </c>
      <c r="H10" s="12">
        <v>566.06700000000001</v>
      </c>
      <c r="I10" s="10">
        <f>H10/8</f>
        <v>70.758375000000001</v>
      </c>
      <c r="J10" s="61">
        <v>478.95100000000002</v>
      </c>
      <c r="K10" s="10">
        <f>J10/1.5</f>
        <v>319.3006666666667</v>
      </c>
      <c r="L10" s="10">
        <v>449.43102999999996</v>
      </c>
      <c r="M10" s="10">
        <f t="shared" si="4"/>
        <v>25.681773142857139</v>
      </c>
      <c r="N10" s="13"/>
      <c r="O10" s="13"/>
      <c r="R10" s="62"/>
      <c r="S10" s="62"/>
      <c r="T10" s="62"/>
      <c r="U10" s="69"/>
      <c r="V10" s="62"/>
      <c r="W10" s="62"/>
      <c r="X10" s="65" t="s">
        <v>22</v>
      </c>
      <c r="Y10" s="15">
        <f>Z10-233.9237</f>
        <v>351.03029999999995</v>
      </c>
      <c r="Z10" s="15">
        <v>584.95399999999995</v>
      </c>
      <c r="AA10" s="10">
        <f>Y10/4.5</f>
        <v>78.006733333333329</v>
      </c>
      <c r="AB10" s="10">
        <f t="shared" si="0"/>
        <v>29.247699999999998</v>
      </c>
      <c r="AC10" s="10">
        <f>Z10/30</f>
        <v>19.498466666666666</v>
      </c>
      <c r="AD10" s="16">
        <f>Z10/8</f>
        <v>73.119249999999994</v>
      </c>
      <c r="AE10" s="10">
        <f>Z10/1.5</f>
        <v>389.96933333333328</v>
      </c>
      <c r="AF10" s="14">
        <f t="shared" si="5"/>
        <v>33.425942857142857</v>
      </c>
      <c r="AH10" s="65" t="s">
        <v>22</v>
      </c>
      <c r="AI10" s="71">
        <f>AJ10-75.1995</f>
        <v>300.8005</v>
      </c>
      <c r="AJ10" s="71">
        <v>376</v>
      </c>
      <c r="AK10" s="68">
        <f>AJ10/4.5</f>
        <v>83.555555555555557</v>
      </c>
      <c r="AL10" s="68">
        <f t="shared" si="1"/>
        <v>18.8</v>
      </c>
      <c r="AM10" s="68">
        <f>AJ10/30</f>
        <v>12.533333333333333</v>
      </c>
      <c r="AN10" s="72">
        <f>AJ10/8</f>
        <v>47</v>
      </c>
      <c r="AO10" s="68">
        <f>AJ10/1.5</f>
        <v>250.66666666666666</v>
      </c>
      <c r="AP10" s="70">
        <f t="shared" si="6"/>
        <v>21.485714285714284</v>
      </c>
      <c r="AR10" s="6" t="s">
        <v>22</v>
      </c>
      <c r="AS10" s="15">
        <v>416</v>
      </c>
      <c r="AT10" s="10">
        <f>AS10/4.5</f>
        <v>92.444444444444443</v>
      </c>
      <c r="AU10" s="10">
        <f t="shared" si="2"/>
        <v>20.8</v>
      </c>
      <c r="AV10" s="10">
        <f>AS10/30</f>
        <v>13.866666666666667</v>
      </c>
      <c r="AW10" s="16">
        <f>AS10/8</f>
        <v>52</v>
      </c>
      <c r="AX10" s="10">
        <f>AS10/1.5</f>
        <v>277.33333333333331</v>
      </c>
      <c r="AY10" s="14">
        <f t="shared" si="7"/>
        <v>23.771428571428572</v>
      </c>
    </row>
    <row r="11" spans="1:52" x14ac:dyDescent="0.25">
      <c r="A11" s="3" t="s">
        <v>23</v>
      </c>
      <c r="B11" s="10">
        <v>3.302</v>
      </c>
      <c r="C11" s="10">
        <f>B11/4.5</f>
        <v>0.73377777777777775</v>
      </c>
      <c r="D11" s="10">
        <v>171.51400000000001</v>
      </c>
      <c r="E11" s="10">
        <f t="shared" si="3"/>
        <v>8.5757000000000012</v>
      </c>
      <c r="F11" s="10">
        <v>172.07900000000001</v>
      </c>
      <c r="G11" s="10">
        <f>F11/30</f>
        <v>5.7359666666666671</v>
      </c>
      <c r="H11" s="12">
        <v>182.27199999999999</v>
      </c>
      <c r="I11" s="10">
        <f>H11/7</f>
        <v>26.038857142857143</v>
      </c>
      <c r="J11" s="10">
        <v>179.72200000000001</v>
      </c>
      <c r="K11" s="10">
        <f>J11/1.5</f>
        <v>119.81466666666667</v>
      </c>
      <c r="L11" s="10">
        <v>171.73000000000002</v>
      </c>
      <c r="M11" s="10">
        <f t="shared" si="4"/>
        <v>9.8131428571428589</v>
      </c>
      <c r="N11" s="13"/>
      <c r="O11" s="13"/>
      <c r="R11" s="62"/>
      <c r="S11" s="62"/>
      <c r="T11" s="62"/>
      <c r="U11" s="69"/>
      <c r="V11" s="62"/>
      <c r="W11" s="62"/>
      <c r="X11" s="65" t="s">
        <v>23</v>
      </c>
      <c r="Y11" s="15">
        <f>Z11-140.3402</f>
        <v>211.1498</v>
      </c>
      <c r="Z11" s="15">
        <v>351.49</v>
      </c>
      <c r="AA11" s="10">
        <f>Y11/4.5</f>
        <v>46.922177777777776</v>
      </c>
      <c r="AB11" s="10">
        <f t="shared" si="0"/>
        <v>17.5745</v>
      </c>
      <c r="AC11" s="10">
        <f>Z11/30</f>
        <v>11.716333333333333</v>
      </c>
      <c r="AD11" s="10">
        <f>Z11/8</f>
        <v>43.936250000000001</v>
      </c>
      <c r="AE11" s="10">
        <f>Z11/1.5</f>
        <v>234.32666666666668</v>
      </c>
      <c r="AF11" s="14">
        <f t="shared" si="5"/>
        <v>20.085142857142859</v>
      </c>
      <c r="AH11" s="65" t="s">
        <v>23</v>
      </c>
      <c r="AI11" s="71">
        <f>AJ11-39.3999</f>
        <v>157.6001</v>
      </c>
      <c r="AJ11" s="71">
        <v>197</v>
      </c>
      <c r="AK11" s="68">
        <f>AJ11/4.5</f>
        <v>43.777777777777779</v>
      </c>
      <c r="AL11" s="68">
        <f t="shared" si="1"/>
        <v>9.85</v>
      </c>
      <c r="AM11" s="68">
        <f>AJ11/30</f>
        <v>6.5666666666666664</v>
      </c>
      <c r="AN11" s="68">
        <f>AJ11/8</f>
        <v>24.625</v>
      </c>
      <c r="AO11" s="68">
        <f>AJ11/1.5</f>
        <v>131.33333333333334</v>
      </c>
      <c r="AP11" s="70">
        <f t="shared" si="6"/>
        <v>11.257142857142858</v>
      </c>
      <c r="AR11" s="6" t="s">
        <v>23</v>
      </c>
      <c r="AS11" s="15">
        <v>196</v>
      </c>
      <c r="AT11" s="10">
        <f>AS11/4.5</f>
        <v>43.555555555555557</v>
      </c>
      <c r="AU11" s="10">
        <f t="shared" si="2"/>
        <v>9.8000000000000007</v>
      </c>
      <c r="AV11" s="10">
        <f>AS11/30</f>
        <v>6.5333333333333332</v>
      </c>
      <c r="AW11" s="10">
        <f>AS11/8</f>
        <v>24.5</v>
      </c>
      <c r="AX11" s="10">
        <f>AS11/1.5</f>
        <v>130.66666666666666</v>
      </c>
      <c r="AY11" s="14">
        <f t="shared" si="7"/>
        <v>11.2</v>
      </c>
    </row>
    <row r="12" spans="1:52" x14ac:dyDescent="0.25">
      <c r="A12" s="19" t="s">
        <v>24</v>
      </c>
      <c r="B12" s="10">
        <v>357.95600000000002</v>
      </c>
      <c r="C12" s="10">
        <f>B12/2.6</f>
        <v>137.67538461538462</v>
      </c>
      <c r="D12" s="10">
        <v>0</v>
      </c>
      <c r="E12" s="10"/>
      <c r="F12" s="10">
        <v>0</v>
      </c>
      <c r="G12" s="10"/>
      <c r="H12" s="12">
        <v>0</v>
      </c>
      <c r="I12" s="10"/>
      <c r="J12" s="10">
        <v>0</v>
      </c>
      <c r="K12" s="10"/>
      <c r="L12" s="10">
        <v>0</v>
      </c>
      <c r="M12" s="10"/>
      <c r="N12" s="13"/>
      <c r="O12" s="13"/>
      <c r="R12" s="62"/>
      <c r="S12" s="62"/>
      <c r="T12" s="62"/>
      <c r="U12" s="69"/>
      <c r="V12" s="62"/>
      <c r="W12" s="62"/>
      <c r="X12" s="75" t="s">
        <v>25</v>
      </c>
      <c r="Y12" s="6">
        <v>701</v>
      </c>
      <c r="Z12" s="15"/>
      <c r="AA12" s="10">
        <f>Y12/2.6</f>
        <v>269.61538461538458</v>
      </c>
      <c r="AB12" s="10"/>
      <c r="AC12" s="10"/>
      <c r="AD12" s="10"/>
      <c r="AE12" s="21"/>
      <c r="AF12" s="22"/>
      <c r="AH12" s="75" t="s">
        <v>25</v>
      </c>
      <c r="AI12" s="65">
        <v>319.39999999999998</v>
      </c>
      <c r="AJ12" s="71"/>
      <c r="AK12" s="68">
        <f>AI12/4.5</f>
        <v>70.977777777777774</v>
      </c>
      <c r="AL12" s="68"/>
      <c r="AM12" s="68"/>
      <c r="AN12" s="68"/>
      <c r="AO12" s="76"/>
      <c r="AP12" s="77"/>
      <c r="AR12" s="20" t="s">
        <v>25</v>
      </c>
      <c r="AS12" s="15"/>
      <c r="AT12" s="21"/>
      <c r="AU12" s="10"/>
      <c r="AV12" s="10"/>
      <c r="AW12" s="10"/>
      <c r="AX12" s="21"/>
      <c r="AY12" s="22"/>
    </row>
    <row r="13" spans="1:52" ht="15.75" thickBot="1" x14ac:dyDescent="0.3">
      <c r="A13" s="19" t="s">
        <v>26</v>
      </c>
      <c r="B13" s="10">
        <v>270.65200000000004</v>
      </c>
      <c r="C13" s="10">
        <f>B13/2.6</f>
        <v>104.09692307692309</v>
      </c>
      <c r="D13" s="10">
        <v>0</v>
      </c>
      <c r="E13" s="10"/>
      <c r="F13" s="10">
        <v>0</v>
      </c>
      <c r="G13" s="10"/>
      <c r="H13" s="12">
        <v>0</v>
      </c>
      <c r="I13" s="10"/>
      <c r="J13" s="10">
        <v>0</v>
      </c>
      <c r="K13" s="10"/>
      <c r="L13" s="10">
        <v>0</v>
      </c>
      <c r="M13" s="10"/>
      <c r="N13" s="13"/>
      <c r="O13" s="13"/>
      <c r="R13" s="62"/>
      <c r="S13" s="62"/>
      <c r="T13" s="62"/>
      <c r="U13" s="69"/>
      <c r="V13" s="62"/>
      <c r="W13" s="62"/>
      <c r="X13" s="65" t="s">
        <v>27</v>
      </c>
      <c r="Y13" s="6"/>
      <c r="Z13" s="15">
        <v>667</v>
      </c>
      <c r="AA13" s="23">
        <f>Z13/10</f>
        <v>66.7</v>
      </c>
      <c r="AB13" s="10">
        <f>Z13/28</f>
        <v>23.821428571428573</v>
      </c>
      <c r="AC13" s="7">
        <f>Z13/30</f>
        <v>22.233333333333334</v>
      </c>
      <c r="AD13" s="10">
        <f>Z13/7</f>
        <v>95.285714285714292</v>
      </c>
      <c r="AE13" s="23">
        <f>Z13/10</f>
        <v>66.7</v>
      </c>
      <c r="AF13" s="24">
        <f>Z13/20</f>
        <v>33.35</v>
      </c>
      <c r="AH13" s="65" t="s">
        <v>27</v>
      </c>
      <c r="AI13" s="65"/>
      <c r="AJ13" s="71">
        <v>454</v>
      </c>
      <c r="AK13" s="78">
        <f>AJ13/10</f>
        <v>45.4</v>
      </c>
      <c r="AL13" s="68">
        <f>AJ13/28</f>
        <v>16.214285714285715</v>
      </c>
      <c r="AM13" s="66"/>
      <c r="AN13" s="68">
        <f>AJ13/7</f>
        <v>64.857142857142861</v>
      </c>
      <c r="AO13" s="78">
        <f>AJ13/10</f>
        <v>45.4</v>
      </c>
      <c r="AP13" s="79">
        <f>AJ13/20</f>
        <v>22.7</v>
      </c>
      <c r="AR13" s="6" t="s">
        <v>28</v>
      </c>
      <c r="AS13" s="15">
        <v>463</v>
      </c>
      <c r="AT13" s="23">
        <f>AS13/10</f>
        <v>46.3</v>
      </c>
      <c r="AU13" s="10">
        <f>AS13/28</f>
        <v>16.535714285714285</v>
      </c>
      <c r="AV13" s="7"/>
      <c r="AW13" s="10">
        <f>AS13/7</f>
        <v>66.142857142857139</v>
      </c>
      <c r="AX13" s="23">
        <f>AS13/10</f>
        <v>46.3</v>
      </c>
      <c r="AY13" s="24">
        <f>AS13/20</f>
        <v>23.15</v>
      </c>
    </row>
    <row r="14" spans="1:52" x14ac:dyDescent="0.25">
      <c r="A14" s="19" t="s">
        <v>29</v>
      </c>
      <c r="B14" s="10">
        <v>490.31799999999998</v>
      </c>
      <c r="C14" s="10">
        <f>B14/2.6</f>
        <v>188.58384615384614</v>
      </c>
      <c r="D14" s="10">
        <v>0</v>
      </c>
      <c r="E14" s="10"/>
      <c r="F14" s="10">
        <v>0</v>
      </c>
      <c r="G14" s="10"/>
      <c r="H14" s="12">
        <v>0</v>
      </c>
      <c r="I14" s="10"/>
      <c r="J14" s="10">
        <v>0</v>
      </c>
      <c r="K14" s="10"/>
      <c r="L14" s="10">
        <v>0</v>
      </c>
      <c r="M14" s="10"/>
      <c r="N14" s="13"/>
      <c r="O14" s="13"/>
      <c r="P14" s="13"/>
      <c r="Q14" s="13"/>
      <c r="R14" s="69"/>
      <c r="S14" s="69"/>
      <c r="T14" s="69"/>
      <c r="U14" s="69"/>
      <c r="V14" s="62"/>
      <c r="W14" s="62"/>
      <c r="X14" s="80" t="s">
        <v>30</v>
      </c>
      <c r="Y14" s="25"/>
      <c r="Z14" s="26">
        <f>SUM(AA14:AF14)</f>
        <v>3555.6918537240545</v>
      </c>
      <c r="AA14" s="27">
        <f>SUM(AA3:AA13)</f>
        <v>947.687917948718</v>
      </c>
      <c r="AB14" s="93">
        <f>SUM(AB3:AB13,AC3:AC13)</f>
        <v>343.27717857142869</v>
      </c>
      <c r="AC14" s="94"/>
      <c r="AD14" s="27">
        <f>SUM(AD3:AD13)</f>
        <v>553.46410873015884</v>
      </c>
      <c r="AE14" s="27">
        <f>SUM(AE3:AE13)</f>
        <v>1437.5209825396826</v>
      </c>
      <c r="AF14" s="27">
        <f>SUM(AF3:AF13)</f>
        <v>273.74166593406591</v>
      </c>
      <c r="AH14" s="80" t="s">
        <v>30</v>
      </c>
      <c r="AI14" s="80"/>
      <c r="AJ14" s="26">
        <f>SUM(AK14:AP14)</f>
        <v>2845.6641001221001</v>
      </c>
      <c r="AK14" s="27">
        <f>SUM(AK3:AK13)</f>
        <v>767.56957777777779</v>
      </c>
      <c r="AL14" s="93">
        <f>SUM(AL3:AL13,AM3:AM13)</f>
        <v>273.79920238095235</v>
      </c>
      <c r="AM14" s="94"/>
      <c r="AN14" s="27">
        <f>SUM(AN3:AN13)</f>
        <v>456.07137619047614</v>
      </c>
      <c r="AO14" s="27">
        <f>SUM(AO3:AO13)</f>
        <v>1116.3610119047619</v>
      </c>
      <c r="AP14" s="27">
        <f>SUM(AP3:AP13)</f>
        <v>231.86293186813188</v>
      </c>
      <c r="AQ14" s="28">
        <f>SUM(AK14:AP14)</f>
        <v>2845.6641001221001</v>
      </c>
      <c r="AR14" s="25" t="s">
        <v>30</v>
      </c>
      <c r="AS14" s="26">
        <f>SUM(AT14:AY14)</f>
        <v>2679.3945242979244</v>
      </c>
      <c r="AT14" s="27">
        <f>SUM(AT3:AT13)</f>
        <v>669.60755555555545</v>
      </c>
      <c r="AU14" s="93">
        <f>SUM(AU3:AU13,AV3:AV13)</f>
        <v>260.74331428571429</v>
      </c>
      <c r="AV14" s="94"/>
      <c r="AW14" s="27">
        <f>SUM(AW3:AW13)</f>
        <v>434.98050158730155</v>
      </c>
      <c r="AX14" s="27">
        <f>SUM(AX3:AX13)</f>
        <v>1085.5489682539683</v>
      </c>
      <c r="AY14" s="27">
        <f>SUM(AY3:AY13)</f>
        <v>228.51418461538461</v>
      </c>
      <c r="AZ14" s="28">
        <f>SUM(AT14:AY14)</f>
        <v>2679.3945242979244</v>
      </c>
    </row>
    <row r="15" spans="1:52" x14ac:dyDescent="0.25">
      <c r="A15" s="19" t="s">
        <v>31</v>
      </c>
      <c r="B15" s="10">
        <v>169.15899999999999</v>
      </c>
      <c r="C15" s="10">
        <f>B15/2.6</f>
        <v>65.061153846153843</v>
      </c>
      <c r="D15" s="10">
        <v>0</v>
      </c>
      <c r="E15" s="10"/>
      <c r="F15" s="10">
        <v>0</v>
      </c>
      <c r="G15" s="10"/>
      <c r="H15" s="12">
        <v>0</v>
      </c>
      <c r="I15" s="10"/>
      <c r="J15" s="10">
        <v>0</v>
      </c>
      <c r="K15" s="10"/>
      <c r="L15" s="10">
        <v>0</v>
      </c>
      <c r="M15" s="10"/>
      <c r="N15" s="13"/>
      <c r="O15" s="13"/>
      <c r="P15" s="13"/>
      <c r="Q15" s="13"/>
      <c r="R15" s="69"/>
      <c r="S15" s="69"/>
      <c r="T15" s="69"/>
      <c r="U15" s="69"/>
      <c r="V15" s="62"/>
      <c r="W15" s="62"/>
      <c r="X15" s="63" t="s">
        <v>32</v>
      </c>
      <c r="Y15" s="2"/>
      <c r="Z15" s="26">
        <f>SUM(AA15:AF15)</f>
        <v>3852.22</v>
      </c>
      <c r="AA15" s="29">
        <v>1325.83</v>
      </c>
      <c r="AB15" s="95">
        <v>277.72000000000003</v>
      </c>
      <c r="AC15" s="95"/>
      <c r="AD15" s="29">
        <v>384.5</v>
      </c>
      <c r="AE15" s="30">
        <v>1628.59</v>
      </c>
      <c r="AF15" s="30">
        <v>235.58</v>
      </c>
      <c r="AH15" s="63" t="s">
        <v>32</v>
      </c>
      <c r="AI15" s="63"/>
      <c r="AJ15" s="26">
        <f>SUM(AK15:AP15)</f>
        <v>3477.08</v>
      </c>
      <c r="AK15" s="1">
        <v>1233.29</v>
      </c>
      <c r="AL15" s="94">
        <v>230.58</v>
      </c>
      <c r="AM15" s="94"/>
      <c r="AN15" s="1">
        <v>338.4</v>
      </c>
      <c r="AO15" s="27">
        <v>1425.07</v>
      </c>
      <c r="AP15" s="27">
        <v>249.74</v>
      </c>
      <c r="AQ15" s="28">
        <f>SUM(AK15:AP15)</f>
        <v>3477.08</v>
      </c>
      <c r="AR15" s="2" t="s">
        <v>32</v>
      </c>
      <c r="AS15" s="26">
        <f>SUM(AT15:AY15)</f>
        <v>3040.15</v>
      </c>
      <c r="AT15" s="1">
        <v>1023.09</v>
      </c>
      <c r="AU15" s="94">
        <v>229.62</v>
      </c>
      <c r="AV15" s="94"/>
      <c r="AW15" s="1">
        <v>319.19</v>
      </c>
      <c r="AX15" s="27">
        <v>1248.75</v>
      </c>
      <c r="AY15" s="27">
        <v>219.5</v>
      </c>
      <c r="AZ15" s="28">
        <f>SUM(AT15:AY15)</f>
        <v>3040.15</v>
      </c>
    </row>
    <row r="16" spans="1:52" x14ac:dyDescent="0.25">
      <c r="A16" s="3" t="s">
        <v>27</v>
      </c>
      <c r="B16" s="10">
        <v>562</v>
      </c>
      <c r="C16" s="10">
        <f>B16/10</f>
        <v>56.2</v>
      </c>
      <c r="D16" s="10">
        <v>547</v>
      </c>
      <c r="E16" s="10">
        <f>D16/28</f>
        <v>19.535714285714285</v>
      </c>
      <c r="F16" s="10">
        <v>0</v>
      </c>
      <c r="G16" s="31"/>
      <c r="H16" s="32">
        <v>555</v>
      </c>
      <c r="I16" s="10">
        <f>H16/20</f>
        <v>27.75</v>
      </c>
      <c r="J16" s="10">
        <v>539</v>
      </c>
      <c r="K16" s="10">
        <f>J16/10</f>
        <v>53.9</v>
      </c>
      <c r="L16" s="10">
        <v>505</v>
      </c>
      <c r="M16" s="10">
        <f>L16/20</f>
        <v>25.25</v>
      </c>
      <c r="N16" s="13"/>
      <c r="O16" s="13"/>
      <c r="P16" s="13"/>
      <c r="Q16" s="13"/>
      <c r="R16" s="69"/>
      <c r="S16" s="69"/>
      <c r="T16" s="69"/>
      <c r="U16" s="69"/>
      <c r="V16" s="62"/>
      <c r="W16" s="62"/>
      <c r="X16" s="63" t="s">
        <v>33</v>
      </c>
      <c r="Y16" s="2"/>
      <c r="Z16" s="36"/>
      <c r="AA16" s="34">
        <f>AA14/AA15</f>
        <v>0.71478841024016504</v>
      </c>
      <c r="AB16" s="96">
        <f>AB14/AB15</f>
        <v>1.2360549422851386</v>
      </c>
      <c r="AC16" s="96"/>
      <c r="AD16" s="35">
        <f>AD14/AD15</f>
        <v>1.4394385142526889</v>
      </c>
      <c r="AE16" s="34">
        <f>AE14/AE15</f>
        <v>0.88267825698283953</v>
      </c>
      <c r="AF16" s="35">
        <f>AF14/AF15</f>
        <v>1.1619902620513876</v>
      </c>
      <c r="AH16" s="63" t="s">
        <v>33</v>
      </c>
      <c r="AI16" s="63"/>
      <c r="AJ16" s="33"/>
      <c r="AK16" s="34">
        <f>AK14/AK15</f>
        <v>0.62237557896178342</v>
      </c>
      <c r="AL16" s="97">
        <f>AL14/AL15</f>
        <v>1.1874369085824978</v>
      </c>
      <c r="AM16" s="97"/>
      <c r="AN16" s="33">
        <f>AN14/AN15</f>
        <v>1.3477286530451424</v>
      </c>
      <c r="AO16" s="34">
        <f>AO14/AO15</f>
        <v>0.78337275495572989</v>
      </c>
      <c r="AP16" s="34">
        <f>AP14/AP15</f>
        <v>0.9284172814452305</v>
      </c>
      <c r="AR16" s="2" t="s">
        <v>33</v>
      </c>
      <c r="AS16" s="33"/>
      <c r="AT16" s="33">
        <f>AT14/AT15</f>
        <v>0.65449526000210678</v>
      </c>
      <c r="AU16" s="97">
        <f>AU14/AU15</f>
        <v>1.1355426978735053</v>
      </c>
      <c r="AV16" s="97"/>
      <c r="AW16" s="33">
        <f>AW14/AW15</f>
        <v>1.3627635627284738</v>
      </c>
      <c r="AX16" s="33">
        <f>AX14/AX15</f>
        <v>0.86930848308626085</v>
      </c>
      <c r="AY16" s="33">
        <f>AY14/AY15</f>
        <v>1.0410669002978798</v>
      </c>
    </row>
    <row r="17" spans="1:45" x14ac:dyDescent="0.25">
      <c r="A17" s="37"/>
      <c r="B17" s="38">
        <f>SUM(B3:B16)</f>
        <v>4082.2310000000002</v>
      </c>
      <c r="C17" s="57">
        <f>SUM(C3:C16)</f>
        <v>883.07439658119665</v>
      </c>
      <c r="D17" s="38">
        <f>SUM(D3:D15)</f>
        <v>3471.8595000000005</v>
      </c>
      <c r="E17" s="57">
        <f>SUM(E3:E16,G3:G16)</f>
        <v>258.82235595238097</v>
      </c>
      <c r="F17" s="38">
        <f>SUM(F3:F15)</f>
        <v>1805.7989999999998</v>
      </c>
      <c r="G17" s="29"/>
      <c r="H17" s="38">
        <f>SUM(H3:H15)</f>
        <v>3487.6860000000001</v>
      </c>
      <c r="I17" s="57">
        <f>SUM(I3:I16)</f>
        <v>401.744471031746</v>
      </c>
      <c r="J17" s="38">
        <f>SUM(J3:J15)</f>
        <v>3505.5490000000004</v>
      </c>
      <c r="K17" s="57">
        <f>SUM(K3:K16)</f>
        <v>1193.4369238095242</v>
      </c>
      <c r="L17" s="38">
        <f>SUM(L3:L15)</f>
        <v>3569.3730300000002</v>
      </c>
      <c r="M17" s="57">
        <f>SUM(M3:M16)</f>
        <v>239.57801929670327</v>
      </c>
      <c r="N17" s="28">
        <f>M17+K17+I17+E17+C17</f>
        <v>2976.6561666715511</v>
      </c>
      <c r="O17" s="37" t="s">
        <v>30</v>
      </c>
      <c r="P17" s="37"/>
      <c r="Q17" s="37"/>
      <c r="R17" s="82"/>
      <c r="S17" s="82"/>
      <c r="T17" s="82"/>
      <c r="U17" s="82"/>
      <c r="V17" s="62"/>
      <c r="W17" s="62"/>
      <c r="X17" s="62" t="s">
        <v>34</v>
      </c>
      <c r="Z17" s="39">
        <f>+SUMPRODUCT(Z3:Z13,$BK$58:$BK$68)</f>
        <v>7011.0101800025768</v>
      </c>
      <c r="AH17" s="62" t="s">
        <v>34</v>
      </c>
      <c r="AJ17" s="39">
        <f>+SUMPRODUCT(AJ3:AJ13,$BK$58:$BK$68)</f>
        <v>5724.4674553536915</v>
      </c>
      <c r="AR17" t="s">
        <v>34</v>
      </c>
      <c r="AS17" s="39">
        <f>+SUMPRODUCT(AS3:AS13,$BK$58:$BK$68)</f>
        <v>5486.8446693725027</v>
      </c>
    </row>
    <row r="18" spans="1:45" x14ac:dyDescent="0.25">
      <c r="A18" s="40"/>
      <c r="B18" s="41"/>
      <c r="C18" s="30">
        <v>1010.35</v>
      </c>
      <c r="D18" s="30"/>
      <c r="E18" s="42">
        <v>219.42000000000002</v>
      </c>
      <c r="F18" s="42"/>
      <c r="G18" s="42"/>
      <c r="H18" s="29"/>
      <c r="I18" s="30">
        <v>297.37</v>
      </c>
      <c r="J18" s="30"/>
      <c r="K18" s="30">
        <v>1309.53</v>
      </c>
      <c r="L18" s="30"/>
      <c r="M18" s="30">
        <v>206.8</v>
      </c>
      <c r="N18" s="28">
        <f>M18+K18+I18+E18+C18</f>
        <v>3043.47</v>
      </c>
      <c r="O18" s="40" t="s">
        <v>32</v>
      </c>
      <c r="P18" s="40"/>
      <c r="Q18" s="40"/>
      <c r="R18" s="83"/>
      <c r="S18" s="83"/>
      <c r="T18" s="83"/>
      <c r="U18" s="83"/>
      <c r="V18" s="62"/>
      <c r="W18" s="62"/>
      <c r="X18" s="62"/>
      <c r="Z18" s="43">
        <f>+Z17/Z15</f>
        <v>1.8199921551735303</v>
      </c>
      <c r="AJ18" s="43">
        <f>+AJ17/AJ15</f>
        <v>1.646343326973694</v>
      </c>
      <c r="AS18" s="43">
        <f>+AS17/AS15</f>
        <v>1.8047940625865508</v>
      </c>
    </row>
    <row r="19" spans="1:45" x14ac:dyDescent="0.25">
      <c r="A19" s="44" t="s">
        <v>33</v>
      </c>
      <c r="C19" s="45">
        <f>C17/C18</f>
        <v>0.87402820466293529</v>
      </c>
      <c r="E19" s="45">
        <f>E17/E18</f>
        <v>1.1795750430789398</v>
      </c>
      <c r="F19" s="46"/>
      <c r="G19" s="46"/>
      <c r="I19" s="45">
        <f>I17/I18</f>
        <v>1.3509919327159632</v>
      </c>
      <c r="K19" s="45">
        <f>K17/K18</f>
        <v>0.91134752453897516</v>
      </c>
      <c r="M19" s="45">
        <f>M17/M18</f>
        <v>1.1585010604289325</v>
      </c>
      <c r="N19" s="35"/>
      <c r="O19" s="35"/>
      <c r="P19" s="35"/>
      <c r="Q19" s="35"/>
      <c r="R19" s="81"/>
      <c r="S19" s="81"/>
      <c r="T19" s="81"/>
      <c r="U19" s="81"/>
      <c r="V19" s="62"/>
      <c r="W19" s="62"/>
      <c r="X19" s="62"/>
      <c r="AA19" s="2" t="s">
        <v>1</v>
      </c>
      <c r="AE19" s="2" t="s">
        <v>2</v>
      </c>
    </row>
    <row r="20" spans="1:45" x14ac:dyDescent="0.25">
      <c r="A20" s="47" t="s">
        <v>34</v>
      </c>
      <c r="H20" s="48">
        <f>+SUMPRODUCT(H3:H16,$J$59:$J$72)</f>
        <v>5590.4105857492586</v>
      </c>
      <c r="L20" s="48">
        <f>+SUMPRODUCT(L3:L16,$J$59:$J$72)</f>
        <v>5486.5981167484861</v>
      </c>
      <c r="V20" s="47"/>
      <c r="Z20" s="43">
        <f>Z18-AJ18</f>
        <v>0.17364882819983629</v>
      </c>
      <c r="AA20" s="49">
        <f>Z20*Z15</f>
        <v>668.93348896797329</v>
      </c>
      <c r="AB20" t="s">
        <v>18</v>
      </c>
      <c r="AD20" s="43">
        <f>Z18-AS18</f>
        <v>1.5198092586979461E-2</v>
      </c>
      <c r="AE20">
        <f>AD20*Z15</f>
        <v>58.546396225414021</v>
      </c>
      <c r="AF20" t="s">
        <v>18</v>
      </c>
      <c r="AJ20" s="43">
        <f>AJ18-AS18</f>
        <v>-0.15845073561285683</v>
      </c>
      <c r="AK20" s="49">
        <f>AJ20*AJ15</f>
        <v>-550.94588378475225</v>
      </c>
      <c r="AL20" t="s">
        <v>18</v>
      </c>
    </row>
    <row r="21" spans="1:45" x14ac:dyDescent="0.25">
      <c r="H21" s="43">
        <f>H20/N18</f>
        <v>1.8368541782075261</v>
      </c>
      <c r="AA21" s="50">
        <f>AA20/BK65</f>
        <v>279.9532372337049</v>
      </c>
      <c r="AB21" t="s">
        <v>22</v>
      </c>
      <c r="AE21" s="50">
        <f>AE20/BK65</f>
        <v>24.502066979721114</v>
      </c>
      <c r="AF21" t="s">
        <v>22</v>
      </c>
      <c r="AK21" s="50">
        <f>AK20/BK65</f>
        <v>-230.57461802979114</v>
      </c>
      <c r="AL21" t="s">
        <v>22</v>
      </c>
    </row>
    <row r="22" spans="1:45" x14ac:dyDescent="0.25">
      <c r="H22" s="43">
        <f>H21-H24</f>
        <v>5.6854178207526029E-2</v>
      </c>
      <c r="I22">
        <f>H22*N18</f>
        <v>173.03398574925924</v>
      </c>
      <c r="J22" t="s">
        <v>18</v>
      </c>
      <c r="AA22">
        <f>AA20/BK61</f>
        <v>568.87933463515674</v>
      </c>
      <c r="AB22" t="s">
        <v>17</v>
      </c>
      <c r="AE22">
        <f>AE20/BK61</f>
        <v>49.789456619048678</v>
      </c>
      <c r="AF22" t="s">
        <v>17</v>
      </c>
      <c r="AK22" s="51">
        <f>AK20/BK61</f>
        <v>-468.53944817592179</v>
      </c>
      <c r="AL22" t="s">
        <v>17</v>
      </c>
    </row>
    <row r="23" spans="1:45" x14ac:dyDescent="0.25">
      <c r="A23" s="6"/>
      <c r="B23" s="89">
        <v>41426</v>
      </c>
      <c r="C23" s="89">
        <v>41456</v>
      </c>
      <c r="D23" s="89">
        <v>41487</v>
      </c>
      <c r="E23" s="89">
        <v>41518</v>
      </c>
      <c r="F23" s="89">
        <v>41548</v>
      </c>
      <c r="G23" s="89">
        <v>41579</v>
      </c>
      <c r="H23" s="89">
        <v>41609</v>
      </c>
      <c r="I23" s="89">
        <v>41640</v>
      </c>
      <c r="AA23">
        <f>AA20/BK63</f>
        <v>409.5931209373129</v>
      </c>
      <c r="AB23" t="s">
        <v>19</v>
      </c>
      <c r="AE23">
        <f>AE20/BK63</f>
        <v>35.84840876571505</v>
      </c>
      <c r="AF23" t="s">
        <v>19</v>
      </c>
      <c r="AK23" s="50">
        <f>AK20/BK63</f>
        <v>-337.34840268666375</v>
      </c>
      <c r="AL23" t="s">
        <v>19</v>
      </c>
    </row>
    <row r="24" spans="1:45" ht="30" x14ac:dyDescent="0.25">
      <c r="A24" s="52" t="s">
        <v>35</v>
      </c>
      <c r="B24" s="7">
        <v>1.8</v>
      </c>
      <c r="C24" s="7">
        <v>1.65</v>
      </c>
      <c r="D24" s="7">
        <v>1.82</v>
      </c>
      <c r="E24" s="7">
        <v>1.86</v>
      </c>
      <c r="F24" s="9">
        <v>1.84</v>
      </c>
      <c r="G24" s="31">
        <v>1.89</v>
      </c>
      <c r="H24" s="31">
        <v>1.78</v>
      </c>
      <c r="I24" s="31">
        <v>1.84</v>
      </c>
      <c r="L24" s="6"/>
      <c r="M24" s="85">
        <v>41640</v>
      </c>
      <c r="N24" s="85">
        <v>41609</v>
      </c>
      <c r="O24" s="85">
        <v>41579</v>
      </c>
      <c r="P24" s="85">
        <v>41548</v>
      </c>
      <c r="Q24" s="85">
        <v>41518</v>
      </c>
      <c r="R24" s="85">
        <v>41487</v>
      </c>
      <c r="S24" s="85">
        <v>41456</v>
      </c>
      <c r="T24" s="85">
        <v>41426</v>
      </c>
      <c r="AA24">
        <f>AA20/BK64</f>
        <v>494.86157734061965</v>
      </c>
      <c r="AB24" t="s">
        <v>21</v>
      </c>
      <c r="AE24">
        <f>AE20/BK64</f>
        <v>43.311274531068364</v>
      </c>
      <c r="AF24" t="s">
        <v>21</v>
      </c>
      <c r="AK24" s="50">
        <f>AK20/BK64</f>
        <v>-407.57706644299515</v>
      </c>
      <c r="AL24" t="s">
        <v>21</v>
      </c>
    </row>
    <row r="25" spans="1:45" ht="30" x14ac:dyDescent="0.25">
      <c r="L25" s="59" t="s">
        <v>14</v>
      </c>
      <c r="M25" s="32">
        <v>188.983</v>
      </c>
      <c r="N25" s="32">
        <v>201.29900000000001</v>
      </c>
      <c r="O25" s="32">
        <v>116.67700000000001</v>
      </c>
      <c r="P25" s="32">
        <v>154.16300000000001</v>
      </c>
      <c r="Q25" s="32">
        <v>265.13900000000001</v>
      </c>
      <c r="R25" s="58">
        <v>68.441999999999993</v>
      </c>
      <c r="S25" s="7">
        <v>159</v>
      </c>
      <c r="T25" s="7">
        <v>138</v>
      </c>
      <c r="AA25">
        <f>AA20/BK66</f>
        <v>275.60613727665981</v>
      </c>
      <c r="AB25" t="s">
        <v>23</v>
      </c>
      <c r="AE25">
        <f>AE20/BK66</f>
        <v>24.121600101154016</v>
      </c>
      <c r="AF25" t="s">
        <v>23</v>
      </c>
      <c r="AK25" s="50">
        <f>AK20/BK66</f>
        <v>-226.99426681814845</v>
      </c>
      <c r="AL25" t="s">
        <v>23</v>
      </c>
    </row>
    <row r="26" spans="1:45" ht="27.75" customHeight="1" x14ac:dyDescent="0.25">
      <c r="L26" s="59" t="s">
        <v>15</v>
      </c>
      <c r="M26" s="32">
        <v>269.41399999999999</v>
      </c>
      <c r="N26" s="32">
        <v>194.74299999999999</v>
      </c>
      <c r="O26" s="32">
        <v>344.80599999999998</v>
      </c>
      <c r="P26" s="32">
        <v>311.322</v>
      </c>
      <c r="Q26" s="32">
        <v>413.80900000000003</v>
      </c>
      <c r="R26" s="58">
        <v>368.35199999999998</v>
      </c>
      <c r="S26" s="7">
        <v>229</v>
      </c>
      <c r="T26" s="7">
        <v>104</v>
      </c>
      <c r="AA26">
        <f>AA20/BK60</f>
        <v>486.4230120753715</v>
      </c>
      <c r="AB26" t="s">
        <v>16</v>
      </c>
      <c r="AE26">
        <f>AE20/BK60</f>
        <v>42.57271442944235</v>
      </c>
      <c r="AF26" t="s">
        <v>16</v>
      </c>
      <c r="AK26" s="50">
        <f>AK20/BK60</f>
        <v>-400.6269094025543</v>
      </c>
      <c r="AL26" t="s">
        <v>16</v>
      </c>
    </row>
    <row r="27" spans="1:45" ht="21" customHeight="1" x14ac:dyDescent="0.25">
      <c r="L27" s="59" t="s">
        <v>16</v>
      </c>
      <c r="M27" s="32">
        <v>264.08000000000004</v>
      </c>
      <c r="N27" s="32">
        <v>406.709</v>
      </c>
      <c r="O27" s="32">
        <v>301.03699999999998</v>
      </c>
      <c r="P27" s="32">
        <v>351.66899999999998</v>
      </c>
      <c r="Q27" s="32">
        <v>560.91499999999996</v>
      </c>
      <c r="R27" s="58">
        <v>484.61200000000002</v>
      </c>
      <c r="S27" s="7">
        <v>471</v>
      </c>
      <c r="T27" s="7">
        <v>388</v>
      </c>
      <c r="AA27">
        <f>AA20/BK58</f>
        <v>611.17108810176478</v>
      </c>
      <c r="AB27" t="s">
        <v>14</v>
      </c>
      <c r="AE27">
        <f>AE20/BK58</f>
        <v>53.490915428269851</v>
      </c>
      <c r="AF27" t="s">
        <v>14</v>
      </c>
      <c r="AK27" s="50">
        <f>AK20/BK58</f>
        <v>-503.37171158437377</v>
      </c>
      <c r="AL27" t="s">
        <v>14</v>
      </c>
    </row>
    <row r="28" spans="1:45" ht="27.75" customHeight="1" x14ac:dyDescent="0.25">
      <c r="L28" s="59" t="s">
        <v>17</v>
      </c>
      <c r="M28" s="32">
        <v>460.11299999999994</v>
      </c>
      <c r="N28" s="32">
        <v>479.47500000000002</v>
      </c>
      <c r="O28" s="32">
        <v>538.12800000000004</v>
      </c>
      <c r="P28" s="32">
        <v>469.00599999999997</v>
      </c>
      <c r="Q28" s="32">
        <v>579.596</v>
      </c>
      <c r="R28" s="58">
        <v>834.57</v>
      </c>
      <c r="S28" s="58">
        <v>592.43600000000004</v>
      </c>
      <c r="T28" s="58">
        <v>503.44299999999998</v>
      </c>
      <c r="AA28">
        <f>AA20/BK59</f>
        <v>601.5053652972357</v>
      </c>
      <c r="AB28" t="s">
        <v>15</v>
      </c>
      <c r="AE28">
        <f>AE20/BK59</f>
        <v>52.644952045584326</v>
      </c>
      <c r="AF28" t="s">
        <v>15</v>
      </c>
      <c r="AK28" s="50">
        <f>AK20/BK59</f>
        <v>-495.41084509946279</v>
      </c>
      <c r="AL28" t="s">
        <v>15</v>
      </c>
    </row>
    <row r="29" spans="1:45" ht="30" x14ac:dyDescent="0.25">
      <c r="L29" s="59" t="s">
        <v>18</v>
      </c>
      <c r="M29" s="32">
        <v>680.24099999999999</v>
      </c>
      <c r="N29" s="32">
        <v>596.08199999999999</v>
      </c>
      <c r="O29" s="32">
        <v>721.92200000000003</v>
      </c>
      <c r="P29" s="32">
        <v>990.49199999999996</v>
      </c>
      <c r="Q29" s="32">
        <v>978.74199999999996</v>
      </c>
      <c r="R29" s="58">
        <v>942.82100000000003</v>
      </c>
      <c r="S29" s="58">
        <v>723.66399999999999</v>
      </c>
      <c r="T29" s="58">
        <v>983.58900000000006</v>
      </c>
      <c r="AK29" s="50"/>
    </row>
    <row r="30" spans="1:45" ht="31.5" customHeight="1" x14ac:dyDescent="0.25">
      <c r="L30" s="59" t="s">
        <v>19</v>
      </c>
      <c r="M30" s="32">
        <v>588.07199999999989</v>
      </c>
      <c r="N30" s="32">
        <v>546.452</v>
      </c>
      <c r="O30" s="32">
        <v>939.06600000000003</v>
      </c>
      <c r="P30" s="32">
        <v>1053.0930000000001</v>
      </c>
      <c r="Q30" s="32">
        <v>396.40699999999998</v>
      </c>
      <c r="R30" s="58">
        <v>550.12599999999998</v>
      </c>
      <c r="S30" s="58">
        <v>627.11800000000005</v>
      </c>
      <c r="T30" s="58">
        <v>492.37</v>
      </c>
      <c r="AK30" s="50"/>
    </row>
    <row r="31" spans="1:45" ht="30" x14ac:dyDescent="0.25">
      <c r="L31" s="60" t="s">
        <v>21</v>
      </c>
      <c r="M31" s="32">
        <v>288.44400000000002</v>
      </c>
      <c r="N31" s="32">
        <v>518.52800000000002</v>
      </c>
      <c r="O31" s="32">
        <v>198.14400000000001</v>
      </c>
      <c r="P31" s="32">
        <v>199.79900000000001</v>
      </c>
      <c r="Q31" s="32">
        <v>228.572</v>
      </c>
      <c r="R31" s="58">
        <v>266.976</v>
      </c>
      <c r="S31" s="58">
        <v>397.44099999999997</v>
      </c>
      <c r="T31" s="58">
        <v>400.702</v>
      </c>
      <c r="AK31" s="50"/>
    </row>
    <row r="32" spans="1:45" x14ac:dyDescent="0.25">
      <c r="L32" s="59" t="s">
        <v>22</v>
      </c>
      <c r="M32" s="32">
        <v>566.06700000000001</v>
      </c>
      <c r="N32" s="32">
        <v>388.43700000000001</v>
      </c>
      <c r="O32" s="32">
        <v>597.93200000000002</v>
      </c>
      <c r="P32" s="32">
        <v>774.33699999999999</v>
      </c>
      <c r="Q32" s="32">
        <v>402.43</v>
      </c>
      <c r="R32" s="58">
        <v>584.95399999999995</v>
      </c>
      <c r="S32" s="58">
        <v>376</v>
      </c>
      <c r="T32" s="58">
        <v>416</v>
      </c>
      <c r="AK32" s="50"/>
    </row>
    <row r="33" spans="12:37" ht="30" x14ac:dyDescent="0.25">
      <c r="L33" s="59" t="s">
        <v>23</v>
      </c>
      <c r="M33" s="32">
        <v>182.27199999999999</v>
      </c>
      <c r="N33" s="32">
        <v>256.065</v>
      </c>
      <c r="O33" s="32">
        <v>285.16300000000001</v>
      </c>
      <c r="P33" s="32">
        <v>235.82900000000001</v>
      </c>
      <c r="Q33" s="32">
        <v>474.98099999999999</v>
      </c>
      <c r="R33" s="58">
        <v>351.49</v>
      </c>
      <c r="S33" s="58">
        <v>197</v>
      </c>
      <c r="T33" s="58">
        <v>196</v>
      </c>
      <c r="AK33" s="50"/>
    </row>
    <row r="34" spans="12:37" x14ac:dyDescent="0.25">
      <c r="L34" s="59" t="s">
        <v>27</v>
      </c>
      <c r="M34" s="32">
        <v>555</v>
      </c>
      <c r="N34" s="32">
        <v>515</v>
      </c>
      <c r="O34" s="32">
        <v>687</v>
      </c>
      <c r="P34" s="32">
        <v>606</v>
      </c>
      <c r="Q34" s="32">
        <v>579</v>
      </c>
      <c r="R34" s="58">
        <f>667*0.4</f>
        <v>266.8</v>
      </c>
      <c r="S34" s="58">
        <f>454*0.4</f>
        <v>181.60000000000002</v>
      </c>
      <c r="T34" s="58">
        <f>463*0.4</f>
        <v>185.20000000000002</v>
      </c>
      <c r="AK34" s="50"/>
    </row>
    <row r="35" spans="12:37" x14ac:dyDescent="0.25">
      <c r="AK35" s="50"/>
    </row>
    <row r="36" spans="12:37" x14ac:dyDescent="0.25">
      <c r="AK36" s="50"/>
    </row>
    <row r="37" spans="12:37" x14ac:dyDescent="0.25">
      <c r="AK37" s="50"/>
    </row>
    <row r="38" spans="12:37" x14ac:dyDescent="0.25">
      <c r="AK38" s="50"/>
    </row>
    <row r="39" spans="12:37" x14ac:dyDescent="0.25">
      <c r="AK39" s="50"/>
    </row>
    <row r="40" spans="12:37" x14ac:dyDescent="0.25">
      <c r="AK40" s="50"/>
    </row>
    <row r="41" spans="12:37" x14ac:dyDescent="0.25">
      <c r="AK41" s="50"/>
    </row>
    <row r="42" spans="12:37" x14ac:dyDescent="0.25">
      <c r="AK42" s="50"/>
    </row>
    <row r="43" spans="12:37" x14ac:dyDescent="0.25">
      <c r="AK43" s="50"/>
    </row>
    <row r="44" spans="12:37" x14ac:dyDescent="0.25">
      <c r="AK44" s="50"/>
    </row>
    <row r="45" spans="12:37" x14ac:dyDescent="0.25">
      <c r="AK45" s="50"/>
    </row>
    <row r="46" spans="12:37" x14ac:dyDescent="0.25">
      <c r="AK46" s="50"/>
    </row>
    <row r="47" spans="12:37" x14ac:dyDescent="0.25">
      <c r="AK47" s="50"/>
    </row>
    <row r="48" spans="12:37" x14ac:dyDescent="0.25">
      <c r="AK48" s="50"/>
    </row>
    <row r="49" spans="1:63" x14ac:dyDescent="0.25">
      <c r="AK49" s="50"/>
    </row>
    <row r="50" spans="1:63" x14ac:dyDescent="0.25">
      <c r="AK50" s="50"/>
    </row>
    <row r="57" spans="1:63" ht="60" x14ac:dyDescent="0.25">
      <c r="BB57" s="6"/>
      <c r="BC57" s="6"/>
      <c r="BD57" s="7" t="s">
        <v>8</v>
      </c>
      <c r="BE57" s="8" t="s">
        <v>9</v>
      </c>
      <c r="BF57" s="90" t="s">
        <v>10</v>
      </c>
      <c r="BG57" s="90"/>
      <c r="BH57" s="7" t="s">
        <v>11</v>
      </c>
      <c r="BI57" s="7" t="s">
        <v>12</v>
      </c>
      <c r="BJ57" s="7" t="s">
        <v>13</v>
      </c>
    </row>
    <row r="58" spans="1:63" ht="60" x14ac:dyDescent="0.25">
      <c r="A58" s="6"/>
      <c r="B58" s="6"/>
      <c r="C58" s="7" t="s">
        <v>8</v>
      </c>
      <c r="D58" s="8" t="s">
        <v>9</v>
      </c>
      <c r="E58" s="90" t="s">
        <v>10</v>
      </c>
      <c r="F58" s="90"/>
      <c r="G58" s="7" t="s">
        <v>11</v>
      </c>
      <c r="H58" s="7" t="s">
        <v>12</v>
      </c>
      <c r="I58" s="7" t="s">
        <v>13</v>
      </c>
      <c r="BB58" s="6" t="s">
        <v>14</v>
      </c>
      <c r="BC58" s="6"/>
      <c r="BD58" s="53">
        <f>SUM(BE58:BJ58)</f>
        <v>0.51858974358974352</v>
      </c>
      <c r="BE58" s="16">
        <v>0.125</v>
      </c>
      <c r="BF58" s="16">
        <v>0.05</v>
      </c>
      <c r="BG58" s="6" t="s">
        <v>36</v>
      </c>
      <c r="BH58" s="16">
        <v>0.13333333333333333</v>
      </c>
      <c r="BI58" s="16">
        <v>0.13333333333333333</v>
      </c>
      <c r="BJ58" s="16">
        <v>7.6923076923076927E-2</v>
      </c>
      <c r="BK58" s="54">
        <f>+BD58/$BD$62</f>
        <v>1.0945110166215692</v>
      </c>
    </row>
    <row r="59" spans="1:63" x14ac:dyDescent="0.25">
      <c r="A59" s="6" t="s">
        <v>14</v>
      </c>
      <c r="B59" s="6"/>
      <c r="C59" s="53">
        <f>SUM(D59:I59)</f>
        <v>0.51858974358974352</v>
      </c>
      <c r="D59" s="16">
        <v>0.125</v>
      </c>
      <c r="E59" s="16">
        <v>0.05</v>
      </c>
      <c r="F59" s="6" t="s">
        <v>36</v>
      </c>
      <c r="G59" s="16">
        <v>0.13333333333333333</v>
      </c>
      <c r="H59" s="16">
        <v>0.13333333333333333</v>
      </c>
      <c r="I59" s="16">
        <v>7.6923076923076927E-2</v>
      </c>
      <c r="J59" s="54">
        <f>+C59/$C$63</f>
        <v>1.0945110166215692</v>
      </c>
      <c r="BB59" s="6" t="s">
        <v>15</v>
      </c>
      <c r="BC59" s="6"/>
      <c r="BD59" s="53">
        <f t="shared" ref="BD59:BD68" si="8">SUM(BE59:BJ59)</f>
        <v>0.52692307692307683</v>
      </c>
      <c r="BE59" s="16">
        <v>0.125</v>
      </c>
      <c r="BF59" s="16">
        <v>6.6666666666666666E-2</v>
      </c>
      <c r="BG59" s="6"/>
      <c r="BH59" s="16">
        <v>0.125</v>
      </c>
      <c r="BI59" s="16">
        <v>0.13333333333333333</v>
      </c>
      <c r="BJ59" s="16">
        <v>7.6923076923076927E-2</v>
      </c>
      <c r="BK59" s="54">
        <f>+BD59/$BD$62</f>
        <v>1.1120989563200616</v>
      </c>
    </row>
    <row r="60" spans="1:63" x14ac:dyDescent="0.25">
      <c r="A60" s="6" t="s">
        <v>15</v>
      </c>
      <c r="B60" s="6"/>
      <c r="C60" s="53">
        <f t="shared" ref="C60:C67" si="9">SUM(D60:I60)</f>
        <v>0.52692307692307683</v>
      </c>
      <c r="D60" s="16">
        <v>0.125</v>
      </c>
      <c r="E60" s="16">
        <v>6.6666666666666666E-2</v>
      </c>
      <c r="F60" s="6"/>
      <c r="G60" s="16">
        <v>0.125</v>
      </c>
      <c r="H60" s="16">
        <v>0.13333333333333333</v>
      </c>
      <c r="I60" s="16">
        <v>7.6923076923076927E-2</v>
      </c>
      <c r="J60" s="54">
        <f>+C60/$C$63</f>
        <v>1.1120989563200616</v>
      </c>
      <c r="BB60" s="6" t="s">
        <v>16</v>
      </c>
      <c r="BC60" s="6"/>
      <c r="BD60" s="53">
        <f t="shared" si="8"/>
        <v>0.6515873015873016</v>
      </c>
      <c r="BE60" s="16">
        <v>0.2</v>
      </c>
      <c r="BF60" s="16">
        <v>3.3333333333333333E-2</v>
      </c>
      <c r="BG60" s="7">
        <v>0.05</v>
      </c>
      <c r="BH60" s="16">
        <v>0.1111111111111111</v>
      </c>
      <c r="BI60" s="16">
        <v>0.2</v>
      </c>
      <c r="BJ60" s="16">
        <v>5.7142857142857141E-2</v>
      </c>
      <c r="BK60" s="54">
        <f>+BD60/$BD$62</f>
        <v>1.375209380234506</v>
      </c>
    </row>
    <row r="61" spans="1:63" x14ac:dyDescent="0.25">
      <c r="A61" s="6" t="s">
        <v>16</v>
      </c>
      <c r="B61" s="6"/>
      <c r="C61" s="53">
        <f t="shared" si="9"/>
        <v>0.6515873015873016</v>
      </c>
      <c r="D61" s="16">
        <v>0.2</v>
      </c>
      <c r="E61" s="16">
        <v>3.3333333333333333E-2</v>
      </c>
      <c r="F61" s="7">
        <v>0.05</v>
      </c>
      <c r="G61" s="16">
        <v>0.1111111111111111</v>
      </c>
      <c r="H61" s="16">
        <v>0.2</v>
      </c>
      <c r="I61" s="16">
        <v>5.7142857142857141E-2</v>
      </c>
      <c r="J61" s="54">
        <f>+C61/$C$63</f>
        <v>1.375209380234506</v>
      </c>
      <c r="BB61" s="6" t="s">
        <v>17</v>
      </c>
      <c r="BC61" s="6"/>
      <c r="BD61" s="53">
        <f t="shared" si="8"/>
        <v>0.55714285714285716</v>
      </c>
      <c r="BE61" s="16">
        <v>0.13333333333333333</v>
      </c>
      <c r="BF61" s="16">
        <v>3.3333333333333333E-2</v>
      </c>
      <c r="BG61" s="6"/>
      <c r="BH61" s="16">
        <v>8.3333333333333329E-2</v>
      </c>
      <c r="BI61" s="16">
        <v>0.25</v>
      </c>
      <c r="BJ61" s="16">
        <v>5.7142857142857141E-2</v>
      </c>
      <c r="BK61" s="54">
        <f>+BD61/$BD$62</f>
        <v>1.1758793969849246</v>
      </c>
    </row>
    <row r="62" spans="1:63" x14ac:dyDescent="0.25">
      <c r="A62" s="6" t="s">
        <v>17</v>
      </c>
      <c r="B62" s="6"/>
      <c r="C62" s="53">
        <f t="shared" si="9"/>
        <v>0.55714285714285716</v>
      </c>
      <c r="D62" s="16">
        <v>0.13333333333333333</v>
      </c>
      <c r="E62" s="16">
        <v>3.3333333333333333E-2</v>
      </c>
      <c r="F62" s="6"/>
      <c r="G62" s="16">
        <v>8.3333333333333329E-2</v>
      </c>
      <c r="H62" s="16">
        <v>0.25</v>
      </c>
      <c r="I62" s="16">
        <v>5.7142857142857141E-2</v>
      </c>
      <c r="J62" s="54">
        <f>+C62/$C$63</f>
        <v>1.1758793969849246</v>
      </c>
      <c r="BB62" s="6" t="s">
        <v>18</v>
      </c>
      <c r="BC62" s="6"/>
      <c r="BD62" s="53">
        <f t="shared" si="8"/>
        <v>0.47380952380952379</v>
      </c>
      <c r="BE62" s="16">
        <v>0.13333333333333333</v>
      </c>
      <c r="BF62" s="16">
        <v>3.3333333333333333E-2</v>
      </c>
      <c r="BG62" s="6"/>
      <c r="BH62" s="16">
        <v>8.3333333333333329E-2</v>
      </c>
      <c r="BI62" s="16">
        <v>0.16666666666666666</v>
      </c>
      <c r="BJ62" s="16">
        <v>5.7142857142857141E-2</v>
      </c>
      <c r="BK62" s="55">
        <v>1</v>
      </c>
    </row>
    <row r="63" spans="1:63" x14ac:dyDescent="0.25">
      <c r="A63" s="6" t="s">
        <v>18</v>
      </c>
      <c r="B63" s="6"/>
      <c r="C63" s="53">
        <f t="shared" si="9"/>
        <v>0.47380952380952379</v>
      </c>
      <c r="D63" s="16">
        <v>0.13333333333333333</v>
      </c>
      <c r="E63" s="16">
        <v>3.3333333333333333E-2</v>
      </c>
      <c r="F63" s="6"/>
      <c r="G63" s="16">
        <v>8.3333333333333329E-2</v>
      </c>
      <c r="H63" s="16">
        <v>0.16666666666666666</v>
      </c>
      <c r="I63" s="16">
        <v>5.7142857142857141E-2</v>
      </c>
      <c r="J63" s="55">
        <v>1</v>
      </c>
      <c r="K63" s="47" t="s">
        <v>34</v>
      </c>
      <c r="BB63" s="6" t="s">
        <v>19</v>
      </c>
      <c r="BC63" s="6"/>
      <c r="BD63" s="53">
        <f t="shared" si="8"/>
        <v>0.77380952380952372</v>
      </c>
      <c r="BE63" s="16">
        <v>0.2</v>
      </c>
      <c r="BF63" s="16">
        <v>3.3333333333333333E-2</v>
      </c>
      <c r="BG63" s="7">
        <v>0.05</v>
      </c>
      <c r="BH63" s="16">
        <v>0.1</v>
      </c>
      <c r="BI63" s="16">
        <v>0.33333333333333331</v>
      </c>
      <c r="BJ63" s="16">
        <v>5.7142857142857141E-2</v>
      </c>
      <c r="BK63" s="54">
        <f>+BD63/$BD$62</f>
        <v>1.6331658291457285</v>
      </c>
    </row>
    <row r="64" spans="1:63" x14ac:dyDescent="0.25">
      <c r="A64" s="6" t="s">
        <v>19</v>
      </c>
      <c r="B64" s="6"/>
      <c r="C64" s="53">
        <f t="shared" si="9"/>
        <v>0.77380952380952372</v>
      </c>
      <c r="D64" s="16">
        <v>0.2</v>
      </c>
      <c r="E64" s="16">
        <v>3.3333333333333333E-2</v>
      </c>
      <c r="F64" s="7">
        <v>0.05</v>
      </c>
      <c r="G64" s="16">
        <v>0.1</v>
      </c>
      <c r="H64" s="16">
        <v>0.33333333333333331</v>
      </c>
      <c r="I64" s="16">
        <v>5.7142857142857141E-2</v>
      </c>
      <c r="J64" s="54">
        <f>+C64/$C$63</f>
        <v>1.6331658291457285</v>
      </c>
      <c r="BB64" s="6" t="s">
        <v>21</v>
      </c>
      <c r="BC64" s="6"/>
      <c r="BD64" s="53">
        <f t="shared" si="8"/>
        <v>0.64047619047619042</v>
      </c>
      <c r="BE64" s="10">
        <v>0.2</v>
      </c>
      <c r="BF64" s="10">
        <v>3.3333333333333333E-2</v>
      </c>
      <c r="BG64" s="31">
        <v>0.05</v>
      </c>
      <c r="BH64" s="10">
        <v>0.1</v>
      </c>
      <c r="BI64" s="10">
        <v>0.2</v>
      </c>
      <c r="BJ64" s="10">
        <v>5.7142857142857141E-2</v>
      </c>
      <c r="BK64" s="54">
        <f>+BD64/$BD$62</f>
        <v>1.3517587939698492</v>
      </c>
    </row>
    <row r="65" spans="1:63" x14ac:dyDescent="0.25">
      <c r="A65" s="6" t="s">
        <v>21</v>
      </c>
      <c r="B65" s="6"/>
      <c r="C65" s="53">
        <f t="shared" si="9"/>
        <v>0.64047619047619042</v>
      </c>
      <c r="D65" s="10">
        <v>0.2</v>
      </c>
      <c r="E65" s="10">
        <v>3.3333333333333333E-2</v>
      </c>
      <c r="F65" s="31">
        <v>0.05</v>
      </c>
      <c r="G65" s="10">
        <v>0.1</v>
      </c>
      <c r="H65" s="10">
        <v>0.2</v>
      </c>
      <c r="I65" s="10">
        <v>5.7142857142857141E-2</v>
      </c>
      <c r="J65" s="54">
        <f>+C65/$C$63</f>
        <v>1.3517587939698492</v>
      </c>
      <c r="BB65" s="6" t="s">
        <v>22</v>
      </c>
      <c r="BC65" s="6"/>
      <c r="BD65" s="53">
        <f t="shared" si="8"/>
        <v>1.1321428571428571</v>
      </c>
      <c r="BE65" s="16">
        <v>0.2</v>
      </c>
      <c r="BF65" s="16">
        <v>3.3333333333333333E-2</v>
      </c>
      <c r="BG65" s="7">
        <v>0.05</v>
      </c>
      <c r="BH65" s="16">
        <v>0.125</v>
      </c>
      <c r="BI65" s="16">
        <v>0.66666666666666663</v>
      </c>
      <c r="BJ65" s="16">
        <v>5.7142857142857141E-2</v>
      </c>
      <c r="BK65" s="54">
        <f>+BD65/$BD$62</f>
        <v>2.3894472361809047</v>
      </c>
    </row>
    <row r="66" spans="1:63" x14ac:dyDescent="0.25">
      <c r="A66" s="6" t="s">
        <v>22</v>
      </c>
      <c r="B66" s="6"/>
      <c r="C66" s="53">
        <f t="shared" si="9"/>
        <v>1.1321428571428571</v>
      </c>
      <c r="D66" s="16">
        <v>0.2</v>
      </c>
      <c r="E66" s="16">
        <v>3.3333333333333333E-2</v>
      </c>
      <c r="F66" s="7">
        <v>0.05</v>
      </c>
      <c r="G66" s="16">
        <v>0.125</v>
      </c>
      <c r="H66" s="16">
        <v>0.66666666666666663</v>
      </c>
      <c r="I66" s="16">
        <v>5.7142857142857141E-2</v>
      </c>
      <c r="J66" s="54">
        <f>+C66/$C$63</f>
        <v>2.3894472361809047</v>
      </c>
      <c r="BB66" s="6" t="s">
        <v>23</v>
      </c>
      <c r="BC66" s="6"/>
      <c r="BD66" s="53">
        <f t="shared" si="8"/>
        <v>1.1499999999999999</v>
      </c>
      <c r="BE66" s="16">
        <v>0.2</v>
      </c>
      <c r="BF66" s="16">
        <v>3.3333333333333333E-2</v>
      </c>
      <c r="BG66" s="7">
        <v>0.05</v>
      </c>
      <c r="BH66" s="16">
        <v>0.14285714285714285</v>
      </c>
      <c r="BI66" s="16">
        <v>0.66666666666666663</v>
      </c>
      <c r="BJ66" s="16">
        <v>5.7142857142857141E-2</v>
      </c>
      <c r="BK66" s="54">
        <f>+BD66/$BD$62</f>
        <v>2.4271356783919598</v>
      </c>
    </row>
    <row r="67" spans="1:63" x14ac:dyDescent="0.25">
      <c r="A67" s="6" t="s">
        <v>23</v>
      </c>
      <c r="B67" s="6"/>
      <c r="C67" s="53">
        <f t="shared" si="9"/>
        <v>1.1499999999999999</v>
      </c>
      <c r="D67" s="16">
        <v>0.2</v>
      </c>
      <c r="E67" s="16">
        <v>3.3333333333333333E-2</v>
      </c>
      <c r="F67" s="7">
        <v>0.05</v>
      </c>
      <c r="G67" s="16">
        <v>0.14285714285714285</v>
      </c>
      <c r="H67" s="16">
        <v>0.66666666666666663</v>
      </c>
      <c r="I67" s="16">
        <v>5.7142857142857141E-2</v>
      </c>
      <c r="J67" s="54">
        <f>+C67/$C$63</f>
        <v>2.4271356783919598</v>
      </c>
      <c r="BB67" s="6"/>
      <c r="BC67" s="6"/>
      <c r="BD67" s="53"/>
      <c r="BE67" s="16"/>
      <c r="BF67" s="16"/>
      <c r="BG67" s="7"/>
      <c r="BH67" s="16"/>
      <c r="BI67" s="16"/>
      <c r="BJ67" s="16"/>
      <c r="BK67" s="54"/>
    </row>
    <row r="68" spans="1:63" x14ac:dyDescent="0.25">
      <c r="A68" s="6"/>
      <c r="B68" s="6"/>
      <c r="C68" s="53"/>
      <c r="D68" s="16"/>
      <c r="E68" s="16"/>
      <c r="F68" s="7"/>
      <c r="G68" s="16"/>
      <c r="H68" s="16"/>
      <c r="I68" s="16"/>
      <c r="J68" s="54"/>
      <c r="BB68" s="6" t="s">
        <v>37</v>
      </c>
      <c r="BC68" s="6"/>
      <c r="BD68" s="53">
        <f t="shared" si="8"/>
        <v>0.30238095238095236</v>
      </c>
      <c r="BE68" s="16">
        <v>6.6666666666666666E-2</v>
      </c>
      <c r="BF68" s="16">
        <v>3.5714285714285712E-2</v>
      </c>
      <c r="BG68" s="7"/>
      <c r="BH68" s="16">
        <v>0.05</v>
      </c>
      <c r="BI68" s="16">
        <v>0.1</v>
      </c>
      <c r="BJ68" s="16">
        <v>0.05</v>
      </c>
      <c r="BK68" s="54">
        <f>+BD68/$BD$62</f>
        <v>0.63819095477386933</v>
      </c>
    </row>
    <row r="69" spans="1:63" x14ac:dyDescent="0.25">
      <c r="A69" s="6"/>
      <c r="B69" s="6"/>
      <c r="C69" s="53"/>
      <c r="D69" s="16"/>
      <c r="E69" s="16"/>
      <c r="F69" s="7"/>
      <c r="G69" s="16"/>
      <c r="H69" s="16"/>
      <c r="I69" s="16"/>
      <c r="J69" s="54"/>
    </row>
    <row r="70" spans="1:63" x14ac:dyDescent="0.25">
      <c r="A70" s="6"/>
      <c r="B70" s="6"/>
      <c r="C70" s="53"/>
      <c r="D70" s="16"/>
      <c r="E70" s="16"/>
      <c r="F70" s="7"/>
      <c r="G70" s="16"/>
      <c r="H70" s="16"/>
      <c r="I70" s="16"/>
      <c r="J70" s="54"/>
    </row>
    <row r="71" spans="1:63" x14ac:dyDescent="0.25">
      <c r="A71" s="6"/>
      <c r="B71" s="6"/>
      <c r="C71" s="53"/>
      <c r="D71" s="16"/>
      <c r="E71" s="16"/>
      <c r="F71" s="7"/>
      <c r="G71" s="16"/>
      <c r="H71" s="16"/>
      <c r="I71" s="16"/>
      <c r="J71" s="54"/>
    </row>
    <row r="72" spans="1:63" x14ac:dyDescent="0.25">
      <c r="A72" s="6" t="s">
        <v>37</v>
      </c>
      <c r="B72" s="6"/>
      <c r="C72" s="53">
        <f>SUM(D72:I72)</f>
        <v>0.30238095238095236</v>
      </c>
      <c r="D72" s="16">
        <v>6.6666666666666666E-2</v>
      </c>
      <c r="E72" s="16">
        <v>3.5714285714285712E-2</v>
      </c>
      <c r="F72" s="7"/>
      <c r="G72" s="16">
        <v>0.05</v>
      </c>
      <c r="H72" s="16">
        <v>0.1</v>
      </c>
      <c r="I72" s="16">
        <v>0.05</v>
      </c>
      <c r="J72" s="54">
        <f>+C72/$C$63</f>
        <v>0.63819095477386933</v>
      </c>
    </row>
    <row r="75" spans="1:63" x14ac:dyDescent="0.25">
      <c r="AJ75" t="s">
        <v>38</v>
      </c>
      <c r="AK75" t="s">
        <v>1</v>
      </c>
      <c r="AL75" t="s">
        <v>2</v>
      </c>
    </row>
    <row r="76" spans="1:63" x14ac:dyDescent="0.25">
      <c r="AH76" s="65" t="s">
        <v>14</v>
      </c>
      <c r="AI76" s="65"/>
      <c r="AJ76" s="15">
        <v>68.441999999999993</v>
      </c>
      <c r="AK76" s="6">
        <v>159</v>
      </c>
      <c r="AL76" s="6">
        <v>138</v>
      </c>
    </row>
    <row r="77" spans="1:63" x14ac:dyDescent="0.25">
      <c r="AH77" s="65" t="s">
        <v>15</v>
      </c>
      <c r="AI77" s="65"/>
      <c r="AJ77" s="15">
        <v>368.35199999999998</v>
      </c>
      <c r="AK77" s="6">
        <v>229</v>
      </c>
      <c r="AL77" s="6">
        <v>104</v>
      </c>
    </row>
    <row r="78" spans="1:63" ht="14.25" customHeight="1" x14ac:dyDescent="0.25">
      <c r="AH78" s="65" t="s">
        <v>16</v>
      </c>
      <c r="AI78" s="65"/>
      <c r="AJ78" s="15">
        <v>484.61200000000002</v>
      </c>
      <c r="AK78" s="6">
        <v>471</v>
      </c>
      <c r="AL78" s="6">
        <v>388</v>
      </c>
    </row>
    <row r="79" spans="1:63" x14ac:dyDescent="0.25">
      <c r="AH79" s="65" t="s">
        <v>17</v>
      </c>
      <c r="AI79" s="65"/>
      <c r="AJ79" s="15">
        <v>834.57</v>
      </c>
      <c r="AK79" s="15">
        <v>592.43600000000004</v>
      </c>
      <c r="AL79" s="15">
        <v>503.44299999999998</v>
      </c>
    </row>
    <row r="80" spans="1:63" x14ac:dyDescent="0.25">
      <c r="A80" s="87" t="s">
        <v>41</v>
      </c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AH80" s="65" t="s">
        <v>18</v>
      </c>
      <c r="AI80" s="65"/>
      <c r="AJ80" s="15">
        <v>942.82100000000003</v>
      </c>
      <c r="AK80" s="15">
        <v>723.66399999999999</v>
      </c>
      <c r="AL80" s="15">
        <v>983.58900000000006</v>
      </c>
    </row>
    <row r="81" spans="1:38" ht="60" x14ac:dyDescent="0.25">
      <c r="A81" s="3"/>
      <c r="B81" s="4" t="s">
        <v>3</v>
      </c>
      <c r="C81" s="56" t="s">
        <v>39</v>
      </c>
      <c r="D81" s="4" t="s">
        <v>4</v>
      </c>
      <c r="E81" s="56" t="s">
        <v>39</v>
      </c>
      <c r="F81" s="4" t="s">
        <v>5</v>
      </c>
      <c r="G81" s="56" t="s">
        <v>39</v>
      </c>
      <c r="H81" s="4" t="s">
        <v>6</v>
      </c>
      <c r="I81" s="56" t="s">
        <v>39</v>
      </c>
      <c r="J81" s="4" t="s">
        <v>12</v>
      </c>
      <c r="K81" s="56" t="s">
        <v>39</v>
      </c>
      <c r="L81" s="4" t="s">
        <v>7</v>
      </c>
      <c r="M81" s="56" t="s">
        <v>39</v>
      </c>
      <c r="N81" s="64"/>
      <c r="O81" s="64"/>
      <c r="AH81" s="65" t="s">
        <v>19</v>
      </c>
      <c r="AI81" s="71">
        <f>AJ81-219.9037</f>
        <v>330.22230000000002</v>
      </c>
      <c r="AJ81" s="15">
        <v>550.12599999999998</v>
      </c>
      <c r="AK81" s="15">
        <v>627.11800000000005</v>
      </c>
      <c r="AL81" s="15">
        <v>492.37</v>
      </c>
    </row>
    <row r="82" spans="1:38" x14ac:dyDescent="0.25">
      <c r="A82" s="3" t="s">
        <v>14</v>
      </c>
      <c r="B82" s="68">
        <v>212.392</v>
      </c>
      <c r="C82" s="68">
        <f>B82/10</f>
        <v>21.2392</v>
      </c>
      <c r="D82" s="68">
        <v>144.50899999999999</v>
      </c>
      <c r="E82" s="68">
        <f>D82/20</f>
        <v>7.2254499999999995</v>
      </c>
      <c r="F82" s="68"/>
      <c r="G82" s="11"/>
      <c r="H82" s="12">
        <v>201.29900000000001</v>
      </c>
      <c r="I82" s="68">
        <f>H82/6</f>
        <v>33.549833333333332</v>
      </c>
      <c r="J82" s="68">
        <v>156.393</v>
      </c>
      <c r="K82" s="68">
        <f>J82/5</f>
        <v>31.278600000000001</v>
      </c>
      <c r="L82" s="68">
        <v>165.441</v>
      </c>
      <c r="M82" s="68">
        <f>L82/13</f>
        <v>12.726230769230769</v>
      </c>
      <c r="N82" s="69"/>
      <c r="O82" s="69"/>
      <c r="AH82" s="73" t="s">
        <v>21</v>
      </c>
      <c r="AI82" s="74">
        <f>AJ82-106.7623</f>
        <v>160.21370000000002</v>
      </c>
      <c r="AJ82" s="15">
        <v>266.976</v>
      </c>
      <c r="AK82" s="15">
        <v>397.44099999999997</v>
      </c>
      <c r="AL82" s="15">
        <v>400.702</v>
      </c>
    </row>
    <row r="83" spans="1:38" x14ac:dyDescent="0.25">
      <c r="A83" s="3" t="s">
        <v>15</v>
      </c>
      <c r="B83" s="68">
        <v>268.79300000000001</v>
      </c>
      <c r="C83" s="68">
        <f>B83/10</f>
        <v>26.879300000000001</v>
      </c>
      <c r="D83" s="68">
        <v>288.45999999999998</v>
      </c>
      <c r="E83" s="68">
        <f>D83/15</f>
        <v>19.230666666666664</v>
      </c>
      <c r="F83" s="68"/>
      <c r="G83" s="11"/>
      <c r="H83" s="12">
        <v>194.74299999999999</v>
      </c>
      <c r="I83" s="68">
        <f>H83/8</f>
        <v>24.342874999999999</v>
      </c>
      <c r="J83" s="68">
        <v>233.26</v>
      </c>
      <c r="K83" s="68">
        <f>J83/5</f>
        <v>46.652000000000001</v>
      </c>
      <c r="L83" s="68">
        <v>290.81599999999997</v>
      </c>
      <c r="M83" s="68">
        <f>L83/13</f>
        <v>22.370461538461537</v>
      </c>
      <c r="N83" s="69"/>
      <c r="O83" s="69"/>
      <c r="AH83" s="65" t="s">
        <v>22</v>
      </c>
      <c r="AI83" s="71">
        <f>AJ83-233.9237</f>
        <v>351.03029999999995</v>
      </c>
      <c r="AJ83" s="15">
        <v>584.95399999999995</v>
      </c>
      <c r="AK83" s="15">
        <v>376</v>
      </c>
      <c r="AL83" s="15">
        <v>416</v>
      </c>
    </row>
    <row r="84" spans="1:38" x14ac:dyDescent="0.25">
      <c r="A84" s="3" t="s">
        <v>16</v>
      </c>
      <c r="B84" s="68">
        <v>442.36099999999999</v>
      </c>
      <c r="C84" s="68">
        <f>B84/4.5</f>
        <v>98.302444444444447</v>
      </c>
      <c r="D84" s="68">
        <v>444.80399999999997</v>
      </c>
      <c r="E84" s="68">
        <f t="shared" ref="E84:E90" si="10">D84/20</f>
        <v>22.240199999999998</v>
      </c>
      <c r="F84" s="68">
        <v>348.04</v>
      </c>
      <c r="G84" s="68">
        <f>F84/30</f>
        <v>11.601333333333335</v>
      </c>
      <c r="H84" s="12">
        <v>406.709</v>
      </c>
      <c r="I84" s="68">
        <f>H84/9</f>
        <v>45.189888888888888</v>
      </c>
      <c r="J84" s="68">
        <v>416.55900000000003</v>
      </c>
      <c r="K84" s="68">
        <f>J84/4</f>
        <v>104.13975000000001</v>
      </c>
      <c r="L84" s="68">
        <v>406.56099999999998</v>
      </c>
      <c r="M84" s="68">
        <f t="shared" ref="M84:M90" si="11">L84/17.5</f>
        <v>23.232057142857141</v>
      </c>
      <c r="N84" s="69"/>
      <c r="O84" s="69"/>
      <c r="AH84" s="65" t="s">
        <v>23</v>
      </c>
      <c r="AI84" s="71">
        <f>AJ84-140.3402</f>
        <v>211.1498</v>
      </c>
      <c r="AJ84" s="15">
        <v>351.49</v>
      </c>
      <c r="AK84" s="15">
        <v>197</v>
      </c>
      <c r="AL84" s="15">
        <v>196</v>
      </c>
    </row>
    <row r="85" spans="1:38" x14ac:dyDescent="0.25">
      <c r="A85" s="3" t="s">
        <v>17</v>
      </c>
      <c r="B85" s="68">
        <v>496.97899999999998</v>
      </c>
      <c r="C85" s="68">
        <f>B85/7.5</f>
        <v>66.263866666666658</v>
      </c>
      <c r="D85" s="68">
        <v>485.66800000000001</v>
      </c>
      <c r="E85" s="68">
        <f t="shared" si="10"/>
        <v>24.2834</v>
      </c>
      <c r="F85" s="68"/>
      <c r="G85" s="68"/>
      <c r="H85" s="12">
        <v>479.47500000000002</v>
      </c>
      <c r="I85" s="68">
        <f>H85/12</f>
        <v>39.956250000000004</v>
      </c>
      <c r="J85" s="68">
        <v>482.97899999999998</v>
      </c>
      <c r="K85" s="68">
        <f>J85/3.5</f>
        <v>137.994</v>
      </c>
      <c r="L85" s="68">
        <v>489.10599999999999</v>
      </c>
      <c r="M85" s="68">
        <f t="shared" si="11"/>
        <v>27.948914285714284</v>
      </c>
      <c r="N85" s="69"/>
      <c r="O85" s="69"/>
      <c r="AH85" s="65" t="s">
        <v>27</v>
      </c>
      <c r="AI85" s="65"/>
      <c r="AJ85" s="15">
        <f>667*0.4</f>
        <v>266.8</v>
      </c>
      <c r="AK85" s="15">
        <f>454*0.4</f>
        <v>181.60000000000002</v>
      </c>
      <c r="AL85" s="15">
        <f>463*0.4</f>
        <v>185.20000000000002</v>
      </c>
    </row>
    <row r="86" spans="1:38" x14ac:dyDescent="0.25">
      <c r="A86" s="3" t="s">
        <v>18</v>
      </c>
      <c r="B86" s="68">
        <v>561.90099999999995</v>
      </c>
      <c r="C86" s="68">
        <f>B86/7.5</f>
        <v>74.920133333333325</v>
      </c>
      <c r="D86" s="68">
        <v>564.74099999999999</v>
      </c>
      <c r="E86" s="68">
        <f t="shared" si="10"/>
        <v>28.23705</v>
      </c>
      <c r="F86" s="68"/>
      <c r="G86" s="68"/>
      <c r="H86" s="12">
        <v>596.08199999999999</v>
      </c>
      <c r="I86" s="68">
        <f>H86/12</f>
        <v>49.673499999999997</v>
      </c>
      <c r="J86" s="61">
        <v>627.12900000000002</v>
      </c>
      <c r="K86" s="68">
        <f>J86/6</f>
        <v>104.5215</v>
      </c>
      <c r="L86" s="68">
        <v>605.64400000000001</v>
      </c>
      <c r="M86" s="68">
        <f t="shared" si="11"/>
        <v>34.608228571428569</v>
      </c>
      <c r="N86" s="69"/>
      <c r="O86" s="69"/>
    </row>
    <row r="87" spans="1:38" x14ac:dyDescent="0.25">
      <c r="A87" s="3" t="s">
        <v>19</v>
      </c>
      <c r="B87" s="68">
        <v>51.372999999999998</v>
      </c>
      <c r="C87" s="68">
        <f>B87/4.5</f>
        <v>11.416222222222222</v>
      </c>
      <c r="D87" s="68">
        <v>529.04600000000005</v>
      </c>
      <c r="E87" s="68">
        <f t="shared" si="10"/>
        <v>26.452300000000001</v>
      </c>
      <c r="F87" s="68">
        <v>515.67399999999998</v>
      </c>
      <c r="G87" s="68">
        <f>F87/30</f>
        <v>17.189133333333334</v>
      </c>
      <c r="H87" s="12">
        <v>546.452</v>
      </c>
      <c r="I87" s="68">
        <f>H87/10</f>
        <v>54.645200000000003</v>
      </c>
      <c r="J87" s="84">
        <v>633.26800000000003</v>
      </c>
      <c r="K87" s="68">
        <f>J87/3</f>
        <v>211.08933333333334</v>
      </c>
      <c r="L87" s="68">
        <v>553.09299999999996</v>
      </c>
      <c r="M87" s="68">
        <f t="shared" si="11"/>
        <v>31.605314285714282</v>
      </c>
      <c r="N87" s="69"/>
      <c r="O87" s="69"/>
    </row>
    <row r="88" spans="1:38" x14ac:dyDescent="0.25">
      <c r="A88" s="3" t="s">
        <v>21</v>
      </c>
      <c r="B88" s="68">
        <v>57.045000000000002</v>
      </c>
      <c r="C88" s="68">
        <f>B88/4.5</f>
        <v>12.676666666666668</v>
      </c>
      <c r="D88" s="68">
        <v>545.21299999999997</v>
      </c>
      <c r="E88" s="68">
        <f t="shared" si="10"/>
        <v>27.260649999999998</v>
      </c>
      <c r="F88" s="68">
        <v>502.80099999999999</v>
      </c>
      <c r="G88" s="68">
        <f>F88/30</f>
        <v>16.760033333333332</v>
      </c>
      <c r="H88" s="12">
        <v>518.52800000000002</v>
      </c>
      <c r="I88" s="68">
        <f>H88/10</f>
        <v>51.852800000000002</v>
      </c>
      <c r="J88" s="61">
        <v>473.49</v>
      </c>
      <c r="K88" s="68">
        <f>J88/4</f>
        <v>118.3725</v>
      </c>
      <c r="L88" s="68">
        <v>480.59899999999999</v>
      </c>
      <c r="M88" s="68">
        <f t="shared" si="11"/>
        <v>27.462799999999998</v>
      </c>
      <c r="N88" s="69"/>
      <c r="O88" s="69"/>
    </row>
    <row r="89" spans="1:38" x14ac:dyDescent="0.25">
      <c r="A89" s="3" t="s">
        <v>22</v>
      </c>
      <c r="B89" s="68">
        <v>241.41900000000001</v>
      </c>
      <c r="C89" s="68">
        <f>B89/4.5</f>
        <v>53.648666666666671</v>
      </c>
      <c r="D89" s="68">
        <v>478.30799999999999</v>
      </c>
      <c r="E89" s="68">
        <f t="shared" si="10"/>
        <v>23.915399999999998</v>
      </c>
      <c r="F89" s="68">
        <v>495.68400000000003</v>
      </c>
      <c r="G89" s="68">
        <f>F89/30</f>
        <v>16.5228</v>
      </c>
      <c r="H89" s="12">
        <v>388.43700000000001</v>
      </c>
      <c r="I89" s="68">
        <f>H89/8</f>
        <v>48.554625000000001</v>
      </c>
      <c r="J89" s="61">
        <v>508.65199999999999</v>
      </c>
      <c r="K89" s="68">
        <f>J89/1.5</f>
        <v>339.10133333333334</v>
      </c>
      <c r="L89" s="68">
        <v>481.00099999999998</v>
      </c>
      <c r="M89" s="68">
        <f t="shared" si="11"/>
        <v>27.485771428571429</v>
      </c>
      <c r="N89" s="69"/>
      <c r="O89" s="69"/>
    </row>
    <row r="90" spans="1:38" x14ac:dyDescent="0.25">
      <c r="A90" s="3" t="s">
        <v>23</v>
      </c>
      <c r="B90" s="68">
        <v>47.954000000000001</v>
      </c>
      <c r="C90" s="68">
        <f>B90/4.5</f>
        <v>10.656444444444444</v>
      </c>
      <c r="D90" s="68">
        <v>128.71700000000001</v>
      </c>
      <c r="E90" s="68">
        <f t="shared" si="10"/>
        <v>6.4358500000000003</v>
      </c>
      <c r="F90" s="68">
        <v>128.92500000000001</v>
      </c>
      <c r="G90" s="68">
        <f>F90/30</f>
        <v>4.2975000000000003</v>
      </c>
      <c r="H90" s="12">
        <v>256.065</v>
      </c>
      <c r="I90" s="68">
        <f>H90/7</f>
        <v>36.580714285714286</v>
      </c>
      <c r="J90" s="68">
        <v>138.262</v>
      </c>
      <c r="K90" s="68">
        <f>J90/1.5</f>
        <v>92.174666666666667</v>
      </c>
      <c r="L90" s="68">
        <v>124.767</v>
      </c>
      <c r="M90" s="68">
        <f t="shared" si="11"/>
        <v>7.129542857142857</v>
      </c>
      <c r="N90" s="69"/>
      <c r="O90" s="69"/>
    </row>
    <row r="91" spans="1:38" x14ac:dyDescent="0.25">
      <c r="A91" s="19" t="s">
        <v>24</v>
      </c>
      <c r="B91" s="68">
        <v>321.40199999999999</v>
      </c>
      <c r="C91" s="68">
        <f>B91/2.6</f>
        <v>123.61615384615384</v>
      </c>
      <c r="D91" s="68"/>
      <c r="E91" s="68"/>
      <c r="F91" s="68"/>
      <c r="G91" s="68"/>
      <c r="H91" s="12"/>
      <c r="I91" s="68"/>
      <c r="J91" s="68"/>
      <c r="K91" s="68"/>
      <c r="L91" s="68"/>
      <c r="M91" s="68"/>
      <c r="N91" s="69"/>
      <c r="O91" s="69"/>
    </row>
    <row r="92" spans="1:38" x14ac:dyDescent="0.25">
      <c r="A92" s="19" t="s">
        <v>26</v>
      </c>
      <c r="B92" s="68">
        <v>381.79899999999998</v>
      </c>
      <c r="C92" s="68">
        <f>B92/2.6</f>
        <v>146.84576923076921</v>
      </c>
      <c r="D92" s="68"/>
      <c r="E92" s="68"/>
      <c r="F92" s="68"/>
      <c r="G92" s="68"/>
      <c r="H92" s="12"/>
      <c r="I92" s="68"/>
      <c r="J92" s="68"/>
      <c r="K92" s="68"/>
      <c r="L92" s="68"/>
      <c r="M92" s="68"/>
      <c r="N92" s="69"/>
      <c r="O92" s="69"/>
    </row>
    <row r="93" spans="1:38" x14ac:dyDescent="0.25">
      <c r="A93" s="19" t="s">
        <v>29</v>
      </c>
      <c r="B93" s="68">
        <v>586.66099999999994</v>
      </c>
      <c r="C93" s="68">
        <f>B93/2.6</f>
        <v>225.63884615384612</v>
      </c>
      <c r="D93" s="68"/>
      <c r="E93" s="68"/>
      <c r="F93" s="68"/>
      <c r="G93" s="68"/>
      <c r="H93" s="12"/>
      <c r="I93" s="68"/>
      <c r="J93" s="68"/>
      <c r="K93" s="68"/>
      <c r="L93" s="68"/>
      <c r="M93" s="68"/>
      <c r="N93" s="69"/>
      <c r="O93" s="69"/>
    </row>
    <row r="94" spans="1:38" x14ac:dyDescent="0.25">
      <c r="A94" s="19" t="s">
        <v>31</v>
      </c>
      <c r="B94" s="68">
        <v>79.025999999999996</v>
      </c>
      <c r="C94" s="68">
        <f>B94/2.6</f>
        <v>30.394615384615381</v>
      </c>
      <c r="D94" s="68"/>
      <c r="E94" s="68"/>
      <c r="F94" s="68"/>
      <c r="G94" s="68"/>
      <c r="H94" s="12"/>
      <c r="I94" s="68"/>
      <c r="J94" s="68"/>
      <c r="K94" s="68"/>
      <c r="L94" s="68"/>
      <c r="M94" s="68"/>
      <c r="N94" s="69"/>
      <c r="O94" s="69"/>
    </row>
    <row r="95" spans="1:38" x14ac:dyDescent="0.25">
      <c r="A95" s="3" t="s">
        <v>27</v>
      </c>
      <c r="B95" s="68">
        <v>566</v>
      </c>
      <c r="C95" s="68">
        <f>B95/10</f>
        <v>56.6</v>
      </c>
      <c r="D95" s="68">
        <v>491</v>
      </c>
      <c r="E95" s="68">
        <f>D95/28</f>
        <v>17.535714285714285</v>
      </c>
      <c r="F95" s="68"/>
      <c r="G95" s="31"/>
      <c r="H95" s="32">
        <v>515</v>
      </c>
      <c r="I95" s="68">
        <f>H95/20</f>
        <v>25.75</v>
      </c>
      <c r="J95" s="68">
        <v>513</v>
      </c>
      <c r="K95" s="68">
        <f>J95/10</f>
        <v>51.3</v>
      </c>
      <c r="L95" s="68">
        <v>535</v>
      </c>
      <c r="M95" s="68">
        <f>L95/20</f>
        <v>26.75</v>
      </c>
      <c r="N95" s="69"/>
      <c r="O95" s="69"/>
    </row>
    <row r="96" spans="1:38" x14ac:dyDescent="0.25">
      <c r="A96" s="82"/>
      <c r="B96" s="38">
        <f>SUM(B82:B95)</f>
        <v>4315.1049999999996</v>
      </c>
      <c r="C96" s="57">
        <f>SUM(C82:C95)</f>
        <v>959.09832905982898</v>
      </c>
      <c r="D96" s="38">
        <f>SUM(D82:D94)</f>
        <v>3609.4659999999999</v>
      </c>
      <c r="E96" s="57">
        <f>SUM(E82:E95,G82:G95)</f>
        <v>269.18748095238095</v>
      </c>
      <c r="F96" s="38">
        <f>SUM(F82:F94)</f>
        <v>1991.1239999999998</v>
      </c>
      <c r="G96" s="86"/>
      <c r="H96" s="38">
        <f>SUM(H82:H94)</f>
        <v>3587.7900000000004</v>
      </c>
      <c r="I96" s="57">
        <f>SUM(I82:I95)</f>
        <v>410.09568650793648</v>
      </c>
      <c r="J96" s="38">
        <f>SUM(J82:J94)</f>
        <v>3669.9920000000006</v>
      </c>
      <c r="K96" s="57">
        <f>SUM(K82:K95)</f>
        <v>1236.623683333333</v>
      </c>
      <c r="L96" s="38">
        <f>SUM(L82:L94)</f>
        <v>3597.0280000000002</v>
      </c>
      <c r="M96" s="57">
        <f>SUM(M82:M95)</f>
        <v>241.31932087912088</v>
      </c>
      <c r="N96" s="28">
        <f>M96+K96+I96+E96+C96</f>
        <v>3116.3245007326004</v>
      </c>
      <c r="O96" s="82" t="s">
        <v>30</v>
      </c>
    </row>
    <row r="97" spans="1:15" x14ac:dyDescent="0.25">
      <c r="A97" s="83"/>
      <c r="B97" s="41"/>
      <c r="C97" s="30">
        <v>1032.25</v>
      </c>
      <c r="D97" s="30"/>
      <c r="E97" s="42">
        <v>220.08</v>
      </c>
      <c r="F97" s="42"/>
      <c r="G97" s="42"/>
      <c r="H97" s="86"/>
      <c r="I97" s="30">
        <v>307.67</v>
      </c>
      <c r="J97" s="30"/>
      <c r="K97" s="30">
        <v>1384.24</v>
      </c>
      <c r="L97" s="30"/>
      <c r="M97" s="30">
        <v>218.25</v>
      </c>
      <c r="N97" s="28">
        <f>M97+K97+I97+E97+C97</f>
        <v>3162.4900000000002</v>
      </c>
      <c r="O97" s="83" t="s">
        <v>32</v>
      </c>
    </row>
    <row r="98" spans="1:15" x14ac:dyDescent="0.25">
      <c r="A98" s="44" t="s">
        <v>33</v>
      </c>
      <c r="B98" s="62"/>
      <c r="C98" s="45">
        <f>C96/C97</f>
        <v>0.92913376513424939</v>
      </c>
      <c r="D98" s="62"/>
      <c r="E98" s="45">
        <f>E96/E97</f>
        <v>1.223134682626231</v>
      </c>
      <c r="F98" s="46"/>
      <c r="G98" s="46"/>
      <c r="H98" s="62"/>
      <c r="I98" s="45">
        <f>I96/I97</f>
        <v>1.3329076169530225</v>
      </c>
      <c r="J98" s="62"/>
      <c r="K98" s="45">
        <f>K96/K97</f>
        <v>0.89335930426322963</v>
      </c>
      <c r="L98" s="62"/>
      <c r="M98" s="45">
        <f>M96/M97</f>
        <v>1.1057013556889845</v>
      </c>
      <c r="N98" s="88"/>
      <c r="O98" s="88"/>
    </row>
    <row r="99" spans="1:15" x14ac:dyDescent="0.25">
      <c r="A99" s="47" t="s">
        <v>34</v>
      </c>
      <c r="B99" s="62"/>
      <c r="C99" s="62"/>
      <c r="D99" s="62"/>
      <c r="E99" s="62"/>
      <c r="F99" s="62"/>
      <c r="G99" s="62"/>
      <c r="H99" s="48">
        <f>+SUMPRODUCT(H82:H95,$J$59:$J$72)</f>
        <v>5627.7883387450065</v>
      </c>
      <c r="I99" s="62"/>
      <c r="J99" s="62"/>
      <c r="K99" s="62"/>
      <c r="L99" s="48">
        <f>+SUMPRODUCT(L82:L95,$J$59:$J$72)</f>
        <v>5590.9049569643084</v>
      </c>
      <c r="M99" s="62"/>
      <c r="N99" s="62"/>
      <c r="O99" s="62"/>
    </row>
    <row r="100" spans="1:15" x14ac:dyDescent="0.25">
      <c r="A100" s="62"/>
      <c r="B100" s="62"/>
      <c r="C100" s="62"/>
      <c r="D100" s="62"/>
      <c r="E100" s="62"/>
      <c r="F100" s="62"/>
      <c r="G100" s="62"/>
      <c r="H100" s="43">
        <f>H99/N97</f>
        <v>1.779543441637762</v>
      </c>
      <c r="I100" s="62"/>
      <c r="J100" s="62"/>
      <c r="K100" s="62"/>
      <c r="L100" s="62"/>
      <c r="M100" s="62"/>
      <c r="N100" s="62"/>
      <c r="O100" s="62"/>
    </row>
    <row r="101" spans="1:15" x14ac:dyDescent="0.25">
      <c r="A101" s="62"/>
      <c r="B101" s="62"/>
      <c r="C101" s="62"/>
      <c r="D101" s="62"/>
      <c r="E101" s="62"/>
      <c r="F101" s="62"/>
      <c r="G101" s="62"/>
      <c r="H101" s="43">
        <f>H100-G24</f>
        <v>-0.11045655836223789</v>
      </c>
      <c r="I101" s="62">
        <f>H101*N97</f>
        <v>-349.31776125499374</v>
      </c>
      <c r="J101" s="62" t="s">
        <v>18</v>
      </c>
      <c r="K101" s="62"/>
      <c r="L101" s="62"/>
      <c r="M101" s="62"/>
      <c r="N101" s="62"/>
      <c r="O101" s="62"/>
    </row>
  </sheetData>
  <customSheetViews>
    <customSheetView guid="{FB6BCA17-853B-4499-A9CB-80FE1CB766F6}" fitToPage="1" hiddenColumns="1">
      <selection activeCell="B12" sqref="B12"/>
      <pageMargins left="0.16" right="0.16" top="0.22" bottom="0.18" header="0.22" footer="0.16"/>
      <pageSetup paperSize="9" scale="43" orientation="landscape" r:id="rId1"/>
    </customSheetView>
    <customSheetView guid="{F8F8C5F3-D71A-4887-B1AD-75C60ECDAB10}" fitToPage="1" hiddenColumns="1" topLeftCell="A7">
      <selection activeCell="M25" sqref="M25"/>
      <pageMargins left="0.16" right="0.16" top="0.22" bottom="0.18" header="0.22" footer="0.16"/>
      <pageSetup paperSize="9" scale="43" orientation="landscape" r:id="rId2"/>
    </customSheetView>
  </customSheetViews>
  <mergeCells count="14">
    <mergeCell ref="BF57:BG57"/>
    <mergeCell ref="E58:F58"/>
    <mergeCell ref="AB15:AC15"/>
    <mergeCell ref="AL15:AM15"/>
    <mergeCell ref="AU15:AV15"/>
    <mergeCell ref="AB16:AC16"/>
    <mergeCell ref="AL16:AM16"/>
    <mergeCell ref="AU16:AV16"/>
    <mergeCell ref="AB2:AC2"/>
    <mergeCell ref="AL2:AM2"/>
    <mergeCell ref="AU2:AV2"/>
    <mergeCell ref="AB14:AC14"/>
    <mergeCell ref="AL14:AM14"/>
    <mergeCell ref="AU14:AV14"/>
  </mergeCells>
  <pageMargins left="0.16" right="0.16" top="0.22" bottom="0.18" header="0.22" footer="0.16"/>
  <pageSetup paperSize="9" scale="43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Эффективность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cp:lastPrinted>2013-10-01T11:47:20Z</cp:lastPrinted>
  <dcterms:created xsi:type="dcterms:W3CDTF">2013-10-01T11:11:19Z</dcterms:created>
  <dcterms:modified xsi:type="dcterms:W3CDTF">2014-02-07T11:22:43Z</dcterms:modified>
</cp:coreProperties>
</file>