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CHOOL\Analysis Projects\Module 1 - Kickstarter\"/>
    </mc:Choice>
  </mc:AlternateContent>
  <xr:revisionPtr revIDLastSave="0" documentId="13_ncr:1_{23C3D05D-1EAF-4B5D-A211-9B602BE7B1AC}" xr6:coauthVersionLast="47" xr6:coauthVersionMax="47" xr10:uidLastSave="{00000000-0000-0000-0000-000000000000}"/>
  <bookViews>
    <workbookView xWindow="-120" yWindow="-120" windowWidth="28095" windowHeight="16440" tabRatio="614" firstSheet="5" activeTab="6" xr2:uid="{00000000-000D-0000-FFFF-FFFF00000000}"/>
  </bookViews>
  <sheets>
    <sheet name="Spreadsheet" sheetId="1" r:id="rId1"/>
    <sheet name="Pivot1" sheetId="2" r:id="rId2"/>
    <sheet name="Outcomes Based on Launch Date" sheetId="3" r:id="rId3"/>
    <sheet name="Edinburgh Research" sheetId="4" r:id="rId4"/>
    <sheet name="Theater Outcomes by Launch Date" sheetId="5" r:id="rId5"/>
    <sheet name="Outcomes Based on Goals" sheetId="6" r:id="rId6"/>
    <sheet name="Pivot - Outcomes Based on Goals" sheetId="9" r:id="rId7"/>
  </sheets>
  <externalReferences>
    <externalReference r:id="rId8"/>
  </externalReferences>
  <definedNames>
    <definedName name="_xlnm._FilterDatabase" localSheetId="0" hidden="1">Spreadsheet!$F$1:$F$4115</definedName>
  </definedNames>
  <calcPr calcId="191029"/>
  <pivotCaches>
    <pivotCache cacheId="0" r:id="rId9"/>
    <pivotCache cacheId="1" r:id="rId10"/>
    <pivotCache cacheId="2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6" l="1"/>
  <c r="B2" i="6"/>
  <c r="B13" i="6"/>
  <c r="E13" i="6" s="1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5" i="6"/>
  <c r="C6" i="6"/>
  <c r="D6" i="6"/>
  <c r="B6" i="6"/>
  <c r="C5" i="6"/>
  <c r="B5" i="6"/>
  <c r="D3" i="6"/>
  <c r="C3" i="6"/>
  <c r="B3" i="6"/>
  <c r="D4" i="6"/>
  <c r="C4" i="6"/>
  <c r="B4" i="6"/>
  <c r="D13" i="6"/>
  <c r="C13" i="6"/>
  <c r="D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3" i="4"/>
  <c r="F4" i="4"/>
  <c r="F5" i="4"/>
  <c r="F6" i="4"/>
  <c r="F2" i="4"/>
  <c r="E2" i="4"/>
  <c r="E3" i="4"/>
  <c r="E4" i="4"/>
  <c r="E5" i="4"/>
  <c r="E6" i="4"/>
  <c r="D2" i="4"/>
  <c r="D4" i="4"/>
  <c r="D3" i="4"/>
  <c r="D5" i="4"/>
  <c r="D6" i="4"/>
  <c r="C3" i="4"/>
  <c r="C4" i="4"/>
  <c r="C5" i="4"/>
  <c r="C6" i="4"/>
  <c r="C2" i="4"/>
  <c r="B3" i="4"/>
  <c r="B4" i="4"/>
  <c r="B5" i="4"/>
  <c r="B6" i="4"/>
  <c r="B2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H13" i="6"/>
  <c r="G13" i="6"/>
  <c r="F13" i="6"/>
  <c r="E12" i="6"/>
  <c r="H12" i="6" s="1"/>
  <c r="E11" i="6"/>
  <c r="G11" i="6" s="1"/>
  <c r="E10" i="6"/>
  <c r="G10" i="6" s="1"/>
  <c r="E9" i="6"/>
  <c r="G9" i="6" s="1"/>
  <c r="H9" i="6"/>
  <c r="F9" i="6"/>
  <c r="E8" i="6"/>
  <c r="H8" i="6" s="1"/>
  <c r="E7" i="6"/>
  <c r="H7" i="6" s="1"/>
  <c r="E5" i="6"/>
  <c r="E4" i="6"/>
  <c r="E3" i="6"/>
  <c r="H3" i="6" s="1"/>
  <c r="E6" i="6"/>
  <c r="F6" i="6" s="1"/>
  <c r="H2" i="6" l="1"/>
  <c r="G2" i="6"/>
  <c r="F2" i="6"/>
  <c r="F12" i="6"/>
  <c r="G12" i="6"/>
  <c r="H11" i="6"/>
  <c r="F11" i="6"/>
  <c r="F10" i="6"/>
  <c r="H10" i="6"/>
  <c r="G8" i="6"/>
  <c r="F8" i="6"/>
  <c r="F7" i="6"/>
  <c r="G7" i="6"/>
  <c r="G5" i="6"/>
  <c r="H5" i="6"/>
  <c r="F5" i="6"/>
  <c r="G3" i="6"/>
  <c r="G4" i="6"/>
  <c r="H4" i="6"/>
  <c r="F4" i="6"/>
  <c r="F3" i="6"/>
  <c r="H6" i="6"/>
  <c r="G6" i="6"/>
</calcChain>
</file>

<file path=xl/sharedStrings.xml><?xml version="1.0" encoding="utf-8"?>
<sst xmlns="http://schemas.openxmlformats.org/spreadsheetml/2006/main" count="33077" uniqueCount="8404">
  <si>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</si>
  <si>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</si>
  <si>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</si>
  <si>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</si>
  <si>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</si>
  <si>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</si>
  <si>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</si>
  <si>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</si>
  <si>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</si>
  <si>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</si>
  <si>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</si>
  <si>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</si>
  <si>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</si>
  <si>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</si>
  <si>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</si>
  <si>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</si>
  <si>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</si>
  <si>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</si>
  <si>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</si>
  <si>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</si>
  <si>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</si>
  <si>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</si>
  <si>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</si>
  <si>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</si>
  <si>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</si>
  <si>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</si>
  <si>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</si>
  <si>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</si>
  <si>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</si>
  <si>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</si>
  <si>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</si>
  <si>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</si>
  <si>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</si>
  <si>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</si>
  <si>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</si>
  <si>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</si>
  <si>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</si>
  <si>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</si>
  <si>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</si>
  <si>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</si>
  <si>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</si>
  <si>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</si>
  <si>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</si>
  <si>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</si>
  <si>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</si>
  <si>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</si>
  <si>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</si>
  <si>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</si>
  <si>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</si>
  <si>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</si>
  <si>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</si>
  <si>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</si>
  <si>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</si>
  <si>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</si>
  <si>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</si>
  <si>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</si>
  <si>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</si>
  <si>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</si>
  <si>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</si>
  <si>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</si>
  <si>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</si>
  <si>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</si>
  <si>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</si>
  <si>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</si>
  <si>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</si>
  <si>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</si>
  <si>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</si>
  <si>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</si>
  <si>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</si>
  <si>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</si>
  <si>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</si>
  <si>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</si>
  <si>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</si>
  <si>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</si>
  <si>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</si>
  <si>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</si>
  <si>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</si>
  <si>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</si>
  <si>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</si>
  <si>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</si>
  <si>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</si>
  <si>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</si>
  <si>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</si>
  <si>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</si>
  <si>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</si>
  <si>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</si>
  <si>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</si>
  <si>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</si>
  <si>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</si>
  <si>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</si>
  <si>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</si>
  <si>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</si>
  <si>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</si>
  <si>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</si>
  <si>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</si>
  <si>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</si>
  <si>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</si>
  <si>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</si>
  <si>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</si>
  <si>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</si>
  <si>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</si>
  <si>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</si>
  <si>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</si>
  <si>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</si>
  <si>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</si>
  <si>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</si>
  <si>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</si>
  <si>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</si>
  <si>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</si>
  <si>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</si>
  <si>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</si>
  <si>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</si>
  <si>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</si>
  <si>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</si>
  <si>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</si>
  <si>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</si>
  <si>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</si>
  <si>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</si>
  <si>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</si>
  <si>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</si>
  <si>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</si>
  <si>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</si>
  <si>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</si>
  <si>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</si>
  <si>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</si>
  <si>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</si>
  <si>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</si>
  <si>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</si>
  <si>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</si>
  <si>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</si>
  <si>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</si>
  <si>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</si>
  <si>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</si>
  <si>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</si>
  <si>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</si>
  <si>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</si>
  <si>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</si>
  <si>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</si>
  <si>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</si>
  <si>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</si>
  <si>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</si>
  <si>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</si>
  <si>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</si>
  <si>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</si>
  <si>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</si>
  <si>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</si>
  <si>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</si>
  <si>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</si>
  <si>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</si>
  <si>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</si>
  <si>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</si>
  <si>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</si>
  <si>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</si>
  <si>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</si>
  <si>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</si>
  <si>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</si>
  <si>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</si>
  <si>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</si>
  <si>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</si>
  <si>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</si>
  <si>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</si>
  <si>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</si>
  <si>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</si>
  <si>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</si>
  <si>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</si>
  <si>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</si>
  <si>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</si>
  <si>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</si>
  <si>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</si>
  <si>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</si>
  <si>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</si>
  <si>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</si>
  <si>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</si>
  <si>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</si>
  <si>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</si>
  <si>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</si>
  <si>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</si>
  <si>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</si>
  <si>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</si>
  <si>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</si>
  <si>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</si>
  <si>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</si>
  <si>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</si>
  <si>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</si>
  <si>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</si>
  <si>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</si>
  <si>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</si>
  <si>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</si>
  <si>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</si>
  <si>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</si>
  <si>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</si>
  <si>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</si>
  <si>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</si>
  <si>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</si>
  <si>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</si>
  <si>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</si>
  <si>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</si>
  <si>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</si>
  <si>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</si>
  <si>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</si>
  <si>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</si>
  <si>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</si>
  <si>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</si>
  <si>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</si>
  <si>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</si>
  <si>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</si>
  <si>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</si>
  <si>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</si>
  <si>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</si>
  <si>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</si>
  <si>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</si>
  <si>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</si>
  <si>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</si>
  <si>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</si>
  <si>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</si>
  <si>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</si>
  <si>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</si>
  <si>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</si>
  <si>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</si>
  <si>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</si>
  <si>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</si>
  <si>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</si>
  <si>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</si>
  <si>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</si>
  <si>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</si>
  <si>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</si>
  <si>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</si>
  <si>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</si>
  <si>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</si>
  <si>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</si>
  <si>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</si>
  <si>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</si>
  <si>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</si>
  <si>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</si>
  <si>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</si>
  <si>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</si>
  <si>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</si>
  <si>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</si>
  <si>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</si>
  <si>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</si>
  <si>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</si>
  <si>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</si>
  <si>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</si>
  <si>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</si>
  <si>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</si>
  <si>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</si>
  <si>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</si>
  <si>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</si>
  <si>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</si>
  <si>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</si>
  <si>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</si>
  <si>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</si>
  <si>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</si>
  <si>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</si>
  <si>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</si>
  <si>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</si>
  <si>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</si>
  <si>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</si>
  <si>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</si>
  <si>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</si>
  <si>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</si>
  <si>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</si>
  <si>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</si>
  <si>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</si>
  <si>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</si>
  <si>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</si>
  <si>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</si>
  <si>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</si>
  <si>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</si>
  <si>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</si>
  <si>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</si>
  <si>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</si>
  <si>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</si>
  <si>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</si>
  <si>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</si>
  <si>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</si>
  <si>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</si>
  <si>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</si>
  <si>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</si>
  <si>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</si>
  <si>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</si>
  <si>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</si>
  <si>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</si>
  <si>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</si>
  <si>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</si>
  <si>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</si>
  <si>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</si>
  <si>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</si>
  <si>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</si>
  <si>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</si>
  <si>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</si>
  <si>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</si>
  <si>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</si>
  <si>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</si>
  <si>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</si>
  <si>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</si>
  <si>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</si>
  <si>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</si>
  <si>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</si>
  <si>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</si>
  <si>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</si>
  <si>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</si>
  <si>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</si>
  <si>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</si>
  <si>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</si>
  <si>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</si>
  <si>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</si>
  <si>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</si>
  <si>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</si>
  <si>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</si>
  <si>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</si>
  <si>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</si>
  <si>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</si>
  <si>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</si>
  <si>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</si>
  <si>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</si>
  <si>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</si>
  <si>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</si>
  <si>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</si>
  <si>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</si>
  <si>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</si>
  <si>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</si>
  <si>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</si>
  <si>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</si>
  <si>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</si>
  <si>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</si>
  <si>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</si>
  <si>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</si>
  <si>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</si>
  <si>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</si>
  <si>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</si>
  <si>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</si>
  <si>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</si>
  <si>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</si>
  <si>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</si>
  <si>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</si>
  <si>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</si>
  <si>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</si>
  <si>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</si>
  <si>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</si>
  <si>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</si>
  <si>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</si>
  <si>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</si>
  <si>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</si>
  <si>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</si>
  <si>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</si>
  <si>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</si>
  <si>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</si>
  <si>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</si>
  <si>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</si>
  <si>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</si>
  <si>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</si>
  <si>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</si>
  <si>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</si>
  <si>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</si>
  <si>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</si>
  <si>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</si>
  <si>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</si>
  <si>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</si>
  <si>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</si>
  <si>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</si>
  <si>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</si>
  <si>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</si>
  <si>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</si>
  <si>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</si>
  <si>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</si>
  <si>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</si>
  <si>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</si>
  <si>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</si>
  <si>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</si>
  <si>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</si>
  <si>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</si>
  <si>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</si>
  <si>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</si>
  <si>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</si>
  <si>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</si>
  <si>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</si>
  <si>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</si>
  <si>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</si>
  <si>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</si>
  <si>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</si>
  <si>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</si>
  <si>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</si>
  <si>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</si>
  <si>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</si>
  <si>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</si>
  <si>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</si>
  <si>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</si>
  <si>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</si>
  <si>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</si>
  <si>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</si>
  <si>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</si>
  <si>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</si>
  <si>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</si>
  <si>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</si>
  <si>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</si>
  <si>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</si>
  <si>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</si>
  <si>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</si>
  <si>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</si>
  <si>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</si>
  <si>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</si>
  <si>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</si>
  <si>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</si>
  <si>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</si>
  <si>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</si>
  <si>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</si>
  <si>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</si>
  <si>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</si>
  <si>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</si>
  <si>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</si>
  <si>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</si>
  <si>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</si>
  <si>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</si>
  <si>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</si>
  <si>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</si>
  <si>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</si>
  <si>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</si>
  <si>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</si>
  <si>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</si>
  <si>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</si>
  <si>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</si>
  <si>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</si>
  <si>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</si>
  <si>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</si>
  <si>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</si>
  <si>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</si>
  <si>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</si>
  <si>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</si>
  <si>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</si>
  <si>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</si>
  <si>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</si>
  <si>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</si>
  <si>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</si>
  <si>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</si>
  <si>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</si>
  <si>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</si>
  <si>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</si>
  <si>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</si>
  <si>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</si>
  <si>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</si>
  <si>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</si>
  <si>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</si>
  <si>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</si>
  <si>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</si>
  <si>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</si>
  <si>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</si>
  <si>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</si>
  <si>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</si>
  <si>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</si>
  <si>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</si>
  <si>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</si>
  <si>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</si>
  <si>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</si>
  <si>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</si>
  <si>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</si>
  <si>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</si>
  <si>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</si>
  <si>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</si>
  <si>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</si>
  <si>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</si>
  <si>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</si>
  <si>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</si>
  <si>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</si>
  <si>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</si>
  <si>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</si>
  <si>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</si>
  <si>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</si>
  <si>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</si>
  <si>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</si>
  <si>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</si>
  <si>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</si>
  <si>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</si>
  <si>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</si>
  <si>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</si>
  <si>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</si>
  <si>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</si>
  <si>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</si>
  <si>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</si>
  <si>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</si>
  <si>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</si>
  <si>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</si>
  <si>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</si>
  <si>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</si>
  <si>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</si>
  <si>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</si>
  <si>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</si>
  <si>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</si>
  <si>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</si>
  <si>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</si>
  <si>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</si>
  <si>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</si>
  <si>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</si>
  <si>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</si>
  <si>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</si>
  <si>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</si>
  <si>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</si>
  <si>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</si>
  <si>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</si>
  <si>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</si>
  <si>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</si>
  <si>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</si>
  <si>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</si>
  <si>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</si>
  <si>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</si>
  <si>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</si>
  <si>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</si>
  <si>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</si>
  <si>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</si>
  <si>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</si>
  <si>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</si>
  <si>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</si>
  <si>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</si>
  <si>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</si>
  <si>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</si>
  <si>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</si>
  <si>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</si>
  <si>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</si>
  <si>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</si>
  <si>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</si>
  <si>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</si>
  <si>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</si>
  <si>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</si>
  <si>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</si>
  <si>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</si>
  <si>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</si>
  <si>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</si>
  <si>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</si>
  <si>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</si>
  <si>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</si>
  <si>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</si>
  <si>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</si>
  <si>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</si>
  <si>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</si>
  <si>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</si>
  <si>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</si>
  <si>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</si>
  <si>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</si>
  <si>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</si>
  <si>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</si>
  <si>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</si>
  <si>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</si>
  <si>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</si>
  <si>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</si>
  <si>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</si>
  <si>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</si>
  <si>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</si>
  <si>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</si>
  <si>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</si>
  <si>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</si>
  <si>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</si>
  <si>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</si>
  <si>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</si>
  <si>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</si>
  <si>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</si>
  <si>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</si>
  <si>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</si>
  <si>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</si>
  <si>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</si>
  <si>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</si>
  <si>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</si>
  <si>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</si>
  <si>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</si>
  <si>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</si>
  <si>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</si>
  <si>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</si>
  <si>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</si>
  <si>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</si>
  <si>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</si>
  <si>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</si>
  <si>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</si>
  <si>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</si>
  <si>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</si>
  <si>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</si>
  <si>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</si>
  <si>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</si>
  <si>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</si>
  <si>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</si>
  <si>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</si>
  <si>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</si>
  <si>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</si>
  <si>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</si>
  <si>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</si>
  <si>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</si>
  <si>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</si>
  <si>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</si>
  <si>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</si>
  <si>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</si>
  <si>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</si>
  <si>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</si>
  <si>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</si>
  <si>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</si>
  <si>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</si>
  <si>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</si>
  <si>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</si>
  <si>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</si>
  <si>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</si>
  <si>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</si>
  <si>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</si>
  <si>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</si>
  <si>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</si>
  <si>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</si>
  <si>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</si>
  <si>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</si>
  <si>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</si>
  <si>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</si>
  <si>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</si>
  <si>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</si>
  <si>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</si>
  <si>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</si>
  <si>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</si>
  <si>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</si>
  <si>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</si>
  <si>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</si>
  <si>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</si>
  <si>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</si>
  <si>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</si>
  <si>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</si>
  <si>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</si>
  <si>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</si>
  <si>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</si>
  <si>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</si>
  <si>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</si>
  <si>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</si>
  <si>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</si>
  <si>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</si>
  <si>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</si>
  <si>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</si>
  <si>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</si>
  <si>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</si>
  <si>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</si>
  <si>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</si>
  <si>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</si>
  <si>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</si>
  <si>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</si>
  <si>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</si>
  <si>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</si>
  <si>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</si>
  <si>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</si>
  <si>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</si>
  <si>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</si>
  <si>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</si>
  <si>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</si>
  <si>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</si>
  <si>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</si>
  <si>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</si>
  <si>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</si>
  <si>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</si>
  <si>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</si>
  <si>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</si>
  <si>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</si>
  <si>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</si>
  <si>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</si>
  <si>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</si>
  <si>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</si>
  <si>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</si>
  <si>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</si>
  <si>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</si>
  <si>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</si>
  <si>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</si>
  <si>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</si>
  <si>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</si>
  <si>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</si>
  <si>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</si>
  <si>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</si>
  <si>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</si>
  <si>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</si>
  <si>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</si>
  <si>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</si>
  <si>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</si>
  <si>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</si>
  <si>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</si>
  <si>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</si>
  <si>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</si>
  <si>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</si>
  <si>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</si>
  <si>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</si>
  <si>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</si>
  <si>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</si>
  <si>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</si>
  <si>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</si>
  <si>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</si>
  <si>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</si>
  <si>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</si>
  <si>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</si>
  <si>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</si>
  <si>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</si>
  <si>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</si>
  <si>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</si>
  <si>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</si>
  <si>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</si>
  <si>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</si>
  <si>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</si>
  <si>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</si>
  <si>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</si>
  <si>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</si>
  <si>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</si>
  <si>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</si>
  <si>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</si>
  <si>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</si>
  <si>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</si>
  <si>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</si>
  <si>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</si>
  <si>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</si>
  <si>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</si>
  <si>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</si>
  <si>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</si>
  <si>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</si>
  <si>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</si>
  <si>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</si>
  <si>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</si>
  <si>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</si>
  <si>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</si>
  <si>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</si>
  <si>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</si>
  <si>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</si>
  <si>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</si>
  <si>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</si>
  <si>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</si>
  <si>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</si>
  <si>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</si>
  <si>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</si>
  <si>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</si>
  <si>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</si>
  <si>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</si>
  <si>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</si>
  <si>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</si>
  <si>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</si>
  <si>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</si>
  <si>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</si>
  <si>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</si>
  <si>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</si>
  <si>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</si>
  <si>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</si>
  <si>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</si>
  <si>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</si>
  <si>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</si>
  <si>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</si>
  <si>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</si>
  <si>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</si>
  <si>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</si>
  <si>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</si>
  <si>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</si>
  <si>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</si>
  <si>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</si>
  <si>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</si>
  <si>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</si>
  <si>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</si>
  <si>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</si>
  <si>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</si>
  <si>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</si>
  <si>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</si>
  <si>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</si>
  <si>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</si>
  <si>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</si>
  <si>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</si>
  <si>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</si>
  <si>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</si>
  <si>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</si>
  <si>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</si>
  <si>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</si>
  <si>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</si>
  <si>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</si>
  <si>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</si>
  <si>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</si>
  <si>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</si>
  <si>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</si>
  <si>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</si>
  <si>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</si>
  <si>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</si>
  <si>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</si>
  <si>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</si>
  <si>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</si>
  <si>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</si>
  <si>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</si>
  <si>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</si>
  <si>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</si>
  <si>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</si>
  <si>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</si>
  <si>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</si>
  <si>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</si>
  <si>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</si>
  <si>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</si>
  <si>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</si>
  <si>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</si>
  <si>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</si>
  <si>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</si>
  <si>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</si>
  <si>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</si>
  <si>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</si>
  <si>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</si>
  <si>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</si>
  <si>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</si>
  <si>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</si>
  <si>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</si>
  <si>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</si>
  <si>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</si>
  <si>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</si>
  <si>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</si>
  <si>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</si>
  <si>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</si>
  <si>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</si>
  <si>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</si>
  <si>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</si>
  <si>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</si>
  <si>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</si>
  <si>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</si>
  <si>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</si>
  <si>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</si>
  <si>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</si>
  <si>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</si>
  <si>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</si>
  <si>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</si>
  <si>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</si>
  <si>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</si>
  <si>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</si>
  <si>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</si>
  <si>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</si>
  <si>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</si>
  <si>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</si>
  <si>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</si>
  <si>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</si>
  <si>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</si>
  <si>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</si>
  <si>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</si>
  <si>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</si>
  <si>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</si>
  <si>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</si>
  <si>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</si>
  <si>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</si>
  <si>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</si>
  <si>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</si>
  <si>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</si>
  <si>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</si>
  <si>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</si>
  <si>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</si>
  <si>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</si>
  <si>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</si>
  <si>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</si>
  <si>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</si>
  <si>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</si>
  <si>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</si>
  <si>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</si>
  <si>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</si>
  <si>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</si>
  <si>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</si>
  <si>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</si>
  <si>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</si>
  <si>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</si>
  <si>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</si>
  <si>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</si>
  <si>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</si>
  <si>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</si>
  <si>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</si>
  <si>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</si>
  <si>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</si>
  <si>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</si>
  <si>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</si>
  <si>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</si>
  <si>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</si>
  <si>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</si>
  <si>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</si>
  <si>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</si>
  <si>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</si>
  <si>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</si>
  <si>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</si>
  <si>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</si>
  <si>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</si>
  <si>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</si>
  <si>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</si>
  <si>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</si>
  <si>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</si>
  <si>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</si>
  <si>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</si>
  <si>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</si>
  <si>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</si>
  <si>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</si>
  <si>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</si>
  <si>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</si>
  <si>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</si>
  <si>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</si>
  <si>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</si>
  <si>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</si>
  <si>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</si>
  <si>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</si>
  <si>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</si>
  <si>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</si>
  <si>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</si>
  <si>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</si>
  <si>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</si>
  <si>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</si>
  <si>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</si>
  <si>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</si>
  <si>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</si>
  <si>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</si>
  <si>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</si>
  <si>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</si>
  <si>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</si>
  <si>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</si>
  <si>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</si>
  <si>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</si>
  <si>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</si>
  <si>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</si>
  <si>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</si>
  <si>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</si>
  <si>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</si>
  <si>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</si>
  <si>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</si>
  <si>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</si>
  <si>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</si>
  <si>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</si>
  <si>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</si>
  <si>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</si>
  <si>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</si>
  <si>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</si>
  <si>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</si>
  <si>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</si>
  <si>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</si>
  <si>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</si>
  <si>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</si>
  <si>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</si>
  <si>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</si>
  <si>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</si>
  <si>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</si>
  <si>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</si>
  <si>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</si>
  <si>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</si>
  <si>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</si>
  <si>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</si>
  <si>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</si>
  <si>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</si>
  <si>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</si>
  <si>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</si>
  <si>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</si>
  <si>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</si>
  <si>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</si>
  <si>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</si>
  <si>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</si>
  <si>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</si>
  <si>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</si>
  <si>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</si>
  <si>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</si>
  <si>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</si>
  <si>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</si>
  <si>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</si>
  <si>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</si>
  <si>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</si>
  <si>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</si>
  <si>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</si>
  <si>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</si>
  <si>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</si>
  <si>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</si>
  <si>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</si>
  <si>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</si>
  <si>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</si>
  <si>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</si>
  <si>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</si>
  <si>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</si>
  <si>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</si>
  <si>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</si>
  <si>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</si>
  <si>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</si>
  <si>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</si>
  <si>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</si>
  <si>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</si>
  <si>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</si>
  <si>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</si>
  <si>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</si>
  <si>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</si>
  <si>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</si>
  <si>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</si>
  <si>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</si>
  <si>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</si>
  <si>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</si>
  <si>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</si>
  <si>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</si>
  <si>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</si>
  <si>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</si>
  <si>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</si>
  <si>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</si>
  <si>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</si>
  <si>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</si>
  <si>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</si>
  <si>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</si>
  <si>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</si>
  <si>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</si>
  <si>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</si>
  <si>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</si>
  <si>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</si>
  <si>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</si>
  <si>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</si>
  <si>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</si>
  <si>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</si>
  <si>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</si>
  <si>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</si>
  <si>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</si>
  <si>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</si>
  <si>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</si>
  <si>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</si>
  <si>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</si>
  <si>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</si>
  <si>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</si>
  <si>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</si>
  <si>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</si>
  <si>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</si>
  <si>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</si>
  <si>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</si>
  <si>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</si>
  <si>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</si>
  <si>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</si>
  <si>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</si>
  <si>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</si>
  <si>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</si>
  <si>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</si>
  <si>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</si>
  <si>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</si>
  <si>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</si>
  <si>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</si>
  <si>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</si>
  <si>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</si>
  <si>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</si>
  <si>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</si>
  <si>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</si>
  <si>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</si>
  <si>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</si>
  <si>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</si>
  <si>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</si>
  <si>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</si>
  <si>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</si>
  <si>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</si>
  <si>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</si>
  <si>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</si>
  <si>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</si>
  <si>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</si>
  <si>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</si>
  <si>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</si>
  <si>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</si>
  <si>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</si>
  <si>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</si>
  <si>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</si>
  <si>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</si>
  <si>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</si>
  <si>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</si>
  <si>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</si>
  <si>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</si>
  <si>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</si>
  <si>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</si>
  <si>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</si>
  <si>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</si>
  <si>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</si>
  <si>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</si>
  <si>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</si>
  <si>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</si>
  <si>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</si>
  <si>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</si>
  <si>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</si>
  <si>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</si>
  <si>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</si>
  <si>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</si>
  <si>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</si>
  <si>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</si>
  <si>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</si>
  <si>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</si>
  <si>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</si>
  <si>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</si>
  <si>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</si>
  <si>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</si>
  <si>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</si>
  <si>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</si>
  <si>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</si>
  <si>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</si>
  <si>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</si>
  <si>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</si>
  <si>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</si>
  <si>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</si>
  <si>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</si>
  <si>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</si>
  <si>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</si>
  <si>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</si>
  <si>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</si>
  <si>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</si>
  <si>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</si>
  <si>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</si>
  <si>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</si>
  <si>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</si>
  <si>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</si>
  <si>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</si>
  <si>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</si>
  <si>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</si>
  <si>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</si>
  <si>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</si>
  <si>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</si>
  <si>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</si>
  <si>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</si>
  <si>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</si>
  <si>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</si>
  <si>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</si>
  <si>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</si>
  <si>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</si>
  <si>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</si>
  <si>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</si>
  <si>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</si>
  <si>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</si>
  <si>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</si>
  <si>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</si>
  <si>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</si>
  <si>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</si>
  <si>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</si>
  <si>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</si>
  <si>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</si>
  <si>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</si>
  <si>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</si>
  <si>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</si>
  <si>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</si>
  <si>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</si>
  <si>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</si>
  <si>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</si>
  <si>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</si>
  <si>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</si>
  <si>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</si>
  <si>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</si>
  <si>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</si>
  <si>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</si>
  <si>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</si>
  <si>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</si>
  <si>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</si>
  <si>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</si>
  <si>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</si>
  <si>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</si>
  <si>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</si>
  <si>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</si>
  <si>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</si>
  <si>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</si>
  <si>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</si>
  <si>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</si>
  <si>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</si>
  <si>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</si>
  <si>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</si>
  <si>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</si>
  <si>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</si>
  <si>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</si>
  <si>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</si>
  <si>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</si>
  <si>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</si>
  <si>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</si>
  <si>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</si>
  <si>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</si>
  <si>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</si>
  <si>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</si>
  <si>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</si>
  <si>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</si>
  <si>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</si>
  <si>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</si>
  <si>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</si>
  <si>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</si>
  <si>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</si>
  <si>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</si>
  <si>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</si>
  <si>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</si>
  <si>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</si>
  <si>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</si>
  <si>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</si>
  <si>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</si>
  <si>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</si>
  <si>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</si>
  <si>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</si>
  <si>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</si>
  <si>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</si>
  <si>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</si>
  <si>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</si>
  <si>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</si>
  <si>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</si>
  <si>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</si>
  <si>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</si>
  <si>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</si>
  <si>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</si>
  <si>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</si>
  <si>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</si>
  <si>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</si>
  <si>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</si>
  <si>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</si>
  <si>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</si>
  <si>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</si>
  <si>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</si>
  <si>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</si>
  <si>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</si>
  <si>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</si>
  <si>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</si>
  <si>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</si>
  <si>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</si>
  <si>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</si>
  <si>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</si>
  <si>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</si>
  <si>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</si>
  <si>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</si>
  <si>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</si>
  <si>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</si>
  <si>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</si>
  <si>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</si>
  <si>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</si>
  <si>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</si>
  <si>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</si>
  <si>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</si>
  <si>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</si>
  <si>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</si>
  <si>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</si>
  <si>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</si>
  <si>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</si>
  <si>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</si>
  <si>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</si>
  <si>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</si>
  <si>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</si>
  <si>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</si>
  <si>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</si>
  <si>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</si>
  <si>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</si>
  <si>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</si>
  <si>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</si>
  <si>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</si>
  <si>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</si>
  <si>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</si>
  <si>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</si>
  <si>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</si>
  <si>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</si>
  <si>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</si>
  <si>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</si>
  <si>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</si>
  <si>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</si>
  <si>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</si>
  <si>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</si>
  <si>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</si>
  <si>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</si>
  <si>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</si>
  <si>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</si>
  <si>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</si>
  <si>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</si>
  <si>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</si>
  <si>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</si>
  <si>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</si>
  <si>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</si>
  <si>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</si>
  <si>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</si>
  <si>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</si>
  <si>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</si>
  <si>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</si>
  <si>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</si>
  <si>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</si>
  <si>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</si>
  <si>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</si>
  <si>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</si>
  <si>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</si>
  <si>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</si>
  <si>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</si>
  <si>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</si>
  <si>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</si>
  <si>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</si>
  <si>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</si>
  <si>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</si>
  <si>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</si>
  <si>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</si>
  <si>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</si>
  <si>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</si>
  <si>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</si>
  <si>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</si>
  <si>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</si>
  <si>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</si>
  <si>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</si>
  <si>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</si>
  <si>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</si>
  <si>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</si>
  <si>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</si>
  <si>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</si>
  <si>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</si>
  <si>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</si>
  <si>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</si>
  <si>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</si>
  <si>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</si>
  <si>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</si>
  <si>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</si>
  <si>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</si>
  <si>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</si>
  <si>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</si>
  <si>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</si>
  <si>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</si>
  <si>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</si>
  <si>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</si>
  <si>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</si>
  <si>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</si>
  <si>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</si>
  <si>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</si>
  <si>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</si>
  <si>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</si>
  <si>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</si>
  <si>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</si>
  <si>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</si>
  <si>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</si>
  <si>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</si>
  <si>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</si>
  <si>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</si>
  <si>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</si>
  <si>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</si>
  <si>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</si>
  <si>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</si>
  <si>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</si>
  <si>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</si>
  <si>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</si>
  <si>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</si>
  <si>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</si>
  <si>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</si>
  <si>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</si>
  <si>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</si>
  <si>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</si>
  <si>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</si>
  <si>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</si>
  <si>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</si>
  <si>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</si>
  <si>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</si>
  <si>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</si>
  <si>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</si>
  <si>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</si>
  <si>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</si>
  <si>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</si>
  <si>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</si>
  <si>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</si>
  <si>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</si>
  <si>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</si>
  <si>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</si>
  <si>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</si>
  <si>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</si>
  <si>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</si>
  <si>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</si>
  <si>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</si>
  <si>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</si>
  <si>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</si>
  <si>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</si>
  <si>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</si>
  <si>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</si>
  <si>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</si>
  <si>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</si>
  <si>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</si>
  <si>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</si>
  <si>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</si>
  <si>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</si>
  <si>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</si>
  <si>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</si>
  <si>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</si>
  <si>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</si>
  <si>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</si>
  <si>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</si>
  <si>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</si>
  <si>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</si>
  <si>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</si>
  <si>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</si>
  <si>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</si>
  <si>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</si>
  <si>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</si>
  <si>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</si>
  <si>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</si>
  <si>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</si>
  <si>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</si>
  <si>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</si>
  <si>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</si>
  <si>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</si>
  <si>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</si>
  <si>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</si>
  <si>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</si>
  <si>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</si>
  <si>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</si>
  <si>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</si>
  <si>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</si>
  <si>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</si>
  <si>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</si>
  <si>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</si>
  <si>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</si>
  <si>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</si>
  <si>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</si>
  <si>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</si>
  <si>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</si>
  <si>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</si>
  <si>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</si>
  <si>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</si>
  <si>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</si>
  <si>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</si>
  <si>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</si>
  <si>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</si>
  <si>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</si>
  <si>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</si>
  <si>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</si>
  <si>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</si>
  <si>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</si>
  <si>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</si>
  <si>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</si>
  <si>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</si>
  <si>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</si>
  <si>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</si>
  <si>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</si>
  <si>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</si>
  <si>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</si>
  <si>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</si>
  <si>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</si>
  <si>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</si>
  <si>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</si>
  <si>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</si>
  <si>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</si>
  <si>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</si>
  <si>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</si>
  <si>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</si>
  <si>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</si>
  <si>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</si>
  <si>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</si>
  <si>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</si>
  <si>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</si>
  <si>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</si>
  <si>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</si>
  <si>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</si>
  <si>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</si>
  <si>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</si>
  <si>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</si>
  <si>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</si>
  <si>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</si>
  <si>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</si>
  <si>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</si>
  <si>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</si>
  <si>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</si>
  <si>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</si>
  <si>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</si>
  <si>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</si>
  <si>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</si>
  <si>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</si>
  <si>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</si>
  <si>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</si>
  <si>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</si>
  <si>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</si>
  <si>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</si>
  <si>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</si>
  <si>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</si>
  <si>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</si>
  <si>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</si>
  <si>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</si>
  <si>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</si>
  <si>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</si>
  <si>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</si>
  <si>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</si>
  <si>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</si>
  <si>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</si>
  <si>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</si>
  <si>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</si>
  <si>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</si>
  <si>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</si>
  <si>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</si>
  <si>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</si>
  <si>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</si>
  <si>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</si>
  <si>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</si>
  <si>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</si>
  <si>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</si>
  <si>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</si>
  <si>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</si>
  <si>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</si>
  <si>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</si>
  <si>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</si>
  <si>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</si>
  <si>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</si>
  <si>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</si>
  <si>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</si>
  <si>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</si>
  <si>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</si>
  <si>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</si>
  <si>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</si>
  <si>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</si>
  <si>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</si>
  <si>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</si>
  <si>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</si>
  <si>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</si>
  <si>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</si>
  <si>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</si>
  <si>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</si>
  <si>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</si>
  <si>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</si>
  <si>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</si>
  <si>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</si>
  <si>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</si>
  <si>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</si>
  <si>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</si>
  <si>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</si>
  <si>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</si>
  <si>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</si>
  <si>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</si>
  <si>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</si>
  <si>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</si>
  <si>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</si>
  <si>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</si>
  <si>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</si>
  <si>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</si>
  <si>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</si>
  <si>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</si>
  <si>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</si>
  <si>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</si>
  <si>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</si>
  <si>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</si>
  <si>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</si>
  <si>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</si>
  <si>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</si>
  <si>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</si>
  <si>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</si>
  <si>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</si>
  <si>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</si>
  <si>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</si>
  <si>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</si>
  <si>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</si>
  <si>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</si>
  <si>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</si>
  <si>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</si>
  <si>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</si>
  <si>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</si>
  <si>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</si>
  <si>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</si>
  <si>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</si>
  <si>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</si>
  <si>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</si>
  <si>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</si>
  <si>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</si>
  <si>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</si>
  <si>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</si>
  <si>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</si>
  <si>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</si>
  <si>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</si>
  <si>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</si>
  <si>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</si>
  <si>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</si>
  <si>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</si>
  <si>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</si>
  <si>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</si>
  <si>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</si>
  <si>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</si>
  <si>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</si>
  <si>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</si>
  <si>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</si>
  <si>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</si>
  <si>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</si>
  <si>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</si>
  <si>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</si>
  <si>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</si>
  <si>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</si>
  <si>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</si>
  <si>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</si>
  <si>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</si>
  <si>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</si>
  <si>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</si>
  <si>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</si>
  <si>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</si>
  <si>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</si>
  <si>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</si>
  <si>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</si>
  <si>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</si>
  <si>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</si>
  <si>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</si>
  <si>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</si>
  <si>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</si>
  <si>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</si>
  <si>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</si>
  <si>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</si>
  <si>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</si>
  <si>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</si>
  <si>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</si>
  <si>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</si>
  <si>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</si>
  <si>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</si>
  <si>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</si>
  <si>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</si>
  <si>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</si>
  <si>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</si>
  <si>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</si>
  <si>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</si>
  <si>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</si>
  <si>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</si>
  <si>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</si>
  <si>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</si>
  <si>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</si>
  <si>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</si>
  <si>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</si>
  <si>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</si>
  <si>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</si>
  <si>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</si>
  <si>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</si>
  <si>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</si>
  <si>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</si>
  <si>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</si>
  <si>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</si>
  <si>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</si>
  <si>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</si>
  <si>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</si>
  <si>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</si>
  <si>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</si>
  <si>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</si>
  <si>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</si>
  <si>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</si>
  <si>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</si>
  <si>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</si>
  <si>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</si>
  <si>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</si>
  <si>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</si>
  <si>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</si>
  <si>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</si>
  <si>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</si>
  <si>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</si>
  <si>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</si>
  <si>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</si>
  <si>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</si>
  <si>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</si>
  <si>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</si>
  <si>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</si>
  <si>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</si>
  <si>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</si>
  <si>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</si>
  <si>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</si>
  <si>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</si>
  <si>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</si>
  <si>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</si>
  <si>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</si>
  <si>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</si>
  <si>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</si>
  <si>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</si>
  <si>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</si>
  <si>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</si>
  <si>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</si>
  <si>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</si>
  <si>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</si>
  <si>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</si>
  <si>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</si>
  <si>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</si>
  <si>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</si>
  <si>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</si>
  <si>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</si>
  <si>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</si>
  <si>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</si>
  <si>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</si>
  <si>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</si>
  <si>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</si>
  <si>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</si>
  <si>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</si>
  <si>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</si>
  <si>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</si>
  <si>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</si>
  <si>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</si>
  <si>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</si>
  <si>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</si>
  <si>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</si>
  <si>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</si>
  <si>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</si>
  <si>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</si>
  <si>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</si>
  <si>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</si>
  <si>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</si>
  <si>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</si>
  <si>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</si>
  <si>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</si>
  <si>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</si>
  <si>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</si>
  <si>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</si>
  <si>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</si>
  <si>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</si>
  <si>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</si>
  <si>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</si>
  <si>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</si>
  <si>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</si>
  <si>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</si>
  <si>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</si>
  <si>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</si>
  <si>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</si>
  <si>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</si>
  <si>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</si>
  <si>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</si>
  <si>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</si>
  <si>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</si>
  <si>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</si>
  <si>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</si>
  <si>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</si>
  <si>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</si>
  <si>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</si>
  <si>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</si>
  <si>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</si>
  <si>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</si>
  <si>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</si>
  <si>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</si>
  <si>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</si>
  <si>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</si>
  <si>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</si>
  <si>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</si>
  <si>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</si>
  <si>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</si>
  <si>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</si>
  <si>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</si>
  <si>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</si>
  <si>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</si>
  <si>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</si>
  <si>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</si>
  <si>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</si>
  <si>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</si>
  <si>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</si>
  <si>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</si>
  <si>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</si>
  <si>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</si>
  <si>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</si>
  <si>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</si>
  <si>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</si>
  <si>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</si>
  <si>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</si>
  <si>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</si>
  <si>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</si>
  <si>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</si>
  <si>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</si>
  <si>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</si>
  <si>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</si>
  <si>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</si>
  <si>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</si>
  <si>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</si>
  <si>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</si>
  <si>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</si>
  <si>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</si>
  <si>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</si>
  <si>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</si>
  <si>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</si>
  <si>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</si>
  <si>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</si>
  <si>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</si>
  <si>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</si>
  <si>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</si>
  <si>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</si>
  <si>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</si>
  <si>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</si>
  <si>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</si>
  <si>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</si>
  <si>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</si>
  <si>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</si>
  <si>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</si>
  <si>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</si>
  <si>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</si>
  <si>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</si>
  <si>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</si>
  <si>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</si>
  <si>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</si>
  <si>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</si>
  <si>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</si>
  <si>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</si>
  <si>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</si>
  <si>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</si>
  <si>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</si>
  <si>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</si>
  <si>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</si>
  <si>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</si>
  <si>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</si>
  <si>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</si>
  <si>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</si>
  <si>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</si>
  <si>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</si>
  <si>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</si>
  <si>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</si>
  <si>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</si>
  <si>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</si>
  <si>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</si>
  <si>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</si>
  <si>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</si>
  <si>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</si>
  <si>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</si>
  <si>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</si>
  <si>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</si>
  <si>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</si>
  <si>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</si>
  <si>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</si>
  <si>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</si>
  <si>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</si>
  <si>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</si>
  <si>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</si>
  <si>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</si>
  <si>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</si>
  <si>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</si>
  <si>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</si>
  <si>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</si>
  <si>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</si>
  <si>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</si>
  <si>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</si>
  <si>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</si>
  <si>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</si>
  <si>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</si>
  <si>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</si>
  <si>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</si>
  <si>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</si>
  <si>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</si>
  <si>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</si>
  <si>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</si>
  <si>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</si>
  <si>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</si>
  <si>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</si>
  <si>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</si>
  <si>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</si>
  <si>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</si>
  <si>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</si>
  <si>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</si>
  <si>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</si>
  <si>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</si>
  <si>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</si>
  <si>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</si>
  <si>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</si>
  <si>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</si>
  <si>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</si>
  <si>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</si>
  <si>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</si>
  <si>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</si>
  <si>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</si>
  <si>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</si>
  <si>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</si>
  <si>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</si>
  <si>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</si>
  <si>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</si>
  <si>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</si>
  <si>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</si>
  <si>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</si>
  <si>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</si>
  <si>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</si>
  <si>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</si>
  <si>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</si>
  <si>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</si>
  <si>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</si>
  <si>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</si>
  <si>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</si>
  <si>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</si>
  <si>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</si>
  <si>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</si>
  <si>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</si>
  <si>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</si>
  <si>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</si>
  <si>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</si>
  <si>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</si>
  <si>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</si>
  <si>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</si>
  <si>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</si>
  <si>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</si>
  <si>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</si>
  <si>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</si>
  <si>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</si>
  <si>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</si>
  <si>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</si>
  <si>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</si>
  <si>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</si>
  <si>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</si>
  <si>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</si>
  <si>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</si>
  <si>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</si>
  <si>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</si>
  <si>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</si>
  <si>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</si>
  <si>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</si>
  <si>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</si>
  <si>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</si>
  <si>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</si>
  <si>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</si>
  <si>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</si>
  <si>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</si>
  <si>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</si>
  <si>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</si>
  <si>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</si>
  <si>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</si>
  <si>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</si>
  <si>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</si>
  <si>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</si>
  <si>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</si>
  <si>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</si>
  <si>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</si>
  <si>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</si>
  <si>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</si>
  <si>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</si>
  <si>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</si>
  <si>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</si>
  <si>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</si>
  <si>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</si>
  <si>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</si>
  <si>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</si>
  <si>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</si>
  <si>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</si>
  <si>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</si>
  <si>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</si>
  <si>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</si>
  <si>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</si>
  <si>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</si>
  <si>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</si>
  <si>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</si>
  <si>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</si>
  <si>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</si>
  <si>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</si>
  <si>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</si>
  <si>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</si>
  <si>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</si>
  <si>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</si>
  <si>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</si>
  <si>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</si>
  <si>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</si>
  <si>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</si>
  <si>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</si>
  <si>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</si>
  <si>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</si>
  <si>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</si>
  <si>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</si>
  <si>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</si>
  <si>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</si>
  <si>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</si>
  <si>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</si>
  <si>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</si>
  <si>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</si>
  <si>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</si>
  <si>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</si>
  <si>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</si>
  <si>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</si>
  <si>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</si>
  <si>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</si>
  <si>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</si>
  <si>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</si>
  <si>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</si>
  <si>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</si>
  <si>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</si>
  <si>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</si>
  <si>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</si>
  <si>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</si>
  <si>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</si>
  <si>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</si>
  <si>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</si>
  <si>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</si>
  <si>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</si>
  <si>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</si>
  <si>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</si>
  <si>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</si>
  <si>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</si>
  <si>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</si>
  <si>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</si>
  <si>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</si>
  <si>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</si>
  <si>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</si>
  <si>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</si>
  <si>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</si>
  <si>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</si>
  <si>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</si>
  <si>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</si>
  <si>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</si>
  <si>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</si>
  <si>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</si>
  <si>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</si>
  <si>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</si>
  <si>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</si>
  <si>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</si>
  <si>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</si>
  <si>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</si>
  <si>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</si>
  <si>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</si>
  <si>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</si>
  <si>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</si>
  <si>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</si>
  <si>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</si>
  <si>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</si>
  <si>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</si>
  <si>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</si>
  <si>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</si>
  <si>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</si>
  <si>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</si>
  <si>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</si>
  <si>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</si>
  <si>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</si>
  <si>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</si>
  <si>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</si>
  <si>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</si>
  <si>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</si>
  <si>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</si>
  <si>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</si>
  <si>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</si>
  <si>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</si>
  <si>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</si>
  <si>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</si>
  <si>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</si>
  <si>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</si>
  <si>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</si>
  <si>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</si>
  <si>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</si>
  <si>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</si>
  <si>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</si>
  <si>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</si>
  <si>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</si>
  <si>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</si>
  <si>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</si>
  <si>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</si>
  <si>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</si>
  <si>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</si>
  <si>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</si>
  <si>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</si>
  <si>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</si>
  <si>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</si>
  <si>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</si>
  <si>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</si>
  <si>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</si>
  <si>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</si>
  <si>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</si>
  <si>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</si>
  <si>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</si>
  <si>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</si>
  <si>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</si>
  <si>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</si>
  <si>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</si>
  <si>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</si>
  <si>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</si>
  <si>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</si>
  <si>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</si>
  <si>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</si>
  <si>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</si>
  <si>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</si>
  <si>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</si>
  <si>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</si>
  <si>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</si>
  <si>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</si>
  <si>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</si>
  <si>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</si>
  <si>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</si>
  <si>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</si>
  <si>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</si>
  <si>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</si>
  <si>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</si>
  <si>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</si>
  <si>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</si>
  <si>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</si>
  <si>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</si>
  <si>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</si>
  <si>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</si>
  <si>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</si>
  <si>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</si>
  <si>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</si>
  <si>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</si>
  <si>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</si>
  <si>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</si>
  <si>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</si>
  <si>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</si>
  <si>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</si>
  <si>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</si>
  <si>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</si>
  <si>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</si>
  <si>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</si>
  <si>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</si>
  <si>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</si>
  <si>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</si>
  <si>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</si>
  <si>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</si>
  <si>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</si>
  <si>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</si>
  <si>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</si>
  <si>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</si>
  <si>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</si>
  <si>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</si>
  <si>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</si>
  <si>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</si>
  <si>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</si>
  <si>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</si>
  <si>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</si>
  <si>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</si>
  <si>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</si>
  <si>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</si>
  <si>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</si>
  <si>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</si>
  <si>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</si>
  <si>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</si>
  <si>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</si>
  <si>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</si>
  <si>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</si>
  <si>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</si>
  <si>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</si>
  <si>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</si>
  <si>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</si>
  <si>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</si>
  <si>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</si>
  <si>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</si>
  <si>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</si>
  <si>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</si>
  <si>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</si>
  <si>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</si>
  <si>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</si>
  <si>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</si>
  <si>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</si>
  <si>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</si>
  <si>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</si>
  <si>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</si>
  <si>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</si>
  <si>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</si>
  <si>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</si>
  <si>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</si>
  <si>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</si>
  <si>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</si>
  <si>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</si>
  <si>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</si>
  <si>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</si>
  <si>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</si>
  <si>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</si>
  <si>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</si>
  <si>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</si>
  <si>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</si>
  <si>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</si>
  <si>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</si>
  <si>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</si>
  <si>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</si>
  <si>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</si>
  <si>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</si>
  <si>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</si>
  <si>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</si>
  <si>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</si>
  <si>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</si>
  <si>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</si>
  <si>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</si>
  <si>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</si>
  <si>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</si>
  <si>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</si>
  <si>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</si>
  <si>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</si>
  <si>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</si>
  <si>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</si>
  <si>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</si>
  <si>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</si>
  <si>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</si>
  <si>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</si>
  <si>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</si>
  <si>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</si>
  <si>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</si>
  <si>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</si>
  <si>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</si>
  <si>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</si>
  <si>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</si>
  <si>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</si>
  <si>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</si>
  <si>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</si>
  <si>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</si>
  <si>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</si>
  <si>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</si>
  <si>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</si>
  <si>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</si>
  <si>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</si>
  <si>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</si>
  <si>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</si>
  <si>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</si>
  <si>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</si>
  <si>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</si>
  <si>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</si>
  <si>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</si>
  <si>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</si>
  <si>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</si>
  <si>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</si>
  <si>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</si>
  <si>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</si>
  <si>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</si>
  <si>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</si>
  <si>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</si>
  <si>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</si>
  <si>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</si>
  <si>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</si>
  <si>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</si>
  <si>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</si>
  <si>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</si>
  <si>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</si>
  <si>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</si>
  <si>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</si>
  <si>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</si>
  <si>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</si>
  <si>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</si>
  <si>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</si>
  <si>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</si>
  <si>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</si>
  <si>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</si>
  <si>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</si>
  <si>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</si>
  <si>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</si>
  <si>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</si>
  <si>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</si>
  <si>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</si>
  <si>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</si>
  <si>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</si>
  <si>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</si>
  <si>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</si>
  <si>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</si>
  <si>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</si>
  <si>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</si>
  <si>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</si>
  <si>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</si>
  <si>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</si>
  <si>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</si>
  <si>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</si>
  <si>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</si>
  <si>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</si>
  <si>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</si>
  <si>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</si>
  <si>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</si>
  <si>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</si>
  <si>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</si>
  <si>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</si>
  <si>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</si>
  <si>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</si>
  <si>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</si>
  <si>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</si>
  <si>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</si>
  <si>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</si>
  <si>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</si>
  <si>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</si>
  <si>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</si>
  <si>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</si>
  <si>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</si>
  <si>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</si>
  <si>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</si>
  <si>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</si>
  <si>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</si>
  <si>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</si>
  <si>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</si>
  <si>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</si>
  <si>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</si>
  <si>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</si>
  <si>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</si>
  <si>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</si>
  <si>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</si>
  <si>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</si>
  <si>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</si>
  <si>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</si>
  <si>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</si>
  <si>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</si>
  <si>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</si>
  <si>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</si>
  <si>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</si>
  <si>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</si>
  <si>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</si>
  <si>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</si>
  <si>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</si>
  <si>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</si>
  <si>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</si>
  <si>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</si>
  <si>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</si>
  <si>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</si>
  <si>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</si>
  <si>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</si>
  <si>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</si>
  <si>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</si>
  <si>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</si>
  <si>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</si>
  <si>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</si>
  <si>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</si>
  <si>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</si>
  <si>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</si>
  <si>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</si>
  <si>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</si>
  <si>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</si>
  <si>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</si>
  <si>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</si>
  <si>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</si>
  <si>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</si>
  <si>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</si>
  <si>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</si>
  <si>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</si>
  <si>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</si>
  <si>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</si>
  <si>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</si>
  <si>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</si>
  <si>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</si>
  <si>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</si>
  <si>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</si>
  <si>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</si>
  <si>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</si>
  <si>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</si>
  <si>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</si>
  <si>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</si>
  <si>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</si>
  <si>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</si>
  <si>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</si>
  <si>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</si>
  <si>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</si>
  <si>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</si>
  <si>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</si>
  <si>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</si>
  <si>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</si>
  <si>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</si>
  <si>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</si>
  <si>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</si>
  <si>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</si>
  <si>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</si>
  <si>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</si>
  <si>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</si>
  <si>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</si>
  <si>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</si>
  <si>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</si>
  <si>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</si>
  <si>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</si>
  <si>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</si>
  <si>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</si>
  <si>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</si>
  <si>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</si>
  <si>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</si>
  <si>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</si>
  <si>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</si>
  <si>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</si>
  <si>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</si>
  <si>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</si>
  <si>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</si>
  <si>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</si>
  <si>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</si>
  <si>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</si>
  <si>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</si>
  <si>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</si>
  <si>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</si>
  <si>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</si>
  <si>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</si>
  <si>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</si>
  <si>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</si>
  <si>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</si>
  <si>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</si>
  <si>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</si>
  <si>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</si>
  <si>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</si>
  <si>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</si>
  <si>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</si>
  <si>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</si>
  <si>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</si>
  <si>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</si>
  <si>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</si>
  <si>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</si>
  <si>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</si>
  <si>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</si>
  <si>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</si>
  <si>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</si>
  <si>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</si>
  <si>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</si>
  <si>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</si>
  <si>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</si>
  <si>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</si>
  <si>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</si>
  <si>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</si>
  <si>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</si>
  <si>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</si>
  <si>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</si>
  <si>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</si>
  <si>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</si>
  <si>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</si>
  <si>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</si>
  <si>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</si>
  <si>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</si>
  <si>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</si>
  <si>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</si>
  <si>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</si>
  <si>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</si>
  <si>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</si>
  <si>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</si>
  <si>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</si>
  <si>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</si>
  <si>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</si>
  <si>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</si>
  <si>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</si>
  <si>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</si>
  <si>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</si>
  <si>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</si>
  <si>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</si>
  <si>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</si>
  <si>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</si>
  <si>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</si>
  <si>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</si>
  <si>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</si>
  <si>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</si>
  <si>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</si>
  <si>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</si>
  <si>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</si>
  <si>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</si>
  <si>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</si>
  <si>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</si>
  <si>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</si>
  <si>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</si>
  <si>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</si>
  <si>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</si>
  <si>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</si>
  <si>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</si>
  <si>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</si>
  <si>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</si>
  <si>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</si>
  <si>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</si>
  <si>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</si>
  <si>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</si>
  <si>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</si>
  <si>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</si>
  <si>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</si>
  <si>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</si>
  <si>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</si>
  <si>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</si>
  <si>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</si>
  <si>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</si>
  <si>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</si>
  <si>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</si>
  <si>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</si>
  <si>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</si>
  <si>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</si>
  <si>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</si>
  <si>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</si>
  <si>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</si>
  <si>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</si>
  <si>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</si>
  <si>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</si>
  <si>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</si>
  <si>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</si>
  <si>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</si>
  <si>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</si>
  <si>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</si>
  <si>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</si>
  <si>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</si>
  <si>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</si>
  <si>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</si>
  <si>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</si>
  <si>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</si>
  <si>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</si>
  <si>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</si>
  <si>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</si>
  <si>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</si>
  <si>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</si>
  <si>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</si>
  <si>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</si>
  <si>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</si>
  <si>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</si>
  <si>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</si>
  <si>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</si>
  <si>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</si>
  <si>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</si>
  <si>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</si>
  <si>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</si>
  <si>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</si>
  <si>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</si>
  <si>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</si>
  <si>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</si>
  <si>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</si>
  <si>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</si>
  <si>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</si>
  <si>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</si>
  <si>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</si>
  <si>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</si>
  <si>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</si>
  <si>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</si>
  <si>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</si>
  <si>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</si>
  <si>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</si>
  <si>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</si>
  <si>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</si>
  <si>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</si>
  <si>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</si>
  <si>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</si>
  <si>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</si>
  <si>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</si>
  <si>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</si>
  <si>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</si>
  <si>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</si>
  <si>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</si>
  <si>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</si>
  <si>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</si>
  <si>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</si>
  <si>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</si>
  <si>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</si>
  <si>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</si>
  <si>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</si>
  <si>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</si>
  <si>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</si>
  <si>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</si>
  <si>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</si>
  <si>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</si>
  <si>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</si>
  <si>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</si>
  <si>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</si>
  <si>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</si>
  <si>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</si>
  <si>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</si>
  <si>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</si>
  <si>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</si>
  <si>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</si>
  <si>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</si>
  <si>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</si>
  <si>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</si>
  <si>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</si>
  <si>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</si>
  <si>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</si>
  <si>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</si>
  <si>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</si>
  <si>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</si>
  <si>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</si>
  <si>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</si>
  <si>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</si>
  <si>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</si>
  <si>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</si>
  <si>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</si>
  <si>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</si>
  <si>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</si>
  <si>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</si>
  <si>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</si>
  <si>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</si>
  <si>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</si>
  <si>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</si>
  <si>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</si>
  <si>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</si>
  <si>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</si>
  <si>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</si>
  <si>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</si>
  <si>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</si>
  <si>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</si>
  <si>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</si>
  <si>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</si>
  <si>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</si>
  <si>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</si>
  <si>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</si>
  <si>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</si>
  <si>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</si>
  <si>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</si>
  <si>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</si>
  <si>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</si>
  <si>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</si>
  <si>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</si>
  <si>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</si>
  <si>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</si>
  <si>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</si>
  <si>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</si>
  <si>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</si>
  <si>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</si>
  <si>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</si>
  <si>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</si>
  <si>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</si>
  <si>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</si>
  <si>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</si>
  <si>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</si>
  <si>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</si>
  <si>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</si>
  <si>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</si>
  <si>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</si>
  <si>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</si>
  <si>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</si>
  <si>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</si>
  <si>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</si>
  <si>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</si>
  <si>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</si>
  <si>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</si>
  <si>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</si>
  <si>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</si>
  <si>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</si>
  <si>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</si>
  <si>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</si>
  <si>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</si>
  <si>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</si>
  <si>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</si>
  <si>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</si>
  <si>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</si>
  <si>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</si>
  <si>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</si>
  <si>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</si>
  <si>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</si>
  <si>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</si>
  <si>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</si>
  <si>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</si>
  <si>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</si>
  <si>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</si>
  <si>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</si>
  <si>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</si>
  <si>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</si>
  <si>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</si>
  <si>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</si>
  <si>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</si>
  <si>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</si>
  <si>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</si>
  <si>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</si>
  <si>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</si>
  <si>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</si>
  <si>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</si>
  <si>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</si>
  <si>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</si>
  <si>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</si>
  <si>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</si>
  <si>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</si>
  <si>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</si>
  <si>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</si>
  <si>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</si>
  <si>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</si>
  <si>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</si>
  <si>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</si>
  <si>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</si>
  <si>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</si>
  <si>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</si>
  <si>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</si>
  <si>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</si>
  <si>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</si>
  <si>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</si>
  <si>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</si>
  <si>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</si>
  <si>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</si>
  <si>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</si>
  <si>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</si>
  <si>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</si>
  <si>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</si>
  <si>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</si>
  <si>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</si>
  <si>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</si>
  <si>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</si>
  <si>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</si>
  <si>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</si>
  <si>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</si>
  <si>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</si>
  <si>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</si>
  <si>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</si>
  <si>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</si>
  <si>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</si>
  <si>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</si>
  <si>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</si>
  <si>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</si>
  <si>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</si>
  <si>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</si>
  <si>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</si>
  <si>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</si>
  <si>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</si>
  <si>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</si>
  <si>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</si>
  <si>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</si>
  <si>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</si>
  <si>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</si>
  <si>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</si>
  <si>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</si>
  <si>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</si>
  <si>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</si>
  <si>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</si>
  <si>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</si>
  <si>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</si>
  <si>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</si>
  <si>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</si>
  <si>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</si>
  <si>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</si>
  <si>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</si>
  <si>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</si>
  <si>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</si>
  <si>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</si>
  <si>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</si>
  <si>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</si>
  <si>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</si>
  <si>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</si>
  <si>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</si>
  <si>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</si>
  <si>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</si>
  <si>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</si>
  <si>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</si>
  <si>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</si>
  <si>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</si>
  <si>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</si>
  <si>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</si>
  <si>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</si>
  <si>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</si>
  <si>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</si>
  <si>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</si>
  <si>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</si>
  <si>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</si>
  <si>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</si>
  <si>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</si>
  <si>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</si>
  <si>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</si>
  <si>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</si>
  <si>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</si>
  <si>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</si>
  <si>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</si>
  <si>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</si>
  <si>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</si>
  <si>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</si>
  <si>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</si>
  <si>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</si>
  <si>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</si>
  <si>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</si>
  <si>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</si>
  <si>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</si>
  <si>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</si>
  <si>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</si>
  <si>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</si>
  <si>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</si>
  <si>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</si>
  <si>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</si>
  <si>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</si>
  <si>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</si>
  <si>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</si>
  <si>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</si>
  <si>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</si>
  <si>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</si>
  <si>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</si>
  <si>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</si>
  <si>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</si>
  <si>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</si>
  <si>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</si>
  <si>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</si>
  <si>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</si>
  <si>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</si>
  <si>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</si>
  <si>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</si>
  <si>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</si>
  <si>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</si>
  <si>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</si>
  <si>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</si>
  <si>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</si>
  <si>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</si>
  <si>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</si>
  <si>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</si>
  <si>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</si>
  <si>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</si>
  <si>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</si>
  <si>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</si>
  <si>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</si>
  <si>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</si>
  <si>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</si>
  <si>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</si>
  <si>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</si>
  <si>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</si>
  <si>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</si>
  <si>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</si>
  <si>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</si>
  <si>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</si>
  <si>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</si>
  <si>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</si>
  <si>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</si>
  <si>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</si>
  <si>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</si>
  <si>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</si>
  <si>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</si>
  <si>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</si>
  <si>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</si>
  <si>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</si>
  <si>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</si>
  <si>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</si>
  <si>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</si>
  <si>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</si>
  <si>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</si>
  <si>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</si>
  <si>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</si>
  <si>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</si>
  <si>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</si>
  <si>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</si>
  <si>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</si>
  <si>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</si>
  <si>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</si>
  <si>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</si>
  <si>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</si>
  <si>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</si>
  <si>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</si>
  <si>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</si>
  <si>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</si>
  <si>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</si>
  <si>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</si>
  <si>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</si>
  <si>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</si>
  <si>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</si>
  <si>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</si>
  <si>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</si>
  <si>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</si>
  <si>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</si>
  <si>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</si>
  <si>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</si>
  <si>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</si>
  <si>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</si>
  <si>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</si>
  <si>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</si>
  <si>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</si>
  <si>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</si>
  <si>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</si>
  <si>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</si>
  <si>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</si>
  <si>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</si>
  <si>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</si>
  <si>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</si>
  <si>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</si>
  <si>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</si>
  <si>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</si>
  <si>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</si>
  <si>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</si>
  <si>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</si>
  <si>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</si>
  <si>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</si>
  <si>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</si>
  <si>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</si>
  <si>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</si>
  <si>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</si>
  <si>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</si>
  <si>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</si>
  <si>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</si>
  <si>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</si>
  <si>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</si>
  <si>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</si>
  <si>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</si>
  <si>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</si>
  <si>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</si>
  <si>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</si>
  <si>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</si>
  <si>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</si>
  <si>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</si>
  <si>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</si>
  <si>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</si>
  <si>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</si>
  <si>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</si>
  <si>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</si>
  <si>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</si>
  <si>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</si>
  <si>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</si>
  <si>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</si>
  <si>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</si>
  <si>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</si>
  <si>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</si>
  <si>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</si>
  <si>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</si>
  <si>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</si>
  <si>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</si>
  <si>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</si>
  <si>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</si>
  <si>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</si>
  <si>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</si>
  <si>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</si>
  <si>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</si>
  <si>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</si>
  <si>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</si>
  <si>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</si>
  <si>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</si>
  <si>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</si>
  <si>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</si>
  <si>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</si>
  <si>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</si>
  <si>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</si>
  <si>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</si>
  <si>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</si>
  <si>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</si>
  <si>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</si>
  <si>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</si>
  <si>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</si>
  <si>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</si>
  <si>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</si>
  <si>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</si>
  <si>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</si>
  <si>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</si>
  <si>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</si>
  <si>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</si>
  <si>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</si>
  <si>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</si>
  <si>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</si>
  <si>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</si>
  <si>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</si>
  <si>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</si>
  <si>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</si>
  <si>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</si>
  <si>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</si>
  <si>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</si>
  <si>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</si>
  <si>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</si>
  <si>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</si>
  <si>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</si>
  <si>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</si>
  <si>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</si>
  <si>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</si>
  <si>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</si>
  <si>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</si>
  <si>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</si>
  <si>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</si>
  <si>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</si>
  <si>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</si>
  <si>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</si>
  <si>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</si>
  <si>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</si>
  <si>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</si>
  <si>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</si>
  <si>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</si>
  <si>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</si>
  <si>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</si>
  <si>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</si>
  <si>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</si>
  <si>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</si>
  <si>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</si>
  <si>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</si>
  <si>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</si>
  <si>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</si>
  <si>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</si>
  <si>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</si>
  <si>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</si>
  <si>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</si>
  <si>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</si>
  <si>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</si>
  <si>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</si>
  <si>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</si>
  <si>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</si>
  <si>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</si>
  <si>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</si>
  <si>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</si>
  <si>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</si>
  <si>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</si>
  <si>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</si>
  <si>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</si>
  <si>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</si>
  <si>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</si>
  <si>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</si>
  <si>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</si>
  <si>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</si>
  <si>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</si>
  <si>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</si>
  <si>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</si>
  <si>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</si>
  <si>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</si>
  <si>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</si>
  <si>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</si>
  <si>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</si>
  <si>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</si>
  <si>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</si>
  <si>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</si>
  <si>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</si>
  <si>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</si>
  <si>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</si>
  <si>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</si>
  <si>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</si>
  <si>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</si>
  <si>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</si>
  <si>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</si>
  <si>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</si>
  <si>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</si>
  <si>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</si>
  <si>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</si>
  <si>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</si>
  <si>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</si>
  <si>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</si>
  <si>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</si>
  <si>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</si>
  <si>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</si>
  <si>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</si>
  <si>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</si>
  <si>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</si>
  <si>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</si>
  <si>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</si>
  <si>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</si>
  <si>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</si>
  <si>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</si>
  <si>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</si>
  <si>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</si>
  <si>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</si>
  <si>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</si>
  <si>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</si>
  <si>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</si>
  <si>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</si>
  <si>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</si>
  <si>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</si>
  <si>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</si>
  <si>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</si>
  <si>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</si>
  <si>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</si>
  <si>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</si>
  <si>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</si>
  <si>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</si>
  <si>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</si>
  <si>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</si>
  <si>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</si>
  <si>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</si>
  <si>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</si>
  <si>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</si>
  <si>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</si>
  <si>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</si>
  <si>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</si>
  <si>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</si>
  <si>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</si>
  <si>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</si>
  <si>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</si>
  <si>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</si>
  <si>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</si>
  <si>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</si>
  <si>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</si>
  <si>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</si>
  <si>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</si>
  <si>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</si>
  <si>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</si>
  <si>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</si>
  <si>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</si>
  <si>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</si>
  <si>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</si>
  <si>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</si>
  <si>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</si>
  <si>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</si>
  <si>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</si>
  <si>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</si>
  <si>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</si>
  <si>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</si>
  <si>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</si>
  <si>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</si>
  <si>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</si>
  <si>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</si>
  <si>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</si>
  <si>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</si>
  <si>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</si>
  <si>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</si>
  <si>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</si>
  <si>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</si>
  <si>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</si>
  <si>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</si>
  <si>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</si>
  <si>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</si>
  <si>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</si>
  <si>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</si>
  <si>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</si>
  <si>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</si>
  <si>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</si>
  <si>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</si>
  <si>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</si>
  <si>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</si>
  <si>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</si>
  <si>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</si>
  <si>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</si>
  <si>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</si>
  <si>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</si>
  <si>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</si>
  <si>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</si>
  <si>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</si>
  <si>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</si>
  <si>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</si>
  <si>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</si>
  <si>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</si>
  <si>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</si>
  <si>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</si>
  <si>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</si>
  <si>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</si>
  <si>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</si>
  <si>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</si>
  <si>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</si>
  <si>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</si>
  <si>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</si>
  <si>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</si>
  <si>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</si>
  <si>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</si>
  <si>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</si>
  <si>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</si>
  <si>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</si>
  <si>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</si>
  <si>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</si>
  <si>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</si>
  <si>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</si>
  <si>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</si>
  <si>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</si>
  <si>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</si>
  <si>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</si>
  <si>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</si>
  <si>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</si>
  <si>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</si>
  <si>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</si>
  <si>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</si>
  <si>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</si>
  <si>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</si>
  <si>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</si>
  <si>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</si>
  <si>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</si>
  <si>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</si>
  <si>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</si>
  <si>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</si>
  <si>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</si>
  <si>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</si>
  <si>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</si>
  <si>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</si>
  <si>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</si>
  <si>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</si>
  <si>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</si>
  <si>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</si>
  <si>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</si>
  <si>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</si>
  <si>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</si>
  <si>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</si>
  <si>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</si>
  <si>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</si>
  <si>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</si>
  <si>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</si>
  <si>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</si>
  <si>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</si>
  <si>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</si>
  <si>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</si>
  <si>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</si>
  <si>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</si>
  <si>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</si>
  <si>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</si>
  <si>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</si>
  <si>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</si>
  <si>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</si>
  <si>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</si>
  <si>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</si>
  <si>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</si>
  <si>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</si>
  <si>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</si>
  <si>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</si>
  <si>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</si>
  <si>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</si>
  <si>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</si>
  <si>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</si>
  <si>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</si>
  <si>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</si>
  <si>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</si>
  <si>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</si>
  <si>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</si>
  <si>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</si>
  <si>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</si>
  <si>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</si>
  <si>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</si>
  <si>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</si>
  <si>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</si>
  <si>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</si>
  <si>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</si>
  <si>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</si>
  <si>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</si>
  <si>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</si>
  <si>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</si>
  <si>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</si>
  <si>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</si>
  <si>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</si>
  <si>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</si>
  <si>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</si>
  <si>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</si>
  <si>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</si>
  <si>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</si>
  <si>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</si>
  <si>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</si>
  <si>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</si>
  <si>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</si>
  <si>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</si>
  <si>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</si>
  <si>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</si>
  <si>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</si>
  <si>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</si>
  <si>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</si>
  <si>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</si>
  <si>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</si>
  <si>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</si>
  <si>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</si>
  <si>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</si>
  <si>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</si>
  <si>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</si>
  <si>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</si>
  <si>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</si>
  <si>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</si>
  <si>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</si>
  <si>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</si>
  <si>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</si>
  <si>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</si>
  <si>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</si>
  <si>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</si>
  <si>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</si>
  <si>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</si>
  <si>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</si>
  <si>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</si>
  <si>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</si>
  <si>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</si>
  <si>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</si>
  <si>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</si>
  <si>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</si>
  <si>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</si>
  <si>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</si>
  <si>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</si>
  <si>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</si>
  <si>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</si>
  <si>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</si>
  <si>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</si>
  <si>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</si>
  <si>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</si>
  <si>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</si>
  <si>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</si>
  <si>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</si>
  <si>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</si>
  <si>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</si>
  <si>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</si>
  <si>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</si>
  <si>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</si>
  <si>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</si>
  <si>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</si>
  <si>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</si>
  <si>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</si>
  <si>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</si>
  <si>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</si>
  <si>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</si>
  <si>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</si>
  <si>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</si>
  <si>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</si>
  <si>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</si>
  <si>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</si>
  <si>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</si>
  <si>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</si>
  <si>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</si>
  <si>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</si>
  <si>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</si>
  <si>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</si>
  <si>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</si>
  <si>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</si>
  <si>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</si>
  <si>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</si>
  <si>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</si>
  <si>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</si>
  <si>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</si>
  <si>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</si>
  <si>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</si>
  <si>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</si>
  <si>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</si>
  <si>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</si>
  <si>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</si>
  <si>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</si>
  <si>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</si>
  <si>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</si>
  <si>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</si>
  <si>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</si>
  <si>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</si>
  <si>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</si>
  <si>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</si>
  <si>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</si>
  <si>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</si>
  <si>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</si>
  <si>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</si>
  <si>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</si>
  <si>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</si>
  <si>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</si>
  <si>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</si>
  <si>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</si>
  <si>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</si>
  <si>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</si>
  <si>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</si>
  <si>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</si>
  <si>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</si>
  <si>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</si>
  <si>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</si>
  <si>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</si>
  <si>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</si>
  <si>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</si>
  <si>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</si>
  <si>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</si>
  <si>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</si>
  <si>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</si>
  <si>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</si>
  <si>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</si>
  <si>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</si>
  <si>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</si>
  <si>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</si>
  <si>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</si>
  <si>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</si>
  <si>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</si>
  <si>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</si>
  <si>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</si>
  <si>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</si>
  <si>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</si>
  <si>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</si>
  <si>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</si>
  <si>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</si>
  <si>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</si>
  <si>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</si>
  <si>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</si>
  <si>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</si>
  <si>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</si>
  <si>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</si>
  <si>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</si>
  <si>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</si>
  <si>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</si>
  <si>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</si>
  <si>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</si>
  <si>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</si>
  <si>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</si>
  <si>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</si>
  <si>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</si>
  <si>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</si>
  <si>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</si>
  <si>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</si>
  <si>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</si>
  <si>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</si>
  <si>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</si>
  <si>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</si>
  <si>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</si>
  <si>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</si>
  <si>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</si>
  <si>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</si>
  <si>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</si>
  <si>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</si>
  <si>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</si>
  <si>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</si>
  <si>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</si>
  <si>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</si>
  <si>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</si>
  <si>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</si>
  <si>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</si>
  <si>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</si>
  <si>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</si>
  <si>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</si>
  <si>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</si>
  <si>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</si>
  <si>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</si>
  <si>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</si>
  <si>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</si>
  <si>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</si>
  <si>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</si>
  <si>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</si>
  <si>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</si>
  <si>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</si>
  <si>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</si>
  <si>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</si>
  <si>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</si>
  <si>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</si>
  <si>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</si>
  <si>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</si>
  <si>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</si>
  <si>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</si>
  <si>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</si>
  <si>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</si>
  <si>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</si>
  <si>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</si>
  <si>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</si>
  <si>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</si>
  <si>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</si>
  <si>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</si>
  <si>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</si>
  <si>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</si>
  <si>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</si>
  <si>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</si>
  <si>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</si>
  <si>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</si>
  <si>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</si>
  <si>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</si>
  <si>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</si>
  <si>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</si>
  <si>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</si>
  <si>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</si>
  <si>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</si>
  <si>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</si>
  <si>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</si>
  <si>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</si>
  <si>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</si>
  <si>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</si>
  <si>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</si>
  <si>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</si>
  <si>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</si>
  <si>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</si>
  <si>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</si>
  <si>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</si>
  <si>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</si>
  <si>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</si>
  <si>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</si>
  <si>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</si>
  <si>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</si>
  <si>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</si>
  <si>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</si>
  <si>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</si>
  <si>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</si>
  <si>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</si>
  <si>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</si>
  <si>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</si>
  <si>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</si>
  <si>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</si>
  <si>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</si>
  <si>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</si>
  <si>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</si>
  <si>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</si>
  <si>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</si>
  <si>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</si>
  <si>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</si>
  <si>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</si>
  <si>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</si>
  <si>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</si>
  <si>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</si>
  <si>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</si>
  <si>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</si>
  <si>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</si>
  <si>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</si>
  <si>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</si>
  <si>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</si>
  <si>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</si>
  <si>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</si>
  <si>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</si>
  <si>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</si>
  <si>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</si>
  <si>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</si>
  <si>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</si>
  <si>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</si>
  <si>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</si>
  <si>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</si>
  <si>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</si>
  <si>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</si>
  <si>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</si>
  <si>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</si>
  <si>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</si>
  <si>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</si>
  <si>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</si>
  <si>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</si>
  <si>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</si>
  <si>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</si>
  <si>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</si>
  <si>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</si>
  <si>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</si>
  <si>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</si>
  <si>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</si>
  <si>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</si>
  <si>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</si>
  <si>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</si>
  <si>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</si>
  <si>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</si>
  <si>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</si>
  <si>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</si>
  <si>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</si>
  <si>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</si>
  <si>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</si>
  <si>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</si>
  <si>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</si>
  <si>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</si>
  <si>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</si>
  <si>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</si>
  <si>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</si>
  <si>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</si>
  <si>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</si>
  <si>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</si>
  <si>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</si>
  <si>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</si>
  <si>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</si>
  <si>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</si>
  <si>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</si>
  <si>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</si>
  <si>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</si>
  <si>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</si>
  <si>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</si>
  <si>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</si>
  <si>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</si>
  <si>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</si>
  <si>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</si>
  <si>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</si>
  <si>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</si>
  <si>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</si>
  <si>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</si>
  <si>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</si>
  <si>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</si>
  <si>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</si>
  <si>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</si>
  <si>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</si>
  <si>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</si>
  <si>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</si>
  <si>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</si>
  <si>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</si>
  <si>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</si>
  <si>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</si>
  <si>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</si>
  <si>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</si>
  <si>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</si>
  <si>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</si>
  <si>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</si>
  <si>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</si>
  <si>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</si>
  <si>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</si>
  <si>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</si>
  <si>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</si>
  <si>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</si>
  <si>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</si>
  <si>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</si>
  <si>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</si>
  <si>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</si>
  <si>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</si>
  <si>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</si>
  <si>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</si>
  <si>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</si>
  <si>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</si>
  <si>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</si>
  <si>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</si>
  <si>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</si>
  <si>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</si>
  <si>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</si>
  <si>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</si>
  <si>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</si>
  <si>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</si>
  <si>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</si>
  <si>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</si>
  <si>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</si>
  <si>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</si>
  <si>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</si>
  <si>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</si>
  <si>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</si>
  <si>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</si>
  <si>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</si>
  <si>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</si>
  <si>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</si>
  <si>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</si>
  <si>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</si>
  <si>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</si>
  <si>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</si>
  <si>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</si>
  <si>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</si>
  <si>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</si>
  <si>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</si>
  <si>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</si>
  <si>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</si>
  <si>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</si>
  <si>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</si>
  <si>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</si>
  <si>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</si>
  <si>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</si>
  <si>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</si>
  <si>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</si>
  <si>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</si>
  <si>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</si>
  <si>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</si>
  <si>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</si>
  <si>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</si>
  <si>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</si>
  <si>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</si>
  <si>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</si>
  <si>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</si>
  <si>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</si>
  <si>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</si>
  <si>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</si>
  <si>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</si>
  <si>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</si>
  <si>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</si>
  <si>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</si>
  <si>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</si>
  <si>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</si>
  <si>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</si>
  <si>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</si>
  <si>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</si>
  <si>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</si>
  <si>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</si>
  <si>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</si>
  <si>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</si>
  <si>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</si>
  <si>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</si>
  <si>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</si>
  <si>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</si>
  <si>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</si>
  <si>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</si>
  <si>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</si>
  <si>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</si>
  <si>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</si>
  <si>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</si>
  <si>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</si>
  <si>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</si>
  <si>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</si>
  <si>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</si>
  <si>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</si>
  <si>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</si>
  <si>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</si>
  <si>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</si>
  <si>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</si>
  <si>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</si>
  <si>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</si>
  <si>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</si>
  <si>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</si>
  <si>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</si>
  <si>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</si>
  <si>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</si>
  <si>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</si>
  <si>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</si>
  <si>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</si>
  <si>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</si>
  <si>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</si>
  <si>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</si>
  <si>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</si>
  <si>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</si>
  <si>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</si>
  <si>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</si>
  <si>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</si>
  <si>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</si>
  <si>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</si>
  <si>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</si>
  <si>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</si>
  <si>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</si>
  <si>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</si>
  <si>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</si>
  <si>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</si>
  <si>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</si>
  <si>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</si>
  <si>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</si>
  <si>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</si>
  <si>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</si>
  <si>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</si>
  <si>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</si>
  <si>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</si>
  <si>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</si>
  <si>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</si>
  <si>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</si>
  <si>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</si>
  <si>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</si>
  <si>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</si>
  <si>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</si>
  <si>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</si>
  <si>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</si>
  <si>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</si>
  <si>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</si>
  <si>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</si>
  <si>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</si>
  <si>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</si>
  <si>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</si>
  <si>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</si>
  <si>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</si>
  <si>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</si>
  <si>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</si>
  <si>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</si>
  <si>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</si>
  <si>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</si>
  <si>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</si>
  <si>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</si>
  <si>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</si>
  <si>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</si>
  <si>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</si>
  <si>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</si>
  <si>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</si>
  <si>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</si>
  <si>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</si>
  <si>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</si>
  <si>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</si>
  <si>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</si>
  <si>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</si>
  <si>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</si>
  <si>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</si>
  <si>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</si>
  <si>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</si>
  <si>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</si>
  <si>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</si>
  <si>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</si>
  <si>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</si>
  <si>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</si>
  <si>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</si>
  <si>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</si>
  <si>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</si>
  <si>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</si>
  <si>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</si>
  <si>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</si>
  <si>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</si>
  <si>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</si>
  <si>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</si>
  <si>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</si>
  <si>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</si>
  <si>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</si>
  <si>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</si>
  <si>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</si>
  <si>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</si>
  <si>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</si>
  <si>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</si>
  <si>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</si>
  <si>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</si>
  <si>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</si>
  <si>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</si>
  <si>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</si>
  <si>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</si>
  <si>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</si>
  <si>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</si>
  <si>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</si>
  <si>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</si>
  <si>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</si>
  <si>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</si>
  <si>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</si>
  <si>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</si>
  <si>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</si>
  <si>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</si>
  <si>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</si>
  <si>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</si>
  <si>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</si>
  <si>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</si>
  <si>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</si>
  <si>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</si>
  <si>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</si>
  <si>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</si>
  <si>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</si>
  <si>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</si>
  <si>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</si>
  <si>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</si>
  <si>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</si>
  <si>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</si>
  <si>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</si>
  <si>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</si>
  <si>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</si>
  <si>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</si>
  <si>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</si>
  <si>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</si>
  <si>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</si>
  <si>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</si>
  <si>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</si>
  <si>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</si>
  <si>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</si>
  <si>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</si>
  <si>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</si>
  <si>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</si>
  <si>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</si>
  <si>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</si>
  <si>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</si>
  <si>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</si>
  <si>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</si>
  <si>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</si>
  <si>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</si>
  <si>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</si>
  <si>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</si>
  <si>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</si>
  <si>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</si>
  <si>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</si>
  <si>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</si>
  <si>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</si>
  <si>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</si>
  <si>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</si>
  <si>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</si>
  <si>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</si>
  <si>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</si>
  <si>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</si>
  <si>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</si>
  <si>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</si>
  <si>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</si>
  <si>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</si>
  <si>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</si>
  <si>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</si>
  <si>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</si>
  <si>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</si>
  <si>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</si>
  <si>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</si>
  <si>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</si>
  <si>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</si>
  <si>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</si>
  <si>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</si>
  <si>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</si>
  <si>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</si>
  <si>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</si>
  <si>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</si>
  <si>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</si>
  <si>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</si>
  <si>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</si>
  <si>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</si>
  <si>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</si>
  <si>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</si>
  <si>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</si>
  <si>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</si>
  <si>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</si>
  <si>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</si>
  <si>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</si>
  <si>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</si>
  <si>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</si>
  <si>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</si>
  <si>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</si>
  <si>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</si>
  <si>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</si>
  <si>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</si>
  <si>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</si>
  <si>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</si>
  <si>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</si>
  <si>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</si>
  <si>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</si>
  <si>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</si>
  <si>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</si>
  <si>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</si>
  <si>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</si>
  <si>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</si>
  <si>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</si>
  <si>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</si>
  <si>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</si>
  <si>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</si>
  <si>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</si>
  <si>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</si>
  <si>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</si>
  <si>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</si>
  <si>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</si>
  <si>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</si>
  <si>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</si>
  <si>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</si>
  <si>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</si>
  <si>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</si>
  <si>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</si>
  <si>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</si>
  <si>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</si>
  <si>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</si>
  <si>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</si>
  <si>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</si>
  <si>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</si>
  <si>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</si>
  <si>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</si>
  <si>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</si>
  <si>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</si>
  <si>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</si>
  <si>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</si>
  <si>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</si>
  <si>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</si>
  <si>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</si>
  <si>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</si>
  <si>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</si>
  <si>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</si>
  <si>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</si>
  <si>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</si>
  <si>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</si>
  <si>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</si>
  <si>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</si>
  <si>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</si>
  <si>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</si>
  <si>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</si>
  <si>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</si>
  <si>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</si>
  <si>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</si>
  <si>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</si>
  <si>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</si>
  <si>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</si>
  <si>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</si>
  <si>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</si>
  <si>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</si>
  <si>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</si>
  <si>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</si>
  <si>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</si>
  <si>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</si>
  <si>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</si>
  <si>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</si>
  <si>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</si>
  <si>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</si>
  <si>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</si>
  <si>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</si>
  <si>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</si>
  <si>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</si>
  <si>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</si>
  <si>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</si>
  <si>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</si>
  <si>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</si>
  <si>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</si>
  <si>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</si>
  <si>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</si>
  <si>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</si>
  <si>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</si>
  <si>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</si>
  <si>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</si>
  <si>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</si>
  <si>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</si>
  <si>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</si>
  <si>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</si>
  <si>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</si>
  <si>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</si>
  <si>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</si>
  <si>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</si>
  <si>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</si>
  <si>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</si>
  <si>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</si>
  <si>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</si>
  <si>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</si>
  <si>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</si>
  <si>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</si>
  <si>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</si>
  <si>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</si>
  <si>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</si>
  <si>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</si>
  <si>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</si>
  <si>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</si>
  <si>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</si>
  <si>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</si>
  <si>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</si>
  <si>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</si>
  <si>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</si>
  <si>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</si>
  <si>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</si>
  <si>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</si>
  <si>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</si>
  <si>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</si>
  <si>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</si>
  <si>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</si>
  <si>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</si>
  <si>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</si>
  <si>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</si>
  <si>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</si>
  <si>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</si>
  <si>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</si>
  <si>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</si>
  <si>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</si>
  <si>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</si>
  <si>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</si>
  <si>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</si>
  <si>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</si>
  <si>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</si>
  <si>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</si>
  <si>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</si>
  <si>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</si>
  <si>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</si>
  <si>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</si>
  <si>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</si>
  <si>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</si>
  <si>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</si>
  <si>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</si>
  <si>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</si>
  <si>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</si>
  <si>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</si>
  <si>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</si>
  <si>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</si>
  <si>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</si>
  <si>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</si>
  <si>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</si>
  <si>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</si>
  <si>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</si>
  <si>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</si>
  <si>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</si>
  <si>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</si>
  <si>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</si>
  <si>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</si>
  <si>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</si>
  <si>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</si>
  <si>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</si>
  <si>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</si>
  <si>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</si>
  <si>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</si>
  <si>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</si>
  <si>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</si>
  <si>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</si>
  <si>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</si>
  <si>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</si>
  <si>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</si>
  <si>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</si>
  <si>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</si>
  <si>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</si>
  <si>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</si>
  <si>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</si>
  <si>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</si>
  <si>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</si>
  <si>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</si>
  <si>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</si>
  <si>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</si>
  <si>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</si>
  <si>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</si>
  <si>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</si>
  <si>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</si>
  <si>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</si>
  <si>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</si>
  <si>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</si>
  <si>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</si>
  <si>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</si>
  <si>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</si>
  <si>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</si>
  <si>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</si>
  <si>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</si>
  <si>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</si>
  <si>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</si>
  <si>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</si>
  <si>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</si>
  <si>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</si>
  <si>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</si>
  <si>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</si>
  <si>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</si>
  <si>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</si>
  <si>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</si>
  <si>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</si>
  <si>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</si>
  <si>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</si>
  <si>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</si>
  <si>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</si>
  <si>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</si>
  <si>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</si>
  <si>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</si>
  <si>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</si>
  <si>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</si>
  <si>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</si>
  <si>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</si>
  <si>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</si>
  <si>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</si>
  <si>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</si>
  <si>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</si>
  <si>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</si>
  <si>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</si>
  <si>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</si>
  <si>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</si>
  <si>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</si>
  <si>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</si>
  <si>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</si>
  <si>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</si>
  <si>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</si>
  <si>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</si>
  <si>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</si>
  <si>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</si>
  <si>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</si>
  <si>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</si>
  <si>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</si>
  <si>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</si>
  <si>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</si>
  <si>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</si>
  <si>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</si>
  <si>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</si>
  <si>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</si>
  <si>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</si>
  <si>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</si>
  <si>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</si>
  <si>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</si>
  <si>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</si>
  <si>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</si>
  <si>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</si>
  <si>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</si>
  <si>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</si>
  <si>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</si>
  <si>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</si>
  <si>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</si>
  <si>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</si>
  <si>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</si>
  <si>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</si>
  <si>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</si>
  <si>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</si>
  <si>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</si>
  <si>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</si>
  <si>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</si>
  <si>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</si>
  <si>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</si>
  <si>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</si>
  <si>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</si>
  <si>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</si>
  <si>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</si>
  <si>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</si>
  <si>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</si>
  <si>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</si>
  <si>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</si>
  <si>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</si>
  <si>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</si>
  <si>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</si>
  <si>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</si>
  <si>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</si>
  <si>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</si>
  <si>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</si>
  <si>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</si>
  <si>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</si>
  <si>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</si>
  <si>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</si>
  <si>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</si>
  <si>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</si>
  <si>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</si>
  <si>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</si>
  <si>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</si>
  <si>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</si>
  <si>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</si>
  <si>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</si>
  <si>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</si>
  <si>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</si>
  <si>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</si>
  <si>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</si>
  <si>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</si>
  <si>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</si>
  <si>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</si>
  <si>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</si>
  <si>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</si>
  <si>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</si>
  <si>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</si>
  <si>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</si>
  <si>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</si>
  <si>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</si>
  <si>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</si>
  <si>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</si>
  <si>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</si>
  <si>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</si>
  <si>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</si>
  <si>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</si>
  <si>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</si>
  <si>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</si>
  <si>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</si>
  <si>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</si>
  <si>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</si>
  <si>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</si>
  <si>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</si>
  <si>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</si>
  <si>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</si>
  <si>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</si>
  <si>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</si>
  <si>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</si>
  <si>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</si>
  <si>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</si>
  <si>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</si>
  <si>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</si>
  <si>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</si>
  <si>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</si>
  <si>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</si>
  <si>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</si>
  <si>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</si>
  <si>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</si>
  <si>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</si>
  <si>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</si>
  <si>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</si>
  <si>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</si>
  <si>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</si>
  <si>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</si>
  <si>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</si>
  <si>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</si>
  <si>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</si>
  <si>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</si>
  <si>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</si>
  <si>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</si>
  <si>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</si>
  <si>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</si>
  <si>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</si>
  <si>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</si>
  <si>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</si>
  <si>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</si>
  <si>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</si>
  <si>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</si>
  <si>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</si>
  <si>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</si>
  <si>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</si>
  <si>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</si>
  <si>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</si>
  <si>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</si>
  <si>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</si>
  <si>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</si>
  <si>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</si>
  <si>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</si>
  <si>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</si>
  <si>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</si>
  <si>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</si>
  <si>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</si>
  <si>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</si>
  <si>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</si>
  <si>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</si>
  <si>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</si>
  <si>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</si>
  <si>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</si>
  <si>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</si>
  <si>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</si>
  <si>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</si>
  <si>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</si>
  <si>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</si>
  <si>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</si>
  <si>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</si>
  <si>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</si>
  <si>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</si>
  <si>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</si>
  <si>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</si>
  <si>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</si>
  <si>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</si>
  <si>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</si>
  <si>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</si>
  <si>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</si>
  <si>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</si>
  <si>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</si>
  <si>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</si>
  <si>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</si>
  <si>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</si>
  <si>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</si>
  <si>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</si>
  <si>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</si>
  <si>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</si>
  <si>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</si>
  <si>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</si>
  <si>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</si>
  <si>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</si>
  <si>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</si>
  <si>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</si>
  <si>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</si>
  <si>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</si>
  <si>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</si>
  <si>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</si>
  <si>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</si>
  <si>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</si>
  <si>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</si>
  <si>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</si>
  <si>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</si>
  <si>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</si>
  <si>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</si>
  <si>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</si>
  <si>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</si>
  <si>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</si>
  <si>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</si>
  <si>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</si>
  <si>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</si>
  <si>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</si>
  <si>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</si>
  <si>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</si>
  <si>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</si>
  <si>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</si>
  <si>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</si>
  <si>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</si>
  <si>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</si>
  <si>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</si>
  <si>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</si>
  <si>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</si>
  <si>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</si>
  <si>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</si>
  <si>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</si>
  <si>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</si>
  <si>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</si>
  <si>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</si>
  <si>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</si>
  <si>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</si>
  <si>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</si>
  <si>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</si>
  <si>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</si>
  <si>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</si>
  <si>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</si>
  <si>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</si>
  <si>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</si>
  <si>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</si>
  <si>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</si>
  <si>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</si>
  <si>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</si>
  <si>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</si>
  <si>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</si>
  <si>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</si>
  <si>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</si>
  <si>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</si>
  <si>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</si>
  <si>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</si>
  <si>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</si>
  <si>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</si>
  <si>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</si>
  <si>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</si>
  <si>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</si>
  <si>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</si>
  <si>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</si>
  <si>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</si>
  <si>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</si>
  <si>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</si>
  <si>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</si>
  <si>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</si>
  <si>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</si>
  <si>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</si>
  <si>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</si>
  <si>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</si>
  <si>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</si>
  <si>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</si>
  <si>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</si>
  <si>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</si>
  <si>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</si>
  <si>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</si>
  <si>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</si>
  <si>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</si>
  <si>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</si>
  <si>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</si>
  <si>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</si>
  <si>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</si>
  <si>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</si>
  <si>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</si>
  <si>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</si>
  <si>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</si>
  <si>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</si>
  <si>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</si>
  <si>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</si>
  <si>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</si>
  <si>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</si>
  <si>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</si>
  <si>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</si>
  <si>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</si>
  <si>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</si>
  <si>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</si>
  <si>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</si>
  <si>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</si>
  <si>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</si>
  <si>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</si>
  <si>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</si>
  <si>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</si>
  <si>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</si>
  <si>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</si>
  <si>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</si>
  <si>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</si>
  <si>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</si>
  <si>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</si>
  <si>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</si>
  <si>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</si>
  <si>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</si>
  <si>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</si>
  <si>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</si>
  <si>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</si>
  <si>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</si>
  <si>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</si>
  <si>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</si>
  <si>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</si>
  <si>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</si>
  <si>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</si>
  <si>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</si>
  <si>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</si>
  <si>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</si>
  <si>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</si>
  <si>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</si>
  <si>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</si>
  <si>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</si>
  <si>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</si>
  <si>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</si>
  <si>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</si>
  <si>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</si>
  <si>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</si>
  <si>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</si>
  <si>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</si>
  <si>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</si>
  <si>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</si>
  <si>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</si>
  <si>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</si>
  <si>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</si>
  <si>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</si>
  <si>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</si>
  <si>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</si>
  <si>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</si>
  <si>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</si>
  <si>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</si>
  <si>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</si>
  <si>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</si>
  <si>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</si>
  <si>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</si>
  <si>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</si>
  <si>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</si>
  <si>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</si>
  <si>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</si>
  <si>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</si>
  <si>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</si>
  <si>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</si>
  <si>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</si>
  <si>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</si>
  <si>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</si>
  <si>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</si>
  <si>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</si>
  <si>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</si>
  <si>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</si>
  <si>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</si>
  <si>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</si>
  <si>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</si>
  <si>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</si>
  <si>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</si>
  <si>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</si>
  <si>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</si>
  <si>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</si>
  <si>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</si>
  <si>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</si>
  <si>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</si>
  <si>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</si>
  <si>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</si>
  <si>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</si>
  <si>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</si>
  <si>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</si>
  <si>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</si>
  <si>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</si>
  <si>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</si>
  <si>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</si>
  <si>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</si>
  <si>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</si>
  <si>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</si>
  <si>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</si>
  <si>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</si>
  <si>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</si>
  <si>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</si>
  <si>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</si>
  <si>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</si>
  <si>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</si>
  <si>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</si>
  <si>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</si>
  <si>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</si>
  <si>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</si>
  <si>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</si>
  <si>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</si>
  <si>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</si>
  <si>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</si>
  <si>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</si>
  <si>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</si>
  <si>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</si>
  <si>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</si>
  <si>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</si>
  <si>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</si>
  <si>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</si>
  <si>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</si>
  <si>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</si>
  <si>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</si>
  <si>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</si>
  <si>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</si>
  <si>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</si>
  <si>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</si>
  <si>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</si>
  <si>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</si>
  <si>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</si>
  <si>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</si>
  <si>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</si>
  <si>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</si>
  <si>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</si>
  <si>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</si>
  <si>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</si>
  <si>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</si>
  <si>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</si>
  <si>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</si>
  <si>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</si>
  <si>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</si>
  <si>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</si>
  <si>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</si>
  <si>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</si>
  <si>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</si>
  <si>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</si>
  <si>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</si>
  <si>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</si>
  <si>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</si>
  <si>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</si>
  <si>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</si>
  <si>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</si>
  <si>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</si>
  <si>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</si>
  <si>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</si>
  <si>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</si>
  <si>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</si>
  <si>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</si>
  <si>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</si>
  <si>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</si>
  <si>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</si>
  <si>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</si>
  <si>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</si>
  <si>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</si>
  <si>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</si>
  <si>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</si>
  <si>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</si>
  <si>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</si>
  <si>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</si>
  <si>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</si>
  <si>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</si>
  <si>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</si>
  <si>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</si>
  <si>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</si>
  <si>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</si>
  <si>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</si>
  <si>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</si>
  <si>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</si>
  <si>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</si>
  <si>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</si>
  <si>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</si>
  <si>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</si>
  <si>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</si>
  <si>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</si>
  <si>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</si>
  <si>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</si>
  <si>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</si>
  <si>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</si>
  <si>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</si>
  <si>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</si>
  <si>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</si>
  <si>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</si>
  <si>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</si>
  <si>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</si>
  <si>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</si>
  <si>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</si>
  <si>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</si>
  <si>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</si>
  <si>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</si>
  <si>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</si>
  <si>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</si>
  <si>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</si>
  <si>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</si>
  <si>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</si>
  <si>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</si>
  <si>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</si>
  <si>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</si>
  <si>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</si>
  <si>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</si>
  <si>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</si>
  <si>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</si>
  <si>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</si>
  <si>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</si>
  <si>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</si>
  <si>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</si>
  <si>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</si>
  <si>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</si>
  <si>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</si>
  <si>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</si>
  <si>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</si>
  <si>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</si>
  <si>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</si>
  <si>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</si>
  <si>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</si>
  <si>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</si>
  <si>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</si>
  <si>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</si>
  <si>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</si>
  <si>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</si>
  <si>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</si>
  <si>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</si>
  <si>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</si>
  <si>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</si>
  <si>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</si>
  <si>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</si>
  <si>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</si>
  <si>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</si>
  <si>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</si>
  <si>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</si>
  <si>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</si>
  <si>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</si>
  <si>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</si>
  <si>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</si>
  <si>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</si>
  <si>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</si>
  <si>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</si>
  <si>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</si>
  <si>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</si>
  <si>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</si>
  <si>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</si>
  <si>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</si>
  <si>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</si>
  <si>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</si>
  <si>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</si>
  <si>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</si>
  <si>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</si>
  <si>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</si>
  <si>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</si>
  <si>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</si>
  <si>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</si>
  <si>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</si>
  <si>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</si>
  <si>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</si>
  <si>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</si>
  <si>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</si>
  <si>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</si>
  <si>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</si>
  <si>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</si>
  <si>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</si>
  <si>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</si>
  <si>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</si>
  <si>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</si>
  <si>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</si>
  <si>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</si>
  <si>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</si>
  <si>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</si>
  <si>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</si>
  <si>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</si>
  <si>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</si>
  <si>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</si>
  <si>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</si>
  <si>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</si>
  <si>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</si>
  <si>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</si>
  <si>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</si>
  <si>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</si>
  <si>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</si>
  <si>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</si>
  <si>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</si>
  <si>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</si>
  <si>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</si>
  <si>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</si>
  <si>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</si>
  <si>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</si>
  <si>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</si>
  <si>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</si>
  <si>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</si>
  <si>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</si>
  <si>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</si>
  <si>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</si>
  <si>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</si>
  <si>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</si>
  <si>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</si>
  <si>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</si>
  <si>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</si>
  <si>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</si>
  <si>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</si>
  <si>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</si>
  <si>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</si>
  <si>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</si>
  <si>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</si>
  <si>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</si>
  <si>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</si>
  <si>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</si>
  <si>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</si>
  <si>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</si>
  <si>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</si>
  <si>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</si>
  <si>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</si>
  <si>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</si>
  <si>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</si>
  <si>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</si>
  <si>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</si>
  <si>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</si>
  <si>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</si>
  <si>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</si>
  <si>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</si>
  <si>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</si>
  <si>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</si>
  <si>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</si>
  <si>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</si>
  <si>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</si>
  <si>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</si>
  <si>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</si>
  <si>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</si>
  <si>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</si>
  <si>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</si>
  <si>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</si>
  <si>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</si>
  <si>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</si>
  <si>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</si>
  <si>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</si>
  <si>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</si>
  <si>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</si>
  <si>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</si>
  <si>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</si>
  <si>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</si>
  <si>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</si>
  <si>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</si>
  <si>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</si>
  <si>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</si>
  <si>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</si>
  <si>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</si>
  <si>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</si>
  <si>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</si>
  <si>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</si>
  <si>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</si>
  <si>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</si>
  <si>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</si>
  <si>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</si>
  <si>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</si>
  <si>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</si>
  <si>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</si>
  <si>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</si>
  <si>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</si>
  <si>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</si>
  <si>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</si>
  <si>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</si>
  <si>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</si>
  <si>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</si>
  <si>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</si>
  <si>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</si>
  <si>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</si>
  <si>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</si>
  <si>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</si>
  <si>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</si>
  <si>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</si>
  <si>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</si>
  <si>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</si>
  <si>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</si>
  <si>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</si>
  <si>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</si>
  <si>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</si>
  <si>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</si>
  <si>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</si>
  <si>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</si>
  <si>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</si>
  <si>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</si>
  <si>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</si>
  <si>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</si>
  <si>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</si>
  <si>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</si>
  <si>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</si>
  <si>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</si>
  <si>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</si>
  <si>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</si>
  <si>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</si>
  <si>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</si>
  <si>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</si>
  <si>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</si>
  <si>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</si>
  <si>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</si>
  <si>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</si>
  <si>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</si>
  <si>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</si>
  <si>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</si>
  <si>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</si>
  <si>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</si>
  <si>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</si>
  <si>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</si>
  <si>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</si>
  <si>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</si>
  <si>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</si>
  <si>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</si>
  <si>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</si>
  <si>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</si>
  <si>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</si>
  <si>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</si>
  <si>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</si>
  <si>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</si>
  <si>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</si>
  <si>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</si>
  <si>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</si>
  <si>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</si>
  <si>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</si>
  <si>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</si>
  <si>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</si>
  <si>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</si>
  <si>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</si>
  <si>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</si>
  <si>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</si>
  <si>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</si>
  <si>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</si>
  <si>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</si>
  <si>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</si>
  <si>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</si>
  <si>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</si>
  <si>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</si>
  <si>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</si>
  <si>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</si>
  <si>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</si>
  <si>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</si>
  <si>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</si>
  <si>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</si>
  <si>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</si>
  <si>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</si>
  <si>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</si>
  <si>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</si>
  <si>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</si>
  <si>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</si>
  <si>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</si>
  <si>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</si>
  <si>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</si>
  <si>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</si>
  <si>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</si>
  <si>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</si>
  <si>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</si>
  <si>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</si>
  <si>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</si>
  <si>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</si>
  <si>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</si>
  <si>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</si>
  <si>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</si>
  <si>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</si>
  <si>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</si>
  <si>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</si>
  <si>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</si>
  <si>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</si>
  <si>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</si>
  <si>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</si>
  <si>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</si>
  <si>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</si>
  <si>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</si>
  <si>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</si>
  <si>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</si>
  <si>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</si>
  <si>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</si>
  <si>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</si>
  <si>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</si>
  <si>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</si>
  <si>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</si>
  <si>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</si>
  <si>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</si>
  <si>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</si>
  <si>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</si>
  <si>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</si>
  <si>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</si>
  <si>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</si>
  <si>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</si>
  <si>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</si>
  <si>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</si>
  <si>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</si>
  <si>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</si>
  <si>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</si>
  <si>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</si>
  <si>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</si>
  <si>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</si>
  <si>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</si>
  <si>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</si>
  <si>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</si>
  <si>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</si>
  <si>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</si>
  <si>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</si>
  <si>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</si>
  <si>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</si>
  <si>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</si>
  <si>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</si>
  <si>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</si>
  <si>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</si>
  <si>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</si>
  <si>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</si>
  <si>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</si>
  <si>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</si>
  <si>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</si>
  <si>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</si>
  <si>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</si>
  <si>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</si>
  <si>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</si>
  <si>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</si>
  <si>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</si>
  <si>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</si>
  <si>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</si>
  <si>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</si>
  <si>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</si>
  <si>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</si>
  <si>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</si>
  <si>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</si>
  <si>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</si>
  <si>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</si>
  <si>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</si>
  <si>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</si>
  <si>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</si>
  <si>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</si>
  <si>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</si>
  <si>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</si>
  <si>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</si>
  <si>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</si>
  <si>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</si>
  <si>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</si>
  <si>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</si>
  <si>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</si>
  <si>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</si>
  <si>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</si>
  <si>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</si>
  <si>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</si>
  <si>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</si>
  <si>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</si>
  <si>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</si>
  <si>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</si>
  <si>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</si>
  <si>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</si>
  <si>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</si>
  <si>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</si>
  <si>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</si>
  <si>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</si>
  <si>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</si>
  <si>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</si>
  <si>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</si>
  <si>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</si>
  <si>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</si>
  <si>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</si>
  <si>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</si>
  <si>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</si>
  <si>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</si>
  <si>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</si>
  <si>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</si>
  <si>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</si>
  <si>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</si>
  <si>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</si>
  <si>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</si>
  <si>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</si>
  <si>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</si>
  <si>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</si>
  <si>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</si>
  <si>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</si>
  <si>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</si>
  <si>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</si>
  <si>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</si>
  <si>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</si>
  <si>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</si>
  <si>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</si>
  <si>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</si>
  <si>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</si>
  <si>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</si>
  <si>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</si>
  <si>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</si>
  <si>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</si>
  <si>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</si>
  <si>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</si>
  <si>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</si>
  <si>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</si>
  <si>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</si>
  <si>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</si>
  <si>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</si>
  <si>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</si>
  <si>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</si>
  <si>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</si>
  <si>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</si>
  <si>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</si>
  <si>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</si>
  <si>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</si>
  <si>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</si>
  <si>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</si>
  <si>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</si>
  <si>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</si>
  <si>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</si>
  <si>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</si>
  <si>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</si>
  <si>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</si>
  <si>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</si>
  <si>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</si>
  <si>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</si>
  <si>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</si>
  <si>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</si>
  <si>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</si>
  <si>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</si>
  <si>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</si>
  <si>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</si>
  <si>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</si>
  <si>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</si>
  <si>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</si>
  <si>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</si>
  <si>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</si>
  <si>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</si>
  <si>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</si>
  <si>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</si>
  <si>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</si>
  <si>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</si>
  <si>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</si>
  <si>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</si>
  <si>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</si>
  <si>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</si>
  <si>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</si>
  <si>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</si>
  <si>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</si>
  <si>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</si>
  <si>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</si>
  <si>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</si>
  <si>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</si>
  <si>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</si>
  <si>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</si>
  <si>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</si>
  <si>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</si>
  <si>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</si>
  <si>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</si>
  <si>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</si>
  <si>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</si>
  <si>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</si>
  <si>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</si>
  <si>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</si>
  <si>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</si>
  <si>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</si>
  <si>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</si>
  <si>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</si>
  <si>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</si>
  <si>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</si>
  <si>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</si>
  <si>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</si>
  <si>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</si>
  <si>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</si>
  <si>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</si>
  <si>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</si>
  <si>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</si>
  <si>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</si>
  <si>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</si>
  <si>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</si>
  <si>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</si>
  <si>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</si>
  <si>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</si>
  <si>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</si>
  <si>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</si>
  <si>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</si>
  <si>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</si>
  <si>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</si>
  <si>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</si>
  <si>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</si>
  <si>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</si>
  <si>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</si>
  <si>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</si>
  <si>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</si>
  <si>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</si>
  <si>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</si>
  <si>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</si>
  <si>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</si>
  <si>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</si>
  <si>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</si>
  <si>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</si>
  <si>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</si>
  <si>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</si>
  <si>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</si>
  <si>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</si>
  <si>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</si>
  <si>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</si>
  <si>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</si>
  <si>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</si>
  <si>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</si>
  <si>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</si>
  <si>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</si>
  <si>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</si>
  <si>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</si>
  <si>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</si>
  <si>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</si>
  <si>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</si>
  <si>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</si>
  <si>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</si>
  <si>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</si>
  <si>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</si>
  <si>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</si>
  <si>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</si>
  <si>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</si>
  <si>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</si>
  <si>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</si>
  <si>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</si>
  <si>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</si>
  <si>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</si>
  <si>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</si>
  <si>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</si>
  <si>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</si>
  <si>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</si>
  <si>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</si>
  <si>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</si>
  <si>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</si>
  <si>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</si>
  <si>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</si>
  <si>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</si>
  <si>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</si>
  <si>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</si>
  <si>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</si>
  <si>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</si>
  <si>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</si>
  <si>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</si>
  <si>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</si>
  <si>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</si>
  <si>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</si>
  <si>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</si>
  <si>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</si>
  <si>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</si>
  <si>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</si>
  <si>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</si>
  <si>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</si>
  <si>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</si>
  <si>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</si>
  <si>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</si>
  <si>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</si>
  <si>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</si>
  <si>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</si>
  <si>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</si>
  <si>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</si>
  <si>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</si>
  <si>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</si>
  <si>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</si>
  <si>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</si>
  <si>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</si>
  <si>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</si>
  <si>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</si>
  <si>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</si>
  <si>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</si>
  <si>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</si>
  <si>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</si>
  <si>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</si>
  <si>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</si>
  <si>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</si>
  <si>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</si>
  <si>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</si>
  <si>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</si>
  <si>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</si>
  <si>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</si>
  <si>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</si>
  <si>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</si>
  <si>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</si>
  <si>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</si>
  <si>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</si>
  <si>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</si>
  <si>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</si>
  <si>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</si>
  <si>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</si>
  <si>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</si>
  <si>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</si>
  <si>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</si>
  <si>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</si>
  <si>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</si>
  <si>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</si>
  <si>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</si>
  <si>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</si>
  <si>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</si>
  <si>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</si>
  <si>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</si>
  <si>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</si>
  <si>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</si>
  <si>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</si>
  <si>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</si>
  <si>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</si>
  <si>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</si>
  <si>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</si>
  <si>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</si>
  <si>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</si>
  <si>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</si>
  <si>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</si>
  <si>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</si>
  <si>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</si>
  <si>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</si>
  <si>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</si>
  <si>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</si>
  <si>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</si>
  <si>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</si>
  <si>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</si>
  <si>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</si>
  <si>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</si>
  <si>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</si>
  <si>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</si>
  <si>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</si>
  <si>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</si>
  <si>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</si>
  <si>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</si>
  <si>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</si>
  <si>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</si>
  <si>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</si>
  <si>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</si>
  <si>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</si>
  <si>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</si>
  <si>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</si>
  <si>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</si>
  <si>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</si>
  <si>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</si>
  <si>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</si>
  <si>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</si>
  <si>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</si>
  <si>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</si>
  <si>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</si>
  <si>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</si>
  <si>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</si>
  <si>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</si>
  <si>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</si>
  <si>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</si>
  <si>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</si>
  <si>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</si>
  <si>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</si>
  <si>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</si>
  <si>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</si>
  <si>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</si>
  <si>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</si>
  <si>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</si>
  <si>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</si>
  <si>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</si>
  <si>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</si>
  <si>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</si>
  <si>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</si>
  <si>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</si>
  <si>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</si>
  <si>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</si>
  <si>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</si>
  <si>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</si>
  <si>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</si>
  <si>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</si>
  <si>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</si>
  <si>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</si>
  <si>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</si>
  <si>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</si>
  <si>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</si>
  <si>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</si>
  <si>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</si>
  <si>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</si>
  <si>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</si>
  <si>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</si>
  <si>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</si>
  <si>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</si>
  <si>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</si>
  <si>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</si>
  <si>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</si>
  <si>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</si>
  <si>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</si>
  <si>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</si>
  <si>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</si>
  <si>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</si>
  <si>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</si>
  <si>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</si>
  <si>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</si>
  <si>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</si>
  <si>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</si>
  <si>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</si>
  <si>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</si>
  <si>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</si>
  <si>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</si>
  <si>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</si>
  <si>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</si>
  <si>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</si>
  <si>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</si>
  <si>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</si>
  <si>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</si>
  <si>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</si>
  <si>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</si>
  <si>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</si>
  <si>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</si>
  <si>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</si>
  <si>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</si>
  <si>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</si>
  <si>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</si>
  <si>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</si>
  <si>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</si>
  <si>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</si>
  <si>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</si>
  <si>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</si>
  <si>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</si>
  <si>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</si>
  <si>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</si>
  <si>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</si>
  <si>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</si>
  <si>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</si>
  <si>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</si>
  <si>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</si>
  <si>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</si>
  <si>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</si>
  <si>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</si>
  <si>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</si>
  <si>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</si>
  <si>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</si>
  <si>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</si>
  <si>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</si>
  <si>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</si>
  <si>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</si>
  <si>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</si>
  <si>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</si>
  <si>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</si>
  <si>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</si>
  <si>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</si>
  <si>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</si>
  <si>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</si>
  <si>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</si>
  <si>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</si>
  <si>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</si>
  <si>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</si>
  <si>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</si>
  <si>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</si>
  <si>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</si>
  <si>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</si>
  <si>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</si>
  <si>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</si>
  <si>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</si>
  <si>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</si>
  <si>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</si>
  <si>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</si>
  <si>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</si>
  <si>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</si>
  <si>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</si>
  <si>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</si>
  <si>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</si>
  <si>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</si>
  <si>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</si>
  <si>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</si>
  <si>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</si>
  <si>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</si>
  <si>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</si>
  <si>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</si>
  <si>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</si>
  <si>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</si>
  <si>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</si>
  <si>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</si>
  <si>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</si>
  <si>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</si>
  <si>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</si>
  <si>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</si>
  <si>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</si>
  <si>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</si>
  <si>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</si>
  <si>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</si>
  <si>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</si>
  <si>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</si>
  <si>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</si>
  <si>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</si>
  <si>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</si>
  <si>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</si>
  <si>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</si>
  <si>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</si>
  <si>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</si>
  <si>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</si>
  <si>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</si>
  <si>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</si>
  <si>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</si>
  <si>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</si>
  <si>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</si>
  <si>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</si>
  <si>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</si>
  <si>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</si>
  <si>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</si>
  <si>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</si>
  <si>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</si>
  <si>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</si>
  <si>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</si>
  <si>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</si>
  <si>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</si>
  <si>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</si>
  <si>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</si>
  <si>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</si>
  <si>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</si>
  <si>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</si>
  <si>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</si>
  <si>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</si>
  <si>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</si>
  <si>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</si>
  <si>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</si>
  <si>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</si>
  <si>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</si>
  <si>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</si>
  <si>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</si>
  <si>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</si>
  <si>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</si>
  <si>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</si>
  <si>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</si>
  <si>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</si>
  <si>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</si>
  <si>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</si>
  <si>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</si>
  <si>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</si>
  <si>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</si>
  <si>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</si>
  <si>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</si>
  <si>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</si>
  <si>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</si>
  <si>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</si>
  <si>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</si>
  <si>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</si>
  <si>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</si>
  <si>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</si>
  <si>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</si>
  <si>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</si>
  <si>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</si>
  <si>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</si>
  <si>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</si>
  <si>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</si>
  <si>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</si>
  <si>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</si>
  <si>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</si>
  <si>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</si>
  <si>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</si>
  <si>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</si>
  <si>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</si>
  <si>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</si>
  <si>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</si>
  <si>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</si>
  <si>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</si>
  <si>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</si>
  <si>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</si>
  <si>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</si>
  <si>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</si>
  <si>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</si>
  <si>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</si>
  <si>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</si>
  <si>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</si>
  <si>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</si>
  <si>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</si>
  <si>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</si>
  <si>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</si>
  <si>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</si>
  <si>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</si>
  <si>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</si>
  <si>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</si>
  <si>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</si>
  <si>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</si>
  <si>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</si>
  <si>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</si>
  <si>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</si>
  <si>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</si>
  <si>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</si>
  <si>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</si>
  <si>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</si>
  <si>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</si>
  <si>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</si>
  <si>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</si>
  <si>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</si>
  <si>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</si>
  <si>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</si>
  <si>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</si>
  <si>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</si>
  <si>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</si>
  <si>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</si>
  <si>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</si>
  <si>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</si>
  <si>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</si>
  <si>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</si>
  <si>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</si>
  <si>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</si>
  <si>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</si>
  <si>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</si>
  <si>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</si>
  <si>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</si>
  <si>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</si>
  <si>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</si>
  <si>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</si>
  <si>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</si>
  <si>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</si>
  <si>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</si>
  <si>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</si>
  <si>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</si>
  <si>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</si>
  <si>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</si>
  <si>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</si>
  <si>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</si>
  <si>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</si>
  <si>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</si>
  <si>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</si>
  <si>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</si>
  <si>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</si>
  <si>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</si>
  <si>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</si>
  <si>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</si>
  <si>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</si>
  <si>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</si>
  <si>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</si>
  <si>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</si>
  <si>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</si>
  <si>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</si>
  <si>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</si>
  <si>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</si>
  <si>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</si>
  <si>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</si>
  <si>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</si>
  <si>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</si>
  <si>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</si>
  <si>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</si>
  <si>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</si>
  <si>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</si>
  <si>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</si>
  <si>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</si>
  <si>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</si>
  <si>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</si>
  <si>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</si>
  <si>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</si>
  <si>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</si>
  <si>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</si>
  <si>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</si>
  <si>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</si>
  <si>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</si>
  <si>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</si>
  <si>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</si>
  <si>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</si>
  <si>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</si>
  <si>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</si>
  <si>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</si>
  <si>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</si>
  <si>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</si>
  <si>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</si>
  <si>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</si>
  <si>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</si>
  <si>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</si>
  <si>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</si>
  <si>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</si>
  <si>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</si>
  <si>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</si>
  <si>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</si>
  <si>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</si>
  <si>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</si>
  <si>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</si>
  <si>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</si>
  <si>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</si>
  <si>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</si>
  <si>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</si>
  <si>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</si>
  <si>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</si>
  <si>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</si>
  <si>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</si>
  <si>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</si>
  <si>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</si>
  <si>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</si>
  <si>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</si>
  <si>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</si>
  <si>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</si>
  <si>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</si>
  <si>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</si>
  <si>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</si>
  <si>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</si>
  <si>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</si>
  <si>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</si>
  <si>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</si>
  <si>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</si>
  <si>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</si>
  <si>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</si>
  <si>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</si>
  <si>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</si>
  <si>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</si>
  <si>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</si>
  <si>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</si>
  <si>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</si>
  <si>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</si>
  <si>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</si>
  <si>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</si>
  <si>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</si>
  <si>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</si>
  <si>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</si>
  <si>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</si>
  <si>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</si>
  <si>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</si>
  <si>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</si>
  <si>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</si>
  <si>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</si>
  <si>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</si>
  <si>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</si>
  <si>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</si>
  <si>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</si>
  <si>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</si>
  <si>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</si>
  <si>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</si>
  <si>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</si>
  <si>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</si>
  <si>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</si>
  <si>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</si>
  <si>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</si>
  <si>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</si>
  <si>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</si>
  <si>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</si>
  <si>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</si>
  <si>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</si>
  <si>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</si>
  <si>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</si>
  <si>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</si>
  <si>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</si>
  <si>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</si>
  <si>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</si>
  <si>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</si>
  <si>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</si>
  <si>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</si>
  <si>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</si>
  <si>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</si>
  <si>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</si>
  <si>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</si>
  <si>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</si>
  <si>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</si>
  <si>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</si>
  <si>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</si>
  <si>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</si>
  <si>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</si>
  <si>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</si>
  <si>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</si>
  <si>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</si>
  <si>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</si>
  <si>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</si>
  <si>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</si>
  <si>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</si>
  <si>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</si>
  <si>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</si>
  <si>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</si>
  <si>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</si>
  <si>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</si>
  <si>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</si>
  <si>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</si>
  <si>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</si>
  <si>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</si>
  <si>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</si>
  <si>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</si>
  <si>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</si>
  <si>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</si>
  <si>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</si>
  <si>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</si>
  <si>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</si>
  <si>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</si>
  <si>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</si>
  <si>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</si>
  <si>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</si>
  <si>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</si>
  <si>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</si>
  <si>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</si>
  <si>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</si>
  <si>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</si>
  <si>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</si>
  <si>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</si>
  <si>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</si>
  <si>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</si>
  <si>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</si>
  <si>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</si>
  <si>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</si>
  <si>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</si>
  <si>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</si>
  <si>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</si>
  <si>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</si>
  <si>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</si>
  <si>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</si>
  <si>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</si>
  <si>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</si>
  <si>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</si>
  <si>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</si>
  <si>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</si>
  <si>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</si>
  <si>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</si>
  <si>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</si>
  <si>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</si>
  <si>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</si>
  <si>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</si>
  <si>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</si>
  <si>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</si>
  <si>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</si>
  <si>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</si>
  <si>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</si>
  <si>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</si>
  <si>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</si>
  <si>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</si>
  <si>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</si>
  <si>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</si>
  <si>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</si>
  <si>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</si>
  <si>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</si>
  <si>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</si>
  <si>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</si>
  <si>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</si>
  <si>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</si>
  <si>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</si>
  <si>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</si>
  <si>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</si>
  <si>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</si>
  <si>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</si>
  <si>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</si>
  <si>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</si>
  <si>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</si>
  <si>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</si>
  <si>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</si>
  <si>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</si>
  <si>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</si>
  <si>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</si>
  <si>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</si>
  <si>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</si>
  <si>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</si>
  <si>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</si>
  <si>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</si>
  <si>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</si>
  <si>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</si>
  <si>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</si>
  <si>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</si>
  <si>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</si>
  <si>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</si>
  <si>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</si>
  <si>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</si>
  <si>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</si>
  <si>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</si>
  <si>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</si>
  <si>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</si>
  <si>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</si>
  <si>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</si>
  <si>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</si>
  <si>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</si>
  <si>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</si>
  <si>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</si>
  <si>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</si>
  <si>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</si>
  <si>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</si>
  <si>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</si>
  <si>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</si>
  <si>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</si>
  <si>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</si>
  <si>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</si>
  <si>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</si>
  <si>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</si>
  <si>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</si>
  <si>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</si>
  <si>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</si>
  <si>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</si>
  <si>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</si>
  <si>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</si>
  <si>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</si>
  <si>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</si>
  <si>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</si>
  <si>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</si>
  <si>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</si>
  <si>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</si>
  <si>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</si>
  <si>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</si>
  <si>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</si>
  <si>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</si>
  <si>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</si>
  <si>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</si>
  <si>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</si>
  <si>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</si>
  <si>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</si>
  <si>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</si>
  <si>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</si>
  <si>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</si>
  <si>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</si>
  <si>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</si>
  <si>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</si>
  <si>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</si>
  <si>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</si>
  <si>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</si>
  <si>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</si>
  <si>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</si>
  <si>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</si>
  <si>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</si>
  <si>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</si>
  <si>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</si>
  <si>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</si>
  <si>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</si>
  <si>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</si>
  <si>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</si>
  <si>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</si>
  <si>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</si>
  <si>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</si>
  <si>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</si>
  <si>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</si>
  <si>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</si>
  <si>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</si>
  <si>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</si>
  <si>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</si>
  <si>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</si>
  <si>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</si>
  <si>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</si>
  <si>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</si>
  <si>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</si>
  <si>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</si>
  <si>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</si>
  <si>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</si>
  <si>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</si>
  <si>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</si>
  <si>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</si>
  <si>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</si>
  <si>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</si>
  <si>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</si>
  <si>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</si>
  <si>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</si>
  <si>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</si>
  <si>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</si>
  <si>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</si>
  <si>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</si>
  <si>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</si>
  <si>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</si>
  <si>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</si>
  <si>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</si>
  <si>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</si>
  <si>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</si>
  <si>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</si>
  <si>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</si>
  <si>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</si>
  <si>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</si>
  <si>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</si>
  <si>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</si>
  <si>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</si>
  <si>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</si>
  <si>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</si>
  <si>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</si>
  <si>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</si>
  <si>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</si>
  <si>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</si>
  <si>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</si>
  <si>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</si>
  <si>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</si>
  <si>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</si>
  <si>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</si>
  <si>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</si>
  <si>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</si>
  <si>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</si>
  <si>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</si>
  <si>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</si>
  <si>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</si>
  <si>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</si>
  <si>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</si>
  <si>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</si>
  <si>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</si>
  <si>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</si>
  <si>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</si>
  <si>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</si>
  <si>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</si>
  <si>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</si>
  <si>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</si>
  <si>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</si>
  <si>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</si>
  <si>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</si>
  <si>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</si>
  <si>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</si>
  <si>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</si>
  <si>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</si>
  <si>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</si>
  <si>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</si>
  <si>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</si>
  <si>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</si>
  <si>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</si>
  <si>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</si>
  <si>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</si>
  <si>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</si>
  <si>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</si>
  <si>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</si>
  <si>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</si>
  <si>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</si>
  <si>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</si>
  <si>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</si>
  <si>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</si>
  <si>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</si>
  <si>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</si>
  <si>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</si>
  <si>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</si>
  <si>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</si>
  <si>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</si>
  <si>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</si>
  <si>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</si>
  <si>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</si>
  <si>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</si>
  <si>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</si>
  <si>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</si>
  <si>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</si>
  <si>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</si>
  <si>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</si>
  <si>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</si>
  <si>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</si>
  <si>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</si>
  <si>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</si>
  <si>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</si>
  <si>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</si>
  <si>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</si>
  <si>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</si>
  <si>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</si>
  <si>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</si>
  <si>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</si>
  <si>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</si>
  <si>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</si>
  <si>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</si>
  <si>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</si>
  <si>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</si>
  <si>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</si>
  <si>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</si>
  <si>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</si>
  <si>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</si>
  <si>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</si>
  <si>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</si>
  <si>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</si>
  <si>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</si>
  <si>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</si>
  <si>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</si>
  <si>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</si>
  <si>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</si>
  <si>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</si>
  <si>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</si>
  <si>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</si>
  <si>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</si>
  <si>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</si>
  <si>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</si>
  <si>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</si>
  <si>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</si>
  <si>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</si>
  <si>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</si>
  <si>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</si>
  <si>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</si>
  <si>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</si>
  <si>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</si>
  <si>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</si>
  <si>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</si>
  <si>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</si>
  <si>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</si>
  <si>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</si>
  <si>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</si>
  <si>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</si>
  <si>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</si>
  <si>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</si>
  <si>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</si>
  <si>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</si>
  <si>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</si>
  <si>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</si>
  <si>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</si>
  <si>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</si>
  <si>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</si>
  <si>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</si>
  <si>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</si>
  <si>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</si>
  <si>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</si>
  <si>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</si>
  <si>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</si>
  <si>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</si>
  <si>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</si>
  <si>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</si>
  <si>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</si>
  <si>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</si>
  <si>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</si>
  <si>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</si>
  <si>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</si>
  <si>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</si>
  <si>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</si>
  <si>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</si>
  <si>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</si>
  <si>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</si>
  <si>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</si>
  <si>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</si>
  <si>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</si>
  <si>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</si>
  <si>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</si>
  <si>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</si>
  <si>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</si>
  <si>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</si>
  <si>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</si>
  <si>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</si>
  <si>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</si>
  <si>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</si>
  <si>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</si>
  <si>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</si>
  <si>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</si>
  <si>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</si>
  <si>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</si>
  <si>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</si>
  <si>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</si>
  <si>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</si>
  <si>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</si>
  <si>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</si>
  <si>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</si>
  <si>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</si>
  <si>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</si>
  <si>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</si>
  <si>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</si>
  <si>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</si>
  <si>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</si>
  <si>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</si>
  <si>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</si>
  <si>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</si>
  <si>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</si>
  <si>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</si>
  <si>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</si>
  <si>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</si>
  <si>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</si>
  <si>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</si>
  <si>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</si>
  <si>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</si>
  <si>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</si>
  <si>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</si>
  <si>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</si>
  <si>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</si>
  <si>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</si>
  <si>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</si>
  <si>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</si>
  <si>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</si>
  <si>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</si>
  <si>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</si>
  <si>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</si>
  <si>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</si>
  <si>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</si>
  <si>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</si>
  <si>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</si>
  <si>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</si>
  <si>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</si>
  <si>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</si>
  <si>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</si>
  <si>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</si>
  <si>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</si>
  <si>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</si>
  <si>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</si>
  <si>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</si>
  <si>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</si>
  <si>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</si>
  <si>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</si>
  <si>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</si>
  <si>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</si>
  <si>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</si>
  <si>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</si>
  <si>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</si>
  <si>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</si>
  <si>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</si>
  <si>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</si>
  <si>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</si>
  <si>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</si>
  <si>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</si>
  <si>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</si>
  <si>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</si>
  <si>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</si>
  <si>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</si>
  <si>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</si>
  <si>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</si>
  <si>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</si>
  <si>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</si>
  <si>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</si>
  <si>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</si>
  <si>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</si>
  <si>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</si>
  <si>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</si>
  <si>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</si>
  <si>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</si>
  <si>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</si>
  <si>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</si>
  <si>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</si>
  <si>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</si>
  <si>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</si>
  <si>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</si>
  <si>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</si>
  <si>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</si>
  <si>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</si>
  <si>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</si>
  <si>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</si>
  <si>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</si>
  <si>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</si>
  <si>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</si>
  <si>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</si>
  <si>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</si>
  <si>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</si>
  <si>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</si>
  <si>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</si>
  <si>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</si>
  <si>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</si>
  <si>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</si>
  <si>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</si>
  <si>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</si>
  <si>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</si>
  <si>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</si>
  <si>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</si>
  <si>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</si>
  <si>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</si>
  <si>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</si>
  <si>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</si>
  <si>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</si>
  <si>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</si>
  <si>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</si>
  <si>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</si>
  <si>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</si>
  <si>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</si>
  <si>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</si>
  <si>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</si>
  <si>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</si>
  <si>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</si>
  <si>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</si>
  <si>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</si>
  <si>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</si>
  <si>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</si>
  <si>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</si>
  <si>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</si>
  <si>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</si>
  <si>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</si>
  <si>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</si>
  <si>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</si>
  <si>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</si>
  <si>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</si>
  <si>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</si>
  <si>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</si>
  <si>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</si>
  <si>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</si>
  <si>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</si>
  <si>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</si>
  <si>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</si>
  <si>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</si>
  <si>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</si>
  <si>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</si>
  <si>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</si>
  <si>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</si>
  <si>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</si>
  <si>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</si>
  <si>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</si>
  <si>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</si>
  <si>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</si>
  <si>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</si>
  <si>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</si>
  <si>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</si>
  <si>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</si>
  <si>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</si>
  <si>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</si>
  <si>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</si>
  <si>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</si>
  <si>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</si>
  <si>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</si>
  <si>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</si>
  <si>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</si>
  <si>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</si>
  <si>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</si>
  <si>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</si>
  <si>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</si>
  <si>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</si>
  <si>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</si>
  <si>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</si>
  <si>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</si>
  <si>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</si>
  <si>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</si>
  <si>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</si>
  <si>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</si>
  <si>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</si>
  <si>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</si>
  <si>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</si>
  <si>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</si>
  <si>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</si>
  <si>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</si>
  <si>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</si>
  <si>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</si>
  <si>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</si>
  <si>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</si>
  <si>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</si>
  <si>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</si>
  <si>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</si>
  <si>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</si>
  <si>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</si>
  <si>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</si>
  <si>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</si>
  <si>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</si>
  <si>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</si>
  <si>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</si>
  <si>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</si>
  <si>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</si>
  <si>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</si>
  <si>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</si>
  <si>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</si>
  <si>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</si>
  <si>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</si>
  <si>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</si>
  <si>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</si>
  <si>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</si>
  <si>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</si>
  <si>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</si>
  <si>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</si>
  <si>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</si>
  <si>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</si>
  <si>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</si>
  <si>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</si>
  <si>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</si>
  <si>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</si>
  <si>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</si>
  <si>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</si>
  <si>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</si>
  <si>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</si>
  <si>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</si>
  <si>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</si>
  <si>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</si>
  <si>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</si>
  <si>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</si>
  <si>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</si>
  <si>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</si>
  <si>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</si>
  <si>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</si>
  <si>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</si>
  <si>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</si>
  <si>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</si>
  <si>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</si>
  <si>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</si>
  <si>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</si>
  <si>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</si>
  <si>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</si>
  <si>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</si>
  <si>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</si>
  <si>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</si>
  <si>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</si>
  <si>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</si>
  <si>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</si>
  <si>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</si>
  <si>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</si>
  <si>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</si>
  <si>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</si>
  <si>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</si>
  <si>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</si>
  <si>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</si>
  <si>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</si>
  <si>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</si>
  <si>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</si>
  <si>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</si>
  <si>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</si>
  <si>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</si>
  <si>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</si>
  <si>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</si>
  <si>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</si>
  <si>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</si>
  <si>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</si>
  <si>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</si>
  <si>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</si>
  <si>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</si>
  <si>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</si>
  <si>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</si>
  <si>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</si>
  <si>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</si>
  <si>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</si>
  <si>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</si>
  <si>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</si>
  <si>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</si>
  <si>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</si>
  <si>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</si>
  <si>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</si>
  <si>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</si>
  <si>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</si>
  <si>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</si>
  <si>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</si>
  <si>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</si>
  <si>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</si>
  <si>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</si>
  <si>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</si>
  <si>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</si>
  <si>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</si>
  <si>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</si>
  <si>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</si>
  <si>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</si>
  <si>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</si>
  <si>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</si>
  <si>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</si>
  <si>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</si>
  <si>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</si>
  <si>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</si>
  <si>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</si>
  <si>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</si>
  <si>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</si>
  <si>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</si>
  <si>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</si>
  <si>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</si>
  <si>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</si>
  <si>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</si>
  <si>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</si>
  <si>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</si>
  <si>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</si>
  <si>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</si>
  <si>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</si>
  <si>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</si>
  <si>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</si>
  <si>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</si>
  <si>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</si>
  <si>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</si>
  <si>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</si>
  <si>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</si>
  <si>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</si>
  <si>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</si>
  <si>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</si>
  <si>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</si>
  <si>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</si>
  <si>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</si>
  <si>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</si>
  <si>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</si>
  <si>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</si>
  <si>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</si>
  <si>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</si>
  <si>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</si>
  <si>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</si>
  <si>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</si>
  <si>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</si>
  <si>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</si>
  <si>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</si>
  <si>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</si>
  <si>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</si>
  <si>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</si>
  <si>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</si>
  <si>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</si>
  <si>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</si>
  <si>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</si>
  <si>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</si>
  <si>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</si>
  <si>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</si>
  <si>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</si>
  <si>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</si>
  <si>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</si>
  <si>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</si>
  <si>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</si>
  <si>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</si>
  <si>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</si>
  <si>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</si>
  <si>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</si>
  <si>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</si>
  <si>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</si>
  <si>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</si>
  <si>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</si>
  <si>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</si>
  <si>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</si>
  <si>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</si>
  <si>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</si>
  <si>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</si>
  <si>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</si>
  <si>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</si>
  <si>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</si>
  <si>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</si>
  <si>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</si>
  <si>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</si>
  <si>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</si>
  <si>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</si>
  <si>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</si>
  <si>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</si>
  <si>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</si>
  <si>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</si>
  <si>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</si>
  <si>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</si>
  <si>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</si>
  <si>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</si>
  <si>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</si>
  <si>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</si>
  <si>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</si>
  <si>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</si>
  <si>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</si>
  <si>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</si>
  <si>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</si>
  <si>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</si>
  <si>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</si>
  <si>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</si>
  <si>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</si>
  <si>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</si>
  <si>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</si>
  <si>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</si>
  <si>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</si>
  <si>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</si>
  <si>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</si>
  <si>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</si>
  <si>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</si>
  <si>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</si>
  <si>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</si>
  <si>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</si>
  <si>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</si>
  <si>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</si>
  <si>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</si>
  <si>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</si>
  <si>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</si>
  <si>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</si>
  <si>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</si>
  <si>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</si>
  <si>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</si>
  <si>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</si>
  <si>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</si>
  <si>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</si>
  <si>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</si>
  <si>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</si>
  <si>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</si>
  <si>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</si>
  <si>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</si>
  <si>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</si>
  <si>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</si>
  <si>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</si>
  <si>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</si>
  <si>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</si>
  <si>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</si>
  <si>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</si>
  <si>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</si>
  <si>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</si>
  <si>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</si>
  <si>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</si>
  <si>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</si>
  <si>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</si>
  <si>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</si>
  <si>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</si>
  <si>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</si>
  <si>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</si>
  <si>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</si>
  <si>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</si>
  <si>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</si>
  <si>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</si>
  <si>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</si>
  <si>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</si>
  <si>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</si>
  <si>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</si>
  <si>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</si>
  <si>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</si>
  <si>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</si>
  <si>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</si>
  <si>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</si>
  <si>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</si>
  <si>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</si>
  <si>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</si>
  <si>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</si>
  <si>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</si>
  <si>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</si>
  <si>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</si>
  <si>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</si>
  <si>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</si>
  <si>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</si>
  <si>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</si>
  <si>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</si>
  <si>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</si>
  <si>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</si>
  <si>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</si>
  <si>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</si>
  <si>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</si>
  <si>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</si>
  <si>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</si>
  <si>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</si>
  <si>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</si>
  <si>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</si>
  <si>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</si>
  <si>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</si>
  <si>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</si>
  <si>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</si>
  <si>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</si>
  <si>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</si>
  <si>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</si>
  <si>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</si>
  <si>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</si>
  <si>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</si>
  <si>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</si>
  <si>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</si>
  <si>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</si>
  <si>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</si>
  <si>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</si>
  <si>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</si>
  <si>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</si>
  <si>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</si>
  <si>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</si>
  <si>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</si>
  <si>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</si>
  <si>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</si>
  <si>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</si>
  <si>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</si>
  <si>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</si>
  <si>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</si>
  <si>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</si>
  <si>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</si>
  <si>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</si>
  <si>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</si>
  <si>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</si>
  <si>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</si>
  <si>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</si>
  <si>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</si>
  <si>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</si>
  <si>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</si>
  <si>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</si>
  <si>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</si>
  <si>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</si>
  <si>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</si>
  <si>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</si>
  <si>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</si>
  <si>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</si>
  <si>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</si>
  <si>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</si>
  <si>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</si>
  <si>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</si>
  <si>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</si>
  <si>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</si>
  <si>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</si>
  <si>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</si>
  <si>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</si>
  <si>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</si>
  <si>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</si>
  <si>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</si>
  <si>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</si>
  <si>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</si>
  <si>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</si>
  <si>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</si>
  <si>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</si>
  <si>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</si>
  <si>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</si>
  <si>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</si>
  <si>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</si>
  <si>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</si>
  <si>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</si>
  <si>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</si>
  <si>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</si>
  <si>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</si>
  <si>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</si>
  <si>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</si>
  <si>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</si>
  <si>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</si>
  <si>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</si>
  <si>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</si>
  <si>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</si>
  <si>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</si>
  <si>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</si>
  <si>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</si>
  <si>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</si>
  <si>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</si>
  <si>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</si>
  <si>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</si>
  <si>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</si>
  <si>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</si>
  <si>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</si>
  <si>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</si>
  <si>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</si>
  <si>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</si>
  <si>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</si>
  <si>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</si>
  <si>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</si>
  <si>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</si>
  <si>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</si>
  <si>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</si>
  <si>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</si>
  <si>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</si>
  <si>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</si>
  <si>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</si>
  <si>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</si>
  <si>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</si>
  <si>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</si>
  <si>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</si>
  <si>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</si>
  <si>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</si>
  <si>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</si>
  <si>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</si>
  <si>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</si>
  <si>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</si>
  <si>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</si>
  <si>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</si>
  <si>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</si>
  <si>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</si>
  <si>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</si>
  <si>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</si>
  <si>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</si>
  <si>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</si>
  <si>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</si>
  <si>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</si>
  <si>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</si>
  <si>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</si>
  <si>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</si>
  <si>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</si>
  <si>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</si>
  <si>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</si>
  <si>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</si>
  <si>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</si>
  <si>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</si>
  <si>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</si>
  <si>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</si>
  <si>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</si>
  <si>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</si>
  <si>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</si>
  <si>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</si>
  <si>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</si>
  <si>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</si>
  <si>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</si>
  <si>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</si>
  <si>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</si>
  <si>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</si>
  <si>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</si>
  <si>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</si>
  <si>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</si>
  <si>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</si>
  <si>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</si>
  <si>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</si>
  <si>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</si>
  <si>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</si>
  <si>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</si>
  <si>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</si>
  <si>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</si>
  <si>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</si>
  <si>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</si>
  <si>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</si>
  <si>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</si>
  <si>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</si>
  <si>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</si>
  <si>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</si>
  <si>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</si>
  <si>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</si>
  <si>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</si>
  <si>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</si>
  <si>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</si>
  <si>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</si>
  <si>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</si>
  <si>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</si>
  <si>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</si>
  <si>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</si>
  <si>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</si>
  <si>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</si>
  <si>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</si>
  <si>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</si>
  <si>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</si>
  <si>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</si>
  <si>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</si>
  <si>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</si>
  <si>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</si>
  <si>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</si>
  <si>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</si>
  <si>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</si>
  <si>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</si>
  <si>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</si>
  <si>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</si>
  <si>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</si>
  <si>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</si>
  <si>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</si>
  <si>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</si>
  <si>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</si>
  <si>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</si>
  <si>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</si>
  <si>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</si>
  <si>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</si>
  <si>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</si>
  <si>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</si>
  <si>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</si>
  <si>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</si>
  <si>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</si>
  <si>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</si>
  <si>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</si>
  <si>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</si>
  <si>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</si>
  <si>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</si>
  <si>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</si>
  <si>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</si>
  <si>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</si>
  <si>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</si>
  <si>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</si>
  <si>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</si>
  <si>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</si>
  <si>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</si>
  <si>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</si>
  <si>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</si>
  <si>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</si>
  <si>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</si>
  <si>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</si>
  <si>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</si>
  <si>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</si>
  <si>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</si>
  <si>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</si>
  <si>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</si>
  <si>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</si>
  <si>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</si>
  <si>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</si>
  <si>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</si>
  <si>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</si>
  <si>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</si>
  <si>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</si>
  <si>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</si>
  <si>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</si>
  <si>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</si>
  <si>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</si>
  <si>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</si>
  <si>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</si>
  <si>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</si>
  <si>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</si>
  <si>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</si>
  <si>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</si>
  <si>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</si>
  <si>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</si>
  <si>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</si>
  <si>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</si>
  <si>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</si>
  <si>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</si>
  <si>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</si>
  <si>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</si>
  <si>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</si>
  <si>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</si>
  <si>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</si>
  <si>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</si>
  <si>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</si>
  <si>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</si>
  <si>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</si>
  <si>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</si>
  <si>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</si>
  <si>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</si>
  <si>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</si>
  <si>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</si>
  <si>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</si>
  <si>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</si>
  <si>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</si>
  <si>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</si>
  <si>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</si>
  <si>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</si>
  <si>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</si>
  <si>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</si>
  <si>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</si>
  <si>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</si>
  <si>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</si>
  <si>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</si>
  <si>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</si>
  <si>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</si>
  <si>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</si>
  <si>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</si>
  <si>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</si>
  <si>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</si>
  <si>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</si>
  <si>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</si>
  <si>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</si>
  <si>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</si>
  <si>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</si>
  <si>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</si>
  <si>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</si>
  <si>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</si>
  <si>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</si>
  <si>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</si>
  <si>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</si>
  <si>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</si>
  <si>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</si>
  <si>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</si>
  <si>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</si>
  <si>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</si>
  <si>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</si>
  <si>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</si>
  <si>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</si>
  <si>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</si>
  <si>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</si>
  <si>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</si>
  <si>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</si>
  <si>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</si>
  <si>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</si>
  <si>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</si>
  <si>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</si>
  <si>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</si>
  <si>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</si>
  <si>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</si>
  <si>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</si>
  <si>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</si>
  <si>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</si>
  <si>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</si>
  <si>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</si>
  <si>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</si>
  <si>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</si>
  <si>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</si>
  <si>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</si>
  <si>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</si>
  <si>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</si>
  <si>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</si>
  <si>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</si>
  <si>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</si>
  <si>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</si>
  <si>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</si>
  <si>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</si>
  <si>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</si>
  <si>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</si>
  <si>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</si>
  <si>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</si>
  <si>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</si>
  <si>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</si>
  <si>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</si>
  <si>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</si>
  <si>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</si>
  <si>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</si>
  <si>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</si>
  <si>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</si>
  <si>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</si>
  <si>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</si>
  <si>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</si>
  <si>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</si>
  <si>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</si>
  <si>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</si>
  <si>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</si>
  <si>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</si>
  <si>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</si>
  <si>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</si>
  <si>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</si>
  <si>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</si>
  <si>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</si>
  <si>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</si>
  <si>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</si>
  <si>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</si>
  <si>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</si>
  <si>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</si>
  <si>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</si>
  <si>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</si>
  <si>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</si>
  <si>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</si>
  <si>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</si>
  <si>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</si>
  <si>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</si>
  <si>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</si>
  <si>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</si>
  <si>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</si>
  <si>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</si>
  <si>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</si>
  <si>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</si>
  <si>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</si>
  <si>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</si>
  <si>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</si>
  <si>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</si>
  <si>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</si>
  <si>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</si>
  <si>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</si>
  <si>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</si>
  <si>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</si>
  <si>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</si>
  <si>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</si>
  <si>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</si>
  <si>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</si>
  <si>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</si>
  <si>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</si>
  <si>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</si>
  <si>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</si>
  <si>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</si>
  <si>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</si>
  <si>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</si>
  <si>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</si>
  <si>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</si>
  <si>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</si>
  <si>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</si>
  <si>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</si>
  <si>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</si>
  <si>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</si>
  <si>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</si>
  <si>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</si>
  <si>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</si>
  <si>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</si>
  <si>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</si>
  <si>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</si>
  <si>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</si>
  <si>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</si>
  <si>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</si>
  <si>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</si>
  <si>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</si>
  <si>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</si>
  <si>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</si>
  <si>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</si>
  <si>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</si>
  <si>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</si>
  <si>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</si>
  <si>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</si>
  <si>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</si>
  <si>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</si>
  <si>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</si>
  <si>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</si>
  <si>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</si>
  <si>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</si>
  <si>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</si>
  <si>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</si>
  <si>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</si>
  <si>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</si>
  <si>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</si>
  <si>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</si>
  <si>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</si>
  <si>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</si>
  <si>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</si>
  <si>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</si>
  <si>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</si>
  <si>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</si>
  <si>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</si>
  <si>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</si>
  <si>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</si>
  <si>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</si>
  <si>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</si>
  <si>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</si>
  <si>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</si>
  <si>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</si>
  <si>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</si>
  <si>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</si>
  <si>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</si>
  <si>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</si>
  <si>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</si>
  <si>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</si>
  <si>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</si>
  <si>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</si>
  <si>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</si>
  <si>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</si>
  <si>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</si>
  <si>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</si>
  <si>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</si>
  <si>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</si>
  <si>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</si>
  <si>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</si>
  <si>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</si>
  <si>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</si>
  <si>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</si>
  <si>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</si>
  <si>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</si>
  <si>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</si>
  <si>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</si>
  <si>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</si>
  <si>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</si>
  <si>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</si>
  <si>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</si>
  <si>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</si>
  <si>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</si>
  <si>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</si>
  <si>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</si>
  <si>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</si>
  <si>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</si>
  <si>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</si>
  <si>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</si>
  <si>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</si>
  <si>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</si>
  <si>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</si>
  <si>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</si>
  <si>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</si>
  <si>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</si>
  <si>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</si>
  <si>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</si>
  <si>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</si>
  <si>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</si>
  <si>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</si>
  <si>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</si>
  <si>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</si>
  <si>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</si>
  <si>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</si>
  <si>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</si>
  <si>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</si>
  <si>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</si>
  <si>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</si>
  <si>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</si>
  <si>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</si>
  <si>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</si>
  <si>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</si>
  <si>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</si>
  <si>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</si>
  <si>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</si>
  <si>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</si>
  <si>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</si>
  <si>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</si>
  <si>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</si>
  <si>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</si>
  <si>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</si>
  <si>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</si>
  <si>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</si>
  <si>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</si>
  <si>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</si>
  <si>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</si>
  <si>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</si>
  <si>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</si>
  <si>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</si>
  <si>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</si>
  <si>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</si>
  <si>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</si>
  <si>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</si>
  <si>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</si>
  <si>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</si>
  <si>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</si>
  <si>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</si>
  <si>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</si>
  <si>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</si>
  <si>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</si>
  <si>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</si>
  <si>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</si>
  <si>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</si>
  <si>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</si>
  <si>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</si>
  <si>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</si>
  <si>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</si>
  <si>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</si>
  <si>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</si>
  <si>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</si>
  <si>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</si>
  <si>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</si>
  <si>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</si>
  <si>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</si>
  <si>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</si>
  <si>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</si>
  <si>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</si>
  <si>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</si>
  <si>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</si>
  <si>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</si>
  <si>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</si>
  <si>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</si>
  <si>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</si>
  <si>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</si>
  <si>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</si>
  <si>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</si>
  <si>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</si>
  <si>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</si>
  <si>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</si>
  <si>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</si>
  <si>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</si>
  <si>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</si>
  <si>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</si>
  <si>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</si>
  <si>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</si>
  <si>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</si>
  <si>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</si>
  <si>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</si>
  <si>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</si>
  <si>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</si>
  <si>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</si>
  <si>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</si>
  <si>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</si>
  <si>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</si>
  <si>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</si>
  <si>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</si>
  <si>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</si>
  <si>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</si>
  <si>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</si>
  <si>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</si>
  <si>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</si>
  <si>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</si>
  <si>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</si>
  <si>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</si>
  <si>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</si>
  <si>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</si>
  <si>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</si>
  <si>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</si>
  <si>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</si>
  <si>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</si>
  <si>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</si>
  <si>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</si>
  <si>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</si>
  <si>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</si>
  <si>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</si>
  <si>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</si>
  <si>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</si>
  <si>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</si>
  <si>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</si>
  <si>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</si>
  <si>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</si>
  <si>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</si>
  <si>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</si>
  <si>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</si>
  <si>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</si>
  <si>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</si>
  <si>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</si>
  <si>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</si>
  <si>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</si>
  <si>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</si>
  <si>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</si>
  <si>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</si>
  <si>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</si>
  <si>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</si>
  <si>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</si>
  <si>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</si>
  <si>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</si>
  <si>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</si>
  <si>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</si>
  <si>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</si>
  <si>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</si>
  <si>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</si>
  <si>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</si>
  <si>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</si>
  <si>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</si>
  <si>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</si>
  <si>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</si>
  <si>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</si>
  <si>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</si>
  <si>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</si>
  <si>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</si>
  <si>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</si>
  <si>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</si>
  <si>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</si>
  <si>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</si>
  <si>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</si>
  <si>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</si>
  <si>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</si>
  <si>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</si>
  <si>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</si>
  <si>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</si>
  <si>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</si>
  <si>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</si>
  <si>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</si>
  <si>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</si>
  <si>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</si>
  <si>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</si>
  <si>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</si>
  <si>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</si>
  <si>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</si>
  <si>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</si>
  <si>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</si>
  <si>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</si>
  <si>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</si>
  <si>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</si>
  <si>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</si>
  <si>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</si>
  <si>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</si>
  <si>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</si>
  <si>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</si>
  <si>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</si>
  <si>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</si>
  <si>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</si>
  <si>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</si>
  <si>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</si>
  <si>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</si>
  <si>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</si>
  <si>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</si>
  <si>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</si>
  <si>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</si>
  <si>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</si>
  <si>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</si>
  <si>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</si>
  <si>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</si>
  <si>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</si>
  <si>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</si>
  <si>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</si>
  <si>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</si>
  <si>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</si>
  <si>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</si>
  <si>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</si>
  <si>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</si>
  <si>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</si>
  <si>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</si>
  <si>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</si>
  <si>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</si>
  <si>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</si>
  <si>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</si>
  <si>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</si>
  <si>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</si>
  <si>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</si>
  <si>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</si>
  <si>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</si>
  <si>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</si>
  <si>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</si>
  <si>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</si>
  <si>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</si>
  <si>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</si>
  <si>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</si>
  <si>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</si>
  <si>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</si>
  <si>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</si>
  <si>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</si>
  <si>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</si>
  <si>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</si>
  <si>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</si>
  <si>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</si>
  <si>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</si>
  <si>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</si>
  <si>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</si>
  <si>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</si>
  <si>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</si>
  <si>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</si>
  <si>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</si>
  <si>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</si>
  <si>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</si>
  <si>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</si>
  <si>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</si>
  <si>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</si>
  <si>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</si>
  <si>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</si>
  <si>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</si>
  <si>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</si>
  <si>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</si>
  <si>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</si>
  <si>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</si>
  <si>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</si>
  <si>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</si>
  <si>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</si>
  <si>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</si>
  <si>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</si>
  <si>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</si>
  <si>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</si>
  <si>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</si>
  <si>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</si>
  <si>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</si>
  <si>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</si>
  <si>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</si>
  <si>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</si>
  <si>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</si>
  <si>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</si>
  <si>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</si>
  <si>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</si>
  <si>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</si>
  <si>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</si>
  <si>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</si>
  <si>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</si>
  <si>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</si>
  <si>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</si>
  <si>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</si>
  <si>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</si>
  <si>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</si>
  <si>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</si>
  <si>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</si>
  <si>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</si>
  <si>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</si>
  <si>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</si>
  <si>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</si>
  <si>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</si>
  <si>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</si>
  <si>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</si>
  <si>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</si>
  <si>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</si>
  <si>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</si>
  <si>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</si>
  <si>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</si>
  <si>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</si>
  <si>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</si>
  <si>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</si>
  <si>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</si>
  <si>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</si>
  <si>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</si>
  <si>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</si>
  <si>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</si>
  <si>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</si>
  <si>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</si>
  <si>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</si>
  <si>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</si>
  <si>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</si>
  <si>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</si>
  <si>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</si>
  <si>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</si>
  <si>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</si>
  <si>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</si>
  <si>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</si>
  <si>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</si>
  <si>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</si>
  <si>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</si>
  <si>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</si>
  <si>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</si>
  <si>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</si>
  <si>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</si>
  <si>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</si>
  <si>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</si>
  <si>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</si>
  <si>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</si>
  <si>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</si>
  <si>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</si>
  <si>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</si>
  <si>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</si>
  <si>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</si>
  <si>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</si>
  <si>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</si>
  <si>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</si>
  <si>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</si>
  <si>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</si>
  <si>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</si>
  <si>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</si>
  <si>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</si>
  <si>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</si>
  <si>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</si>
  <si>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</si>
  <si>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</si>
  <si>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</si>
  <si>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</si>
  <si>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</si>
  <si>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</si>
  <si>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</si>
  <si>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</si>
  <si>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</si>
  <si>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</si>
  <si>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</si>
  <si>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</si>
  <si>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</si>
  <si>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</si>
  <si>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</si>
  <si>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</si>
  <si>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</si>
  <si>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</si>
  <si>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</si>
  <si>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</si>
  <si>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</si>
  <si>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</si>
  <si>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</si>
  <si>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</si>
  <si>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</si>
  <si>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</si>
  <si>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</si>
  <si>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</si>
  <si>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</si>
  <si>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</si>
  <si>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</si>
  <si>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</si>
  <si>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</si>
  <si>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</si>
  <si>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</si>
  <si>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</si>
  <si>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</si>
  <si>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</si>
  <si>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</si>
  <si>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</si>
  <si>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</si>
  <si>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</si>
  <si>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</si>
  <si>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</si>
  <si>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</si>
  <si>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</si>
  <si>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</si>
  <si>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</si>
  <si>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</si>
  <si>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</si>
  <si>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</si>
  <si>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</si>
  <si>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</si>
  <si>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</si>
  <si>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</si>
  <si>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</si>
  <si>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</si>
  <si>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</si>
  <si>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</si>
  <si>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</si>
  <si>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</si>
  <si>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</si>
  <si>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</si>
  <si>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</si>
  <si>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</si>
  <si>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</si>
  <si>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</si>
  <si>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</si>
  <si>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</si>
  <si>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</si>
  <si>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</si>
  <si>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</si>
  <si>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</si>
  <si>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</si>
  <si>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</si>
  <si>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</si>
  <si>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</si>
  <si>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</si>
  <si>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</si>
  <si>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</si>
  <si>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</si>
  <si>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</si>
  <si>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</si>
  <si>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</si>
  <si>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</si>
  <si>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</si>
  <si>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</si>
  <si>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</si>
  <si>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</si>
  <si>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</si>
  <si>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</si>
  <si>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</si>
  <si>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</si>
  <si>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</si>
  <si>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</si>
  <si>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</si>
  <si>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</si>
  <si>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</si>
  <si>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</si>
  <si>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</si>
  <si>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</si>
  <si>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</si>
  <si>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</si>
  <si>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</si>
  <si>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</si>
  <si>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</si>
  <si>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</si>
  <si>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</si>
  <si>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</si>
  <si>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</si>
  <si>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</si>
  <si>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</si>
  <si>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</si>
  <si>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</si>
  <si>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</si>
  <si>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</si>
  <si>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</si>
  <si>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</si>
  <si>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</si>
  <si>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</si>
  <si>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</si>
  <si>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</si>
  <si>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</si>
  <si>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</si>
  <si>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</si>
  <si>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</si>
  <si>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</si>
  <si>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</si>
  <si>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</si>
  <si>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</si>
  <si>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</si>
  <si>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</si>
  <si>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</si>
  <si>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</si>
  <si>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</si>
  <si>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</si>
  <si>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</si>
  <si>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</si>
  <si>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</si>
  <si>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</si>
  <si>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</si>
  <si>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</si>
  <si>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</si>
  <si>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</si>
  <si>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</si>
  <si>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</si>
  <si>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</si>
  <si>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</si>
  <si>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</si>
  <si>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</si>
  <si>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</si>
  <si>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</si>
  <si>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</si>
  <si>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</si>
  <si>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</si>
  <si>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</si>
  <si>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</si>
  <si>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</si>
  <si>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</si>
  <si>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</si>
  <si>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</si>
  <si>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</si>
  <si>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</si>
  <si>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</si>
  <si>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</si>
  <si>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</si>
  <si>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</si>
  <si>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</si>
  <si>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</si>
  <si>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</si>
  <si>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</si>
  <si>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</si>
  <si>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</si>
  <si>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</si>
  <si>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</si>
  <si>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</si>
  <si>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</si>
  <si>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</si>
  <si>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</si>
  <si>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</si>
  <si>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</si>
  <si>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</si>
  <si>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</si>
  <si>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</si>
  <si>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</si>
  <si>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</si>
  <si>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</si>
  <si>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</si>
  <si>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</si>
  <si>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</si>
  <si>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</si>
  <si>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</si>
  <si>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</si>
  <si>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</si>
  <si>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</si>
  <si>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</si>
  <si>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</si>
  <si>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</si>
  <si>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</si>
  <si>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</si>
  <si>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</si>
  <si>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</si>
  <si>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</si>
  <si>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</si>
  <si>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</si>
  <si>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</si>
  <si>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</si>
  <si>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</si>
  <si>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</si>
  <si>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</si>
  <si>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</si>
  <si>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</si>
  <si>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</si>
  <si>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</si>
  <si>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</si>
  <si>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</si>
  <si>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</si>
  <si>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</si>
  <si>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</si>
  <si>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</si>
  <si>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</si>
  <si>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</si>
  <si>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</si>
  <si>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</si>
  <si>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</si>
  <si>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</si>
  <si>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</si>
  <si>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</si>
  <si>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</si>
  <si>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</si>
  <si>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</si>
  <si>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</si>
  <si>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</si>
  <si>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</si>
  <si>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</si>
  <si>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</si>
  <si>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</si>
  <si>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</si>
  <si>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</si>
  <si>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</si>
  <si>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</si>
  <si>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</si>
  <si>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</si>
  <si>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</si>
  <si>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</si>
  <si>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</si>
  <si>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</si>
  <si>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</si>
  <si>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</si>
  <si>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</si>
  <si>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</si>
  <si>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</si>
  <si>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</si>
  <si>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</si>
  <si>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</si>
  <si>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</si>
  <si>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</si>
  <si>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</si>
  <si>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</si>
  <si>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</si>
  <si>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</si>
  <si>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</si>
  <si>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</si>
  <si>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</si>
  <si>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</si>
  <si>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</si>
  <si>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</si>
  <si>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</si>
  <si>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</si>
  <si>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</si>
  <si>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</si>
  <si>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</si>
  <si>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</si>
  <si>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</si>
  <si>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</si>
  <si>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</si>
  <si>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</si>
  <si>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</si>
  <si>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</si>
  <si>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</si>
  <si>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</si>
  <si>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</si>
  <si>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</si>
  <si>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</si>
  <si>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</si>
  <si>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</si>
  <si>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</si>
  <si>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</si>
  <si>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</si>
  <si>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</si>
  <si>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</si>
  <si>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</si>
  <si>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</si>
  <si>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</si>
  <si>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</si>
  <si>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</si>
  <si>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</si>
  <si>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</si>
  <si>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</si>
  <si>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</si>
  <si>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</si>
  <si>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</si>
  <si>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</si>
  <si>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</si>
  <si>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</si>
  <si>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</si>
  <si>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</si>
  <si>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</si>
  <si>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</si>
  <si>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</si>
  <si>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</si>
  <si>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</si>
  <si>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</si>
  <si>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</si>
  <si>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</si>
  <si>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</si>
  <si>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</si>
  <si>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</si>
  <si>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</si>
  <si>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</si>
  <si>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</si>
  <si>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</si>
  <si>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</si>
  <si>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</si>
  <si>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</si>
  <si>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</si>
  <si>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</si>
  <si>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</si>
  <si>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</si>
  <si>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</si>
  <si>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</si>
  <si>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</si>
  <si>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</si>
  <si>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</si>
  <si>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</si>
  <si>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</si>
  <si>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</si>
  <si>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</si>
  <si>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</si>
  <si>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</si>
  <si>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</si>
  <si>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</si>
  <si>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</si>
  <si>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</si>
  <si>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</si>
  <si>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</si>
  <si>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</si>
  <si>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</si>
  <si>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</si>
  <si>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</si>
  <si>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</si>
  <si>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</si>
  <si>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</si>
  <si>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</si>
  <si>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</si>
  <si>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</si>
  <si>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</si>
  <si>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</si>
  <si>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</si>
  <si>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</si>
  <si>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</si>
  <si>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</si>
  <si>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</si>
  <si>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</si>
  <si>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</si>
  <si>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</si>
  <si>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</si>
  <si>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</si>
  <si>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</si>
  <si>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</si>
  <si>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</si>
  <si>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</si>
  <si>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</si>
  <si>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</si>
  <si>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</si>
  <si>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</si>
  <si>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</si>
  <si>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</si>
  <si>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</si>
  <si>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</si>
  <si>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</si>
  <si>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</si>
  <si>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</si>
  <si>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</si>
  <si>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</si>
  <si>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</si>
  <si>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</si>
  <si>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</si>
  <si>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</si>
  <si>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</si>
  <si>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</si>
  <si>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</si>
  <si>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</si>
  <si>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</si>
  <si>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</si>
  <si>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</si>
  <si>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</si>
  <si>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</si>
  <si>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</si>
  <si>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</si>
  <si>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</si>
  <si>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</si>
  <si>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</si>
  <si>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</si>
  <si>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</si>
  <si>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</si>
  <si>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</si>
  <si>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</si>
  <si>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</si>
  <si>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</si>
  <si>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</si>
  <si>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</si>
  <si>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</si>
  <si>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</si>
  <si>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</si>
  <si>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</si>
  <si>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</si>
  <si>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</si>
  <si>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</si>
  <si>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</si>
  <si>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</si>
  <si>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</si>
  <si>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</si>
  <si>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</si>
  <si>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</si>
  <si>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</si>
  <si>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</si>
  <si>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</si>
  <si>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</si>
  <si>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</si>
  <si>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</si>
  <si>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</si>
  <si>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</si>
  <si>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</si>
  <si>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</si>
  <si>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</si>
  <si>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</si>
  <si>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</si>
  <si>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</si>
  <si>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</si>
  <si>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</si>
  <si>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</si>
  <si>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</si>
  <si>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</si>
  <si>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</si>
  <si>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</si>
  <si>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</si>
  <si>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</si>
  <si>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</si>
  <si>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</si>
  <si>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</si>
  <si>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</si>
  <si>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</si>
  <si>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</si>
  <si>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</si>
  <si>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</si>
  <si>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</si>
  <si>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</si>
  <si>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</si>
  <si>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</si>
  <si>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</si>
  <si>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</si>
  <si>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</si>
  <si>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</si>
  <si>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</si>
  <si>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</si>
  <si>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</si>
  <si>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</si>
  <si>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</si>
  <si>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</si>
  <si>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</si>
  <si>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</si>
  <si>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</si>
  <si>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</si>
  <si>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</si>
  <si>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</si>
  <si>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</si>
  <si>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</si>
  <si>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</si>
  <si>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</si>
  <si>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</si>
  <si>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</si>
  <si>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</si>
  <si>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</si>
  <si>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</si>
  <si>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</si>
  <si>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</si>
  <si>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</si>
  <si>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</si>
  <si>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</si>
  <si>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</si>
  <si>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</si>
  <si>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</si>
  <si>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</si>
  <si>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</si>
  <si>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</si>
  <si>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</si>
  <si>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</si>
  <si>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</si>
  <si>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</si>
  <si>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</si>
  <si>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</si>
  <si>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</si>
  <si>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</si>
  <si>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</si>
  <si>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</si>
  <si>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</si>
  <si>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</si>
  <si>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</si>
  <si>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</si>
  <si>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</si>
  <si>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</si>
  <si>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</si>
  <si>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</si>
  <si>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</si>
  <si>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</si>
  <si>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</si>
  <si>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</si>
  <si>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</si>
  <si>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</si>
  <si>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</si>
  <si>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</si>
  <si>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</si>
  <si>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</si>
  <si>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</si>
  <si>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</si>
  <si>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</si>
  <si>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</si>
  <si>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</si>
  <si>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</si>
  <si>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</si>
  <si>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</si>
  <si>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</si>
  <si>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</si>
  <si>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</si>
  <si>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</si>
  <si>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</si>
  <si>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</si>
  <si>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</si>
  <si>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</si>
  <si>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</si>
  <si>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</si>
  <si>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</si>
  <si>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</si>
  <si>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</si>
  <si>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</si>
  <si>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</si>
  <si>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</si>
  <si>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</si>
  <si>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</si>
  <si>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</si>
  <si>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</si>
  <si>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</si>
  <si>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</si>
  <si>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</si>
  <si>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</si>
  <si>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</si>
  <si>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</si>
  <si>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</si>
  <si>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</si>
  <si>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</si>
  <si>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</si>
  <si>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</si>
  <si>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</si>
  <si>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</si>
  <si>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</si>
  <si>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</si>
  <si>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</si>
  <si>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</si>
  <si>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</si>
  <si>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</si>
  <si>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</si>
  <si>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</si>
  <si>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</si>
  <si>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</si>
  <si>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</si>
  <si>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</si>
  <si>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</si>
  <si>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</si>
  <si>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</si>
  <si>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</si>
  <si>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</si>
  <si>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</si>
  <si>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</si>
  <si>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</si>
  <si>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</si>
  <si>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</si>
  <si>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</si>
  <si>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</si>
  <si>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</si>
  <si>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</si>
  <si>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</si>
  <si>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</si>
  <si>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</si>
  <si>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</si>
  <si>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</si>
  <si>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</si>
  <si>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</si>
  <si>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</si>
  <si>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</si>
  <si>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</si>
  <si>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</si>
  <si>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</si>
  <si>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</si>
  <si>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</si>
  <si>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</si>
  <si>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</si>
  <si>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</si>
  <si>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</si>
  <si>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</si>
  <si>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</si>
  <si>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</si>
  <si>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</si>
  <si>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</si>
  <si>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</si>
  <si>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</si>
  <si>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</si>
  <si>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</si>
  <si>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</si>
  <si>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</si>
  <si>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</si>
  <si>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</si>
  <si>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</si>
  <si>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</si>
  <si>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</si>
  <si>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</si>
  <si>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</si>
  <si>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</si>
  <si>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</si>
  <si>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</si>
  <si>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</si>
  <si>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</si>
  <si>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</si>
  <si>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</si>
  <si>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</si>
  <si>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</si>
  <si>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</si>
  <si>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</si>
  <si>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</si>
  <si>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</si>
  <si>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</si>
  <si>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</si>
  <si>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</si>
  <si>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</si>
  <si>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</si>
  <si>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</si>
  <si>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</si>
  <si>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</si>
  <si>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</si>
  <si>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</si>
  <si>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</si>
  <si>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</si>
  <si>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</si>
  <si>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</si>
  <si>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</si>
  <si>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</si>
  <si>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</si>
  <si>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</si>
  <si>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</si>
  <si>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</si>
  <si>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</si>
  <si>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</si>
  <si>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</si>
  <si>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</si>
  <si>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</si>
  <si>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</si>
  <si>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</si>
  <si>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</si>
  <si>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</si>
  <si>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</si>
  <si>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</si>
  <si>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</si>
  <si>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</si>
  <si>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</si>
  <si>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</si>
  <si>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</si>
  <si>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</si>
  <si>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</si>
  <si>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</si>
  <si>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</si>
  <si>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</si>
  <si>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</si>
  <si>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</si>
  <si>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</si>
  <si>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</si>
  <si>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</si>
  <si>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</si>
  <si>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</si>
  <si>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</si>
  <si>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</si>
  <si>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</si>
  <si>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</si>
  <si>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</si>
  <si>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</si>
  <si>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</si>
  <si>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</si>
  <si>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</si>
  <si>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</si>
  <si>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</si>
  <si>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</si>
  <si>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</si>
  <si>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</si>
  <si>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</si>
  <si>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</si>
  <si>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</si>
  <si>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</si>
  <si>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</si>
  <si>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</si>
  <si>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</si>
  <si>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</si>
  <si>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</si>
  <si>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</si>
  <si>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</si>
  <si>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</si>
  <si>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</si>
  <si>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</si>
  <si>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</si>
  <si>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</si>
  <si>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</si>
  <si>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</si>
  <si>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</si>
  <si>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</si>
  <si>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</si>
  <si>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</si>
  <si>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</si>
  <si>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</si>
  <si>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</si>
  <si>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</si>
  <si>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</si>
  <si>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</si>
  <si>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</si>
  <si>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</si>
  <si>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</si>
  <si>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</si>
  <si>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</si>
  <si>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</si>
  <si>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</si>
  <si>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</si>
  <si>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</si>
  <si>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</si>
  <si>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</si>
  <si>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</si>
  <si>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</si>
  <si>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</si>
  <si>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</si>
  <si>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</si>
  <si>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</si>
  <si>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</si>
  <si>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</si>
  <si>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</si>
  <si>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</si>
  <si>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</si>
  <si>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</si>
  <si>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</si>
  <si>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</si>
  <si>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</si>
  <si>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</si>
  <si>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</si>
  <si>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</si>
  <si>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</si>
  <si>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</si>
  <si>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</si>
  <si>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</si>
  <si>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</si>
  <si>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</si>
  <si>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</si>
  <si>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</si>
  <si>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</si>
  <si>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</si>
  <si>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</si>
  <si>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</si>
  <si>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</si>
  <si>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</si>
  <si>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</si>
  <si>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</si>
  <si>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</si>
  <si>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</si>
  <si>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</si>
  <si>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</si>
  <si>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</si>
  <si>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</si>
  <si>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</si>
  <si>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</si>
  <si>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</si>
  <si>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</si>
  <si>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</si>
  <si>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</si>
  <si>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</si>
  <si>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</si>
  <si>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</si>
  <si>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</si>
  <si>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</si>
  <si>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</si>
  <si>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</si>
  <si>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</si>
  <si>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</si>
  <si>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</si>
  <si>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</si>
  <si>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</si>
  <si>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</si>
  <si>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</si>
  <si>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</si>
  <si>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</si>
  <si>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</si>
  <si>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</si>
  <si>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</si>
  <si>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</si>
  <si>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</si>
  <si>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</si>
  <si>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</si>
  <si>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</si>
  <si>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</si>
  <si>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</si>
  <si>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</si>
  <si>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</si>
  <si>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</si>
  <si>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</si>
  <si>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</si>
  <si>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</si>
  <si>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</si>
  <si>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</si>
  <si>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</si>
  <si>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</si>
  <si>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</si>
  <si>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</si>
  <si>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</si>
  <si>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</si>
  <si>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</si>
  <si>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</si>
  <si>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</si>
  <si>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</si>
  <si>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</si>
  <si>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</si>
  <si>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</si>
  <si>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</si>
  <si>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</si>
  <si>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</si>
  <si>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</si>
  <si>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</si>
  <si>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</si>
  <si>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</si>
  <si>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</si>
  <si>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</si>
  <si>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</si>
  <si>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</si>
  <si>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</si>
  <si>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</si>
  <si>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</si>
  <si>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</si>
  <si>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</si>
  <si>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</si>
  <si>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</si>
  <si>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</si>
  <si>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</si>
  <si>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</si>
  <si>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</si>
  <si>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</si>
  <si>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</si>
  <si>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</si>
  <si>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</si>
  <si>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</si>
  <si>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</si>
  <si>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</si>
  <si>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</si>
  <si>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</si>
  <si>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</si>
  <si>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</si>
  <si>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</si>
  <si>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</si>
  <si>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</si>
  <si>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</si>
  <si>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</si>
  <si>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</si>
  <si>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</si>
  <si>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</si>
  <si>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</si>
  <si>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</si>
  <si>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</si>
  <si>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</si>
  <si>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</si>
  <si>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</si>
  <si>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</si>
  <si>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</si>
  <si>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</si>
  <si>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</si>
  <si>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</si>
  <si>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</si>
  <si>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</si>
  <si>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</si>
  <si>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</si>
  <si>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</si>
  <si>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</si>
  <si>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</si>
  <si>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</si>
  <si>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</si>
  <si>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</si>
  <si>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</si>
  <si>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</si>
  <si>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</si>
  <si>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</si>
  <si>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</si>
  <si>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</si>
  <si>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</si>
  <si>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</si>
  <si>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</si>
  <si>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</si>
  <si>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</si>
  <si>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</si>
  <si>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</si>
  <si>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</si>
  <si>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</si>
  <si>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</si>
  <si>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</si>
  <si>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</si>
  <si>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</si>
  <si>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</si>
  <si>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</si>
  <si>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</si>
  <si>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</si>
  <si>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</si>
  <si>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</si>
  <si>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</si>
  <si>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</si>
  <si>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</si>
  <si>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</si>
  <si>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</si>
  <si>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</si>
  <si>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</si>
  <si>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</si>
  <si>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</si>
  <si>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</si>
  <si>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</si>
  <si>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</si>
  <si>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</si>
  <si>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</si>
  <si>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</si>
  <si>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</si>
  <si>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</si>
  <si>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</si>
  <si>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</si>
  <si>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</si>
  <si>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</si>
  <si>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</si>
  <si>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</si>
  <si>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</si>
  <si>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</si>
  <si>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</si>
  <si>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</si>
  <si>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</si>
  <si>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</si>
  <si>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</si>
  <si>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</si>
  <si>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</si>
  <si>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</si>
  <si>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</si>
  <si>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</si>
  <si>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</si>
  <si>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</si>
  <si>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</si>
  <si>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</si>
  <si>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</si>
  <si>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</si>
  <si>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</si>
  <si>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</si>
  <si>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</si>
  <si>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</si>
  <si>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</si>
  <si>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</si>
  <si>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</si>
  <si>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</si>
  <si>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</si>
  <si>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</si>
  <si>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</si>
  <si>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</si>
  <si>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</si>
  <si>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</si>
  <si>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</si>
  <si>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</si>
  <si>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</si>
  <si>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</si>
  <si>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</si>
  <si>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</si>
  <si>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</si>
  <si>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</si>
  <si>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</si>
  <si>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</si>
  <si>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</si>
  <si>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</si>
  <si>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</si>
  <si>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</si>
  <si>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</si>
  <si>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</si>
  <si>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</si>
  <si>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</si>
  <si>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</si>
  <si>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</si>
  <si>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</si>
  <si>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</si>
  <si>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</si>
  <si>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</si>
  <si>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</si>
  <si>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</si>
  <si>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</si>
  <si>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</si>
  <si>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</si>
  <si>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</si>
  <si>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</si>
  <si>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</si>
  <si>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</si>
  <si>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</si>
  <si>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</si>
  <si>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</si>
  <si>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</si>
  <si>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</si>
  <si>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</si>
  <si>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</si>
  <si>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</si>
  <si>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</si>
  <si>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</si>
  <si>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</si>
  <si>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</si>
  <si>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</si>
  <si>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</si>
  <si>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</si>
  <si>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</si>
  <si>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</si>
  <si>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</si>
  <si>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</si>
  <si>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</si>
  <si>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</si>
  <si>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</si>
  <si>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</si>
  <si>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</si>
  <si>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</si>
  <si>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</si>
  <si>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</si>
  <si>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</si>
  <si>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</si>
  <si>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</si>
  <si>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</si>
  <si>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</si>
  <si>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</si>
  <si>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</si>
  <si>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</si>
  <si>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</si>
  <si>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</si>
  <si>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</si>
  <si>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</si>
  <si>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</si>
  <si>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</si>
  <si>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</si>
  <si>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</si>
  <si>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</si>
  <si>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</si>
  <si>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</si>
  <si>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</si>
  <si>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</si>
  <si>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</si>
  <si>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</si>
  <si>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</si>
  <si>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</si>
  <si>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</si>
  <si>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</si>
  <si>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</si>
  <si>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</si>
  <si>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</si>
  <si>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</si>
  <si>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</si>
  <si>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</si>
  <si>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</si>
  <si>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</si>
  <si>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</si>
  <si>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</si>
  <si>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</si>
  <si>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</si>
  <si>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</si>
  <si>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</si>
  <si>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</si>
  <si>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</si>
  <si>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</si>
  <si>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</si>
  <si>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</si>
  <si>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</si>
  <si>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</si>
  <si>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</si>
  <si>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</si>
  <si>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</si>
  <si>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</si>
  <si>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</si>
  <si>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</si>
  <si>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</si>
  <si>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</si>
  <si>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</si>
  <si>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</si>
  <si>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</si>
  <si>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</si>
  <si>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</si>
  <si>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</si>
  <si>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</si>
  <si>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</si>
  <si>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</si>
  <si>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</si>
  <si>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</si>
  <si>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</si>
  <si>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</si>
  <si>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</si>
  <si>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</si>
  <si>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</si>
  <si>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</si>
  <si>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</si>
  <si>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</si>
  <si>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</si>
  <si>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</si>
  <si>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</si>
  <si>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</si>
  <si>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</si>
  <si>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</si>
  <si>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</si>
  <si>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</si>
  <si>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</si>
  <si>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</si>
  <si>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</si>
  <si>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</si>
  <si>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</si>
  <si>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</si>
  <si>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</si>
  <si>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</si>
  <si>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</si>
  <si>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</si>
  <si>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</si>
  <si>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</si>
  <si>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</si>
  <si>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</si>
  <si>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</si>
  <si>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</si>
  <si>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</si>
  <si>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</si>
  <si>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</si>
  <si>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</si>
  <si>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</si>
  <si>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</si>
  <si>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</si>
  <si>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</si>
  <si>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</si>
  <si>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</si>
  <si>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</si>
  <si>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</si>
  <si>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</si>
  <si>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</si>
  <si>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</si>
  <si>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</si>
  <si>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</si>
  <si>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</si>
  <si>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</si>
  <si>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</si>
  <si>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</si>
  <si>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</si>
  <si>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</si>
  <si>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</si>
  <si>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</si>
  <si>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</si>
  <si>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</si>
  <si>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</si>
  <si>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</si>
  <si>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</si>
  <si>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</si>
  <si>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</si>
  <si>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</si>
  <si>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</si>
  <si>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</si>
  <si>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</si>
  <si>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</si>
  <si>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</si>
  <si>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</si>
  <si>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</si>
  <si>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</si>
  <si>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</si>
  <si>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</si>
  <si>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</si>
  <si>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</si>
  <si>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</si>
  <si>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</si>
  <si>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</si>
  <si>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</si>
  <si>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</si>
  <si>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</si>
  <si>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</si>
  <si>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</si>
  <si>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</si>
  <si>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</si>
  <si>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</si>
  <si>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</si>
  <si>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</si>
  <si>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</si>
  <si>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</si>
  <si>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</si>
  <si>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</si>
  <si>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</si>
  <si>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</si>
  <si>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</si>
  <si>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</si>
  <si>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</si>
  <si>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</si>
  <si>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</si>
  <si>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</si>
  <si>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</si>
  <si>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</si>
  <si>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</si>
  <si>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</si>
  <si>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</si>
  <si>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</si>
  <si>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</si>
  <si>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</si>
  <si>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</si>
  <si>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</si>
  <si>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</si>
  <si>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</si>
  <si>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</si>
  <si>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</si>
  <si>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</si>
  <si>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</si>
  <si>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</si>
  <si>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</si>
  <si>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</si>
  <si>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</si>
  <si>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</si>
  <si>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</si>
  <si>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</si>
  <si>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</si>
  <si>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</si>
  <si>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</si>
  <si>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</si>
  <si>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</si>
  <si>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</si>
  <si>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</si>
  <si>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</si>
  <si>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</si>
  <si>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</si>
  <si>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</si>
  <si>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</si>
  <si>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</si>
  <si>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</si>
  <si>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</si>
  <si>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</si>
  <si>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</si>
  <si>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</si>
  <si>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</si>
  <si>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</si>
  <si>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</si>
  <si>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</si>
  <si>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</si>
  <si>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</si>
  <si>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</si>
  <si>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</si>
  <si>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</si>
  <si>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</si>
  <si>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</si>
  <si>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</si>
  <si>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</si>
  <si>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</si>
  <si>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</si>
  <si>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</si>
  <si>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</si>
  <si>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</si>
  <si>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</si>
  <si>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</si>
  <si>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</si>
  <si>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</si>
  <si>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</si>
  <si>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</si>
  <si>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</si>
  <si>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</si>
  <si>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</si>
  <si>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</si>
  <si>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</si>
  <si>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</si>
  <si>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</si>
  <si>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</si>
  <si>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</si>
  <si>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</si>
  <si>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</si>
  <si>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</si>
  <si>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</si>
  <si>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</si>
  <si>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</si>
  <si>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</si>
  <si>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</si>
  <si>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</si>
  <si>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</si>
  <si>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</si>
  <si>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</si>
  <si>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</si>
  <si>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</si>
  <si>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</si>
  <si>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</si>
  <si>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</si>
  <si>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</si>
  <si>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</si>
  <si>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</si>
  <si>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</si>
  <si>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</si>
  <si>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</si>
  <si>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</si>
  <si>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</si>
  <si>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</si>
  <si>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</si>
  <si>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</si>
  <si>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</si>
  <si>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</si>
  <si>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</si>
  <si>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</si>
  <si>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</si>
  <si>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</si>
  <si>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</si>
  <si>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</si>
  <si>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</si>
  <si>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</si>
  <si>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</si>
  <si>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</si>
  <si>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we p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</si>
  <si>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</si>
  <si>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</si>
  <si>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</si>
  <si>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</si>
  <si>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</si>
  <si>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</si>
  <si>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</si>
  <si>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</si>
  <si>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</si>
  <si>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</si>
  <si>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</si>
  <si>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</si>
  <si>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</si>
  <si>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</si>
  <si>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</si>
  <si>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</si>
  <si>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</si>
  <si>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</si>
  <si>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</si>
  <si>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</si>
  <si>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</si>
  <si>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</si>
  <si>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Cancelled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</si>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</sst>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1" xfId="1" applyAlignment="1">
      <alignment horizontal="center"/>
    </xf>
    <xf numFmtId="10" fontId="0" fillId="0" borderId="0" xfId="0" applyNumberFormat="1"/>
    <xf numFmtId="9" fontId="0" fillId="0" borderId="0" xfId="0" applyNumberFormat="1"/>
    <xf numFmtId="167" fontId="0" fillId="0" borderId="0" xfId="0" applyNumberFormat="1"/>
  </cellXfs>
  <cellStyles count="2">
    <cellStyle name="Heading 3" xfId="1" builtinId="18"/>
    <cellStyle name="Normal" xfId="0" builtinId="0"/>
  </cellStyles>
  <dxfs count="33">
    <dxf>
      <numFmt numFmtId="14" formatCode="0.00%"/>
    </dxf>
    <dxf>
      <numFmt numFmtId="167" formatCode="0.0%"/>
    </dxf>
    <dxf>
      <numFmt numFmtId="13" formatCode="0%"/>
    </dxf>
    <dxf>
      <numFmt numFmtId="14" formatCode="0.00%"/>
    </dxf>
    <dxf>
      <numFmt numFmtId="167" formatCode="0.0%"/>
    </dxf>
    <dxf>
      <numFmt numFmtId="14" formatCode="0.00%"/>
    </dxf>
    <dxf>
      <numFmt numFmtId="167" formatCode="0.0%"/>
    </dxf>
    <dxf>
      <numFmt numFmtId="13" formatCode="0%"/>
    </dxf>
    <dxf>
      <numFmt numFmtId="14" formatCode="0.00%"/>
    </dxf>
    <dxf>
      <numFmt numFmtId="14" formatCode="0.00%"/>
    </dxf>
    <dxf>
      <numFmt numFmtId="167" formatCode="0.0%"/>
    </dxf>
    <dxf>
      <numFmt numFmtId="13" formatCode="0%"/>
    </dxf>
    <dxf>
      <numFmt numFmtId="14" formatCode="0.00%"/>
    </dxf>
    <dxf>
      <numFmt numFmtId="167" formatCode="0.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67" formatCode="0.0%"/>
    </dxf>
    <dxf>
      <numFmt numFmtId="13" formatCode="0%"/>
    </dxf>
    <dxf>
      <numFmt numFmtId="13" formatCode="0%"/>
    </dxf>
    <dxf>
      <numFmt numFmtId="167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 (revised).xlsx]Pivot1!PivotTable1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4BE-B907-F774C1661A4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4BE-B907-F774C1661A4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E7-44BE-B907-F774C1661A4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4BE-B907-F774C1661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863695"/>
        <c:axId val="254873263"/>
      </c:barChart>
      <c:catAx>
        <c:axId val="25486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73263"/>
        <c:crosses val="autoZero"/>
        <c:auto val="1"/>
        <c:lblAlgn val="ctr"/>
        <c:lblOffset val="100"/>
        <c:noMultiLvlLbl val="0"/>
      </c:catAx>
      <c:valAx>
        <c:axId val="25487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 (revised).xlsx]Outcomes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C-4CB3-A721-145056102D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C-4CB3-A721-145056102D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BC-4CB3-A721-145056102D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BC-4CB3-A721-145056102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36031"/>
        <c:axId val="439863071"/>
      </c:lineChart>
      <c:catAx>
        <c:axId val="4398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63071"/>
        <c:crosses val="autoZero"/>
        <c:auto val="1"/>
        <c:lblAlgn val="ctr"/>
        <c:lblOffset val="100"/>
        <c:noMultiLvlLbl val="0"/>
      </c:catAx>
      <c:valAx>
        <c:axId val="43986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 (revised).xlsx]Theater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6D-4E46-9D6D-7B3678D2919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6D-4E46-9D6D-7B3678D2919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6D-4E46-9D6D-7B3678D29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53424"/>
        <c:axId val="171853840"/>
      </c:lineChart>
      <c:catAx>
        <c:axId val="17185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840"/>
        <c:crosses val="autoZero"/>
        <c:auto val="1"/>
        <c:lblAlgn val="ctr"/>
        <c:lblOffset val="100"/>
        <c:noMultiLvlLbl val="0"/>
      </c:catAx>
      <c:valAx>
        <c:axId val="17185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 (revised).xlsx]Pivot - Outcomes Based on Goals!PivotTable3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-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Outcomes Based on Goals'!$B$1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Goals'!$B$2:$B$14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0.24806201550387597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D4-4D8E-A9AB-884A3B0D9145}"/>
            </c:ext>
          </c:extLst>
        </c:ser>
        <c:ser>
          <c:idx val="1"/>
          <c:order val="1"/>
          <c:tx>
            <c:strRef>
              <c:f>'Pivot - Outcomes Based on Goals'!$C$1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Goals'!$C$2:$C$14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0.75193798449612403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D4-4D8E-A9AB-884A3B0D9145}"/>
            </c:ext>
          </c:extLst>
        </c:ser>
        <c:ser>
          <c:idx val="2"/>
          <c:order val="2"/>
          <c:tx>
            <c:strRef>
              <c:f>'Pivot - Outcomes Based on Goals'!$D$1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Goals'!$D$2:$D$14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D4-4D8E-A9AB-884A3B0D9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03520"/>
        <c:axId val="284389664"/>
      </c:lineChart>
      <c:catAx>
        <c:axId val="1595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9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89664"/>
        <c:crosses val="autoZero"/>
        <c:auto val="1"/>
        <c:lblAlgn val="ctr"/>
        <c:lblOffset val="100"/>
        <c:noMultiLvlLbl val="0"/>
      </c:catAx>
      <c:valAx>
        <c:axId val="28438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142875</xdr:rowOff>
    </xdr:from>
    <xdr:to>
      <xdr:col>18</xdr:col>
      <xdr:colOff>85725</xdr:colOff>
      <xdr:row>22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E66B0-6F57-43E2-9B37-C3C15A11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161925</xdr:rowOff>
    </xdr:from>
    <xdr:to>
      <xdr:col>14</xdr:col>
      <xdr:colOff>285750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A80A6-7DDE-4EE9-864A-2B6428F91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0</xdr:rowOff>
    </xdr:from>
    <xdr:to>
      <xdr:col>14</xdr:col>
      <xdr:colOff>57150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D0DBE-C1E5-4DC9-9F83-72F6A8920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0</xdr:row>
      <xdr:rowOff>57150</xdr:rowOff>
    </xdr:from>
    <xdr:to>
      <xdr:col>16</xdr:col>
      <xdr:colOff>209550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8CD2C-82F9-4FAE-A0C1-0AA76EB26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"/>
      <sheetName val="Outcomes Based on Launch Date"/>
      <sheetName val="Edinburgh Research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5.865234259261" createdVersion="7" refreshedVersion="7" minRefreshableVersion="3" recordCount="4114" xr:uid="{73C1EDE2-5BB3-4156-9C91-9BC5D6F99CCA}">
  <cacheSource type="worksheet">
    <worksheetSource ref="A1:R4115" sheet="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5.893199189813" createdVersion="7" refreshedVersion="7" minRefreshableVersion="3" recordCount="4114" xr:uid="{ABCF1997-F176-4519-B059-2592976CBF67}">
  <cacheSource type="worksheet">
    <worksheetSource ref="A1:S4115" sheet="Spread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8.410926620367" createdVersion="7" refreshedVersion="7" minRefreshableVersion="3" recordCount="4114" xr:uid="{7F24342E-FF98-45F8-9175-AA774BA5D3A9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9.648544791664" createdVersion="7" refreshedVersion="7" minRefreshableVersion="3" recordCount="12" xr:uid="{E7729E07-4307-4005-8996-78DD0E91FC20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28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16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we p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28"/>
    <n v="0"/>
    <n v="516"/>
    <n v="0.75193798449612403"/>
    <n v="0.24806201550387597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0FA6D-4FCD-4897-A151-7EB0D37336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9AECF-E7CF-461A-9FBF-1F366093B0B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E4BA7-ABAB-4CE1-A2DB-8B723B33425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19" hier="-1"/>
  </pageFields>
  <dataFields count="1">
    <dataField name="Count of Date Created Conversion" fld="18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C548C-0349-4A5E-8170-9A5FC84A1B1F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 numFmtId="167"/>
    <dataField name="Sum of Percentage Successful" fld="5" baseField="0" baseItem="0" numFmtId="167"/>
    <dataField name="Sum of Percentage Cancelled" fld="7" baseField="0" baseItem="0" numFmtId="9"/>
  </dataFields>
  <formats count="3">
    <format dxfId="2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2766" zoomScale="95" zoomScaleNormal="95" workbookViewId="0">
      <selection activeCell="R1286" sqref="R128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140625" customWidth="1"/>
    <col min="16" max="16" width="20.42578125" customWidth="1"/>
    <col min="17" max="17" width="41.140625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8379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 2), 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 2), 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 2), 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 2), 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 2), 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 2), 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 2), 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 2), 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 2), 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 2), 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 2), 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 2), 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 2), 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 2), 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 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sortState xmlns:xlrd2="http://schemas.microsoft.com/office/spreadsheetml/2017/richdata2" ref="A2:N4116">
    <sortCondition ref="A1:A4116"/>
  </sortState>
  <conditionalFormatting sqref="F1:F1048576">
    <cfRule type="cellIs" dxfId="32" priority="2" operator="equal">
      <formula>"successful"</formula>
    </cfRule>
    <cfRule type="cellIs" dxfId="31" priority="3" operator="equal">
      <formula>"canceled"</formula>
    </cfRule>
    <cfRule type="cellIs" dxfId="30" priority="4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D194-E3F1-4B4D-B62F-0FC9D85390A3}">
  <dimension ref="A1:F46"/>
  <sheetViews>
    <sheetView workbookViewId="0">
      <selection activeCell="M27" sqref="M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8314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8342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8330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8352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2" t="s">
        <v>8313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2" t="s">
        <v>8312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8328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2" t="s">
        <v>8345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2" t="s">
        <v>8322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8335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2" t="s">
        <v>8346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8347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2" t="s">
        <v>8327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2" t="s">
        <v>8326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8354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2" t="s">
        <v>8325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2" t="s">
        <v>8333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8357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2" t="s">
        <v>8341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8321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2" t="s">
        <v>8348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8337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2" t="s">
        <v>8343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8316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2" t="s">
        <v>8344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2" t="s">
        <v>8340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8324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2" t="s">
        <v>8311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2" t="s">
        <v>8310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2" t="s">
        <v>8350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2" t="s">
        <v>8353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2" t="s">
        <v>8355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2" t="s">
        <v>8349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2" t="s">
        <v>8309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2" t="s">
        <v>8339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2" t="s">
        <v>8332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8319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2" t="s">
        <v>8318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2" t="s">
        <v>8338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2" t="s">
        <v>8361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6CCE-629F-43E1-94C4-28376E02899D}">
  <dimension ref="A2:F18"/>
  <sheetViews>
    <sheetView workbookViewId="0">
      <selection activeCell="R12" sqref="R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961BA-02DC-41F5-987A-D3393A33F532}">
  <dimension ref="A1:H6"/>
  <sheetViews>
    <sheetView topLeftCell="C1" workbookViewId="0">
      <selection activeCell="E24" sqref="E24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2.85546875" customWidth="1"/>
    <col min="4" max="4" width="11.85546875" customWidth="1"/>
    <col min="5" max="5" width="17" bestFit="1" customWidth="1"/>
    <col min="6" max="6" width="15.28515625" bestFit="1" customWidth="1"/>
    <col min="7" max="7" width="11.85546875" bestFit="1" customWidth="1"/>
    <col min="8" max="8" width="23.42578125" bestFit="1" customWidth="1"/>
    <col min="9" max="9" width="11.85546875" bestFit="1" customWidth="1"/>
    <col min="10" max="10" width="9.5703125" bestFit="1" customWidth="1"/>
    <col min="11" max="11" width="13.85546875" bestFit="1" customWidth="1"/>
    <col min="12" max="12" width="8.85546875" bestFit="1" customWidth="1"/>
    <col min="13" max="13" width="24.28515625" bestFit="1" customWidth="1"/>
    <col min="14" max="14" width="18.42578125" bestFit="1" customWidth="1"/>
    <col min="15" max="15" width="17" bestFit="1" customWidth="1"/>
    <col min="16" max="16" width="15.28515625" bestFit="1" customWidth="1"/>
    <col min="17" max="17" width="11.85546875" bestFit="1" customWidth="1"/>
    <col min="18" max="18" width="23.42578125" bestFit="1" customWidth="1"/>
  </cols>
  <sheetData>
    <row r="1" spans="1:8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9" t="s">
        <v>8261</v>
      </c>
      <c r="G1" s="1"/>
      <c r="H1" s="1"/>
    </row>
    <row r="2" spans="1:8" x14ac:dyDescent="0.25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Spreadsheet!B:E, 3, FALSE)</f>
        <v>2000</v>
      </c>
      <c r="D2">
        <f>VLOOKUP(A2, Spreadsheet!B:E, 4, FALSE)</f>
        <v>2020</v>
      </c>
      <c r="E2">
        <f>VLOOKUP(A2, Spreadsheet!B:P, 15, FALSE)</f>
        <v>51.79</v>
      </c>
      <c r="F2">
        <f>VLOOKUP(A2, Spreadsheet!B:L, 11, FALSE)</f>
        <v>39</v>
      </c>
    </row>
    <row r="3" spans="1:8" x14ac:dyDescent="0.25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Spreadsheet!B:E, 3, FALSE)</f>
        <v>2000</v>
      </c>
      <c r="D3">
        <f>VLOOKUP(A3, Spreadsheet!B:E, 4, FALSE)</f>
        <v>2020</v>
      </c>
      <c r="E3">
        <f>VLOOKUP(A3, Spreadsheet!B:P, 15, FALSE)</f>
        <v>36.07</v>
      </c>
      <c r="F3">
        <f>VLOOKUP(A3, Spreadsheet!B:L, 11, FALSE)</f>
        <v>56</v>
      </c>
    </row>
    <row r="4" spans="1:8" x14ac:dyDescent="0.25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Spreadsheet!B:E, 3, FALSE)</f>
        <v>1500</v>
      </c>
      <c r="D4">
        <f>VLOOKUP(A4, Spreadsheet!B:E, 4, FALSE)</f>
        <v>2576</v>
      </c>
      <c r="E4">
        <f>VLOOKUP(A4, Spreadsheet!B:P, 15, FALSE)</f>
        <v>33.03</v>
      </c>
      <c r="F4">
        <f>VLOOKUP(A4, Spreadsheet!B:L, 11, FALSE)</f>
        <v>78</v>
      </c>
    </row>
    <row r="5" spans="1:8" x14ac:dyDescent="0.25">
      <c r="A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Spreadsheet!B:E, 3, FALSE)</f>
        <v>1000</v>
      </c>
      <c r="D5">
        <f>VLOOKUP(A5, Spreadsheet!B:E, 4, FALSE)</f>
        <v>1168</v>
      </c>
      <c r="E5">
        <f>VLOOKUP(A5, Spreadsheet!B:P, 15, FALSE)</f>
        <v>44.92</v>
      </c>
      <c r="F5">
        <f>VLOOKUP(A5, Spreadsheet!B:L, 11, FALSE)</f>
        <v>26</v>
      </c>
    </row>
    <row r="6" spans="1:8" x14ac:dyDescent="0.25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Spreadsheet!B:E, 3, FALSE)</f>
        <v>4000</v>
      </c>
      <c r="D6">
        <f>VLOOKUP(A6, Spreadsheet!B:E, 4, FALSE)</f>
        <v>4137</v>
      </c>
      <c r="E6">
        <f>VLOOKUP(A6, Spreadsheet!B:P, 15, FALSE)</f>
        <v>36.61</v>
      </c>
      <c r="F6">
        <f>VLOOKUP(A6, Spreadsheet!B:L,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E869-45CE-4650-8CF7-FF0DFDDC0C80}">
  <dimension ref="A1:E18"/>
  <sheetViews>
    <sheetView workbookViewId="0">
      <selection activeCell="B15" sqref="B15"/>
    </sheetView>
  </sheetViews>
  <sheetFormatPr defaultRowHeight="15" x14ac:dyDescent="0.25"/>
  <cols>
    <col min="1" max="1" width="31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8380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4CDF-929A-4525-B4B6-11C0AA74ADAF}">
  <dimension ref="A1:H13"/>
  <sheetViews>
    <sheetView workbookViewId="0">
      <selection sqref="A1:H13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ht="15.75" thickBot="1" x14ac:dyDescent="0.3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5">
      <c r="A2" t="s">
        <v>8389</v>
      </c>
      <c r="B2">
        <f>COUNTIFS(Spreadsheet!F:F, "successful", Spreadsheet!D:D, "&lt;1000", Spreadsheet!R:R, "plays")</f>
        <v>141</v>
      </c>
      <c r="C2">
        <f>COUNTIFS(Spreadsheet!F:F, "failed", Spreadsheet!D:D, "&lt;1000", Spreadsheet!R:R, "plays")</f>
        <v>45</v>
      </c>
      <c r="D2">
        <f>COUNTIFS(Spreadsheet!F:F, "canceled", Spreadsheet!D:D, "&lt;1000", Spreadsheet!R:R,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8390</v>
      </c>
      <c r="B3">
        <f>COUNTIFS(Spreadsheet!F:F, "successful", Spreadsheet!D:D, "&gt;=1000", Spreadsheet!R:R, "plays", Spreadsheet!D:D, "&lt;=4999" )</f>
        <v>388</v>
      </c>
      <c r="C3">
        <f>COUNTIFS(Spreadsheet!F:F, "failed",  Spreadsheet!D:D, "&gt;1000", Spreadsheet!R:R, "plays", Spreadsheet!D:D, "&lt;=4999" )</f>
        <v>128</v>
      </c>
      <c r="D3">
        <f>COUNTIFS(Spreadsheet!F:F, "canceled",  Spreadsheet!D:D, "&gt;=1000", Spreadsheet!R:R, "plays", Spreadsheet!D:D, "&lt;=4999" )</f>
        <v>0</v>
      </c>
      <c r="E3">
        <f t="shared" ref="E3:E13" si="0">SUM(B3:D3)</f>
        <v>516</v>
      </c>
      <c r="F3" s="17">
        <f t="shared" ref="F3:F13" si="1">B3/E3</f>
        <v>0.75193798449612403</v>
      </c>
      <c r="G3" s="17">
        <f t="shared" ref="G3:G13" si="2">C3/E3</f>
        <v>0.24806201550387597</v>
      </c>
      <c r="H3" s="17">
        <f t="shared" ref="H3:H13" si="3">D3/E3</f>
        <v>0</v>
      </c>
    </row>
    <row r="4" spans="1:8" x14ac:dyDescent="0.25">
      <c r="A4" t="s">
        <v>8391</v>
      </c>
      <c r="B4">
        <f>COUNTIFS(Spreadsheet!F:F, "successful", Spreadsheet!D:D, "&gt;=5000", Spreadsheet!R:R, "plays", Spreadsheet!D:D, "&lt;=9999" )</f>
        <v>93</v>
      </c>
      <c r="C4">
        <f>COUNTIFS(Spreadsheet!F:F, "failed", Spreadsheet!D:D, "&gt;=5000", Spreadsheet!R:R, "plays", Spreadsheet!D:D, "&lt;=9999" )</f>
        <v>76</v>
      </c>
      <c r="D4">
        <f>COUNTIFS(Spreadsheet!F:F, "canceled",  Spreadsheet!D:D, "&gt;=5000", Spreadsheet!R:R, "plays", Spreadsheet!D:D, "&lt;=9999" 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8392</v>
      </c>
      <c r="B5">
        <f>COUNTIFS(Spreadsheet!F:F, "successful", Spreadsheet!D:D, "&gt;=10000", Spreadsheet!R:R, "plays", Spreadsheet!D:D, "&lt;=14999" )</f>
        <v>39</v>
      </c>
      <c r="C5">
        <f>COUNTIFS(Spreadsheet!F:F, "failed",Spreadsheet!D:D, "&gt;=10000", Spreadsheet!R:R, "plays", Spreadsheet!D:D, "&lt;=14999" )</f>
        <v>33</v>
      </c>
      <c r="D5">
        <f>COUNTIFS(Spreadsheet!F:F, "canceled", Spreadsheet!D:D, "&gt;=10000", Spreadsheet!R:R, "plays", Spreadsheet!D:D, "&lt;=14999" 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8403</v>
      </c>
      <c r="B6">
        <f>COUNTIFS(Spreadsheet!F:F, "successful", Spreadsheet!D:D, "&gt;=15000", Spreadsheet!R:R, "plays", Spreadsheet!D:D, "&lt;=19999" )</f>
        <v>12</v>
      </c>
      <c r="C6">
        <f>COUNTIFS(Spreadsheet!F:F, "failed", Spreadsheet!D:D, "&gt;=15000", Spreadsheet!R:R, "plays", Spreadsheet!D:D, "&lt;=19999" )</f>
        <v>12</v>
      </c>
      <c r="D6">
        <f>COUNTIFS(Spreadsheet!F:F, "canceled",  Spreadsheet!D:D, "&gt;=15000", Spreadsheet!R:R, "plays", Spreadsheet!D:D, "&lt;=19999" 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8393</v>
      </c>
      <c r="B7">
        <f>COUNTIFS(Spreadsheet!F:F, "successful", Spreadsheet!D:D, "&gt;=20000", Spreadsheet!R:R, "plays", Spreadsheet!D:D, "&lt;=24999" )</f>
        <v>9</v>
      </c>
      <c r="C7">
        <f>COUNTIFS(Spreadsheet!F:F, "failed", Spreadsheet!D:D, "&gt;=20000", Spreadsheet!R:R, "plays", Spreadsheet!D:D, "&lt;=24999" )</f>
        <v>11</v>
      </c>
      <c r="D7">
        <f>COUNTIFS(Spreadsheet!F:F, "canceled",  Spreadsheet!D:D, "&gt;=20000", Spreadsheet!R:R, "plays", Spreadsheet!D:D, "&lt;=24999" 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8394</v>
      </c>
      <c r="B8">
        <f>COUNTIFS(Spreadsheet!F:F, "successful", Spreadsheet!D:D, "&gt;=25000", Spreadsheet!R:R, "plays", Spreadsheet!D:D, "&lt;=29999" )</f>
        <v>1</v>
      </c>
      <c r="C8">
        <f>COUNTIFS(Spreadsheet!F:F, "failed", Spreadsheet!D:D, "&gt;=25000", Spreadsheet!R:R, "plays", Spreadsheet!D:D, "&lt;=29999" )</f>
        <v>4</v>
      </c>
      <c r="D8">
        <f>COUNTIFS(Spreadsheet!F:F, "canceled", Spreadsheet!D:D, "&gt;=25000", Spreadsheet!R:R, "plays", Spreadsheet!D:D, "&lt;=29999" 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8395</v>
      </c>
      <c r="B9">
        <f>COUNTIFS(Spreadsheet!F:F, "successful", Spreadsheet!D:D, "&gt;=30000", Spreadsheet!R:R, "plays", Spreadsheet!D:D, "&lt;=34999" )</f>
        <v>3</v>
      </c>
      <c r="C9">
        <f>COUNTIFS(Spreadsheet!F:F, "failed",  Spreadsheet!D:D, "&gt;=30000", Spreadsheet!R:R, "plays", Spreadsheet!D:D, "&lt;=34999" )</f>
        <v>8</v>
      </c>
      <c r="D9">
        <f>COUNTIFS(Spreadsheet!F:F, "canceled",  Spreadsheet!D:D, "&gt;=30000", Spreadsheet!R:R, "plays", Spreadsheet!D:D, "&lt;=34999" 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8396</v>
      </c>
      <c r="B10">
        <f>COUNTIFS(Spreadsheet!F:F, "successful", Spreadsheet!D:D, "&gt;=35000", Spreadsheet!R:R, "plays", Spreadsheet!D:D, "&lt;=39999" )</f>
        <v>4</v>
      </c>
      <c r="C10">
        <f>COUNTIFS(Spreadsheet!F:F, "failed", Spreadsheet!D:D, "&gt;=35000", Spreadsheet!R:R, "plays", Spreadsheet!D:D, "&lt;=39999" )</f>
        <v>2</v>
      </c>
      <c r="D10">
        <f>COUNTIFS(Spreadsheet!F:F, "canceled", Spreadsheet!D:D, "&gt;=35000", Spreadsheet!R:R, "plays", Spreadsheet!D:D, "&lt;=39999" 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8397</v>
      </c>
      <c r="B11">
        <f>COUNTIFS(Spreadsheet!F:F, "successful", Spreadsheet!D:D, "&gt;=40000", Spreadsheet!R:R, "plays", Spreadsheet!D:D, "&lt;=44999" )</f>
        <v>2</v>
      </c>
      <c r="C11">
        <f>COUNTIFS(Spreadsheet!F:F, "failed",  Spreadsheet!D:D, "&gt;=40000", Spreadsheet!R:R, "plays", Spreadsheet!D:D, "&lt;=44999" )</f>
        <v>1</v>
      </c>
      <c r="D11">
        <f>COUNTIFS(Spreadsheet!F:F, "canceled",  Spreadsheet!D:D, "&gt;=40000", Spreadsheet!R:R, "plays", Spreadsheet!D:D, "&lt;=44999" 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COUNTIFS(Spreadsheet!F:F, "successful", Spreadsheet!D:D, "&gt;=45000", Spreadsheet!R:R, "plays", Spreadsheet!D:D, "&lt;=49999" )</f>
        <v>0</v>
      </c>
      <c r="C12">
        <f>COUNTIFS(Spreadsheet!F:F, "failed",  Spreadsheet!D:D, "&gt;=45000", Spreadsheet!R:R, "plays", Spreadsheet!D:D, "&lt;=49999" )</f>
        <v>1</v>
      </c>
      <c r="D12">
        <f>COUNTIFS(Spreadsheet!F:F, "canceled",  Spreadsheet!D:D, "&gt;=45000", Spreadsheet!R:R, "plays", Spreadsheet!D:D, "&lt;=49999" 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COUNTIFS(Spreadsheet!F:F, "successful", Spreadsheet!D:D, "&gt;=50000", Spreadsheet!R:R, "plays")</f>
        <v>2</v>
      </c>
      <c r="C13">
        <f>COUNTIFS(Spreadsheet!F:F, "failed", Spreadsheet!D:D, "&gt;50000", Spreadsheet!R:R, "plays")</f>
        <v>10</v>
      </c>
      <c r="D13">
        <f>COUNTIFS(Spreadsheet!F:F, "canceled",  Spreadsheet!D:D, "&gt;50000", Spreadsheet!R:R,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F2BB9-47D2-410F-A14C-504BD91F3FE4}">
  <dimension ref="A1:D14"/>
  <sheetViews>
    <sheetView tabSelected="1" workbookViewId="0">
      <selection activeCell="C15" sqref="C15"/>
    </sheetView>
  </sheetViews>
  <sheetFormatPr defaultRowHeight="15" x14ac:dyDescent="0.25"/>
  <cols>
    <col min="1" max="1" width="13.85546875" bestFit="1" customWidth="1"/>
    <col min="2" max="2" width="23.85546875" bestFit="1" customWidth="1"/>
    <col min="3" max="3" width="27.7109375" bestFit="1" customWidth="1"/>
    <col min="4" max="4" width="27.28515625" bestFit="1" customWidth="1"/>
  </cols>
  <sheetData>
    <row r="1" spans="1:4" x14ac:dyDescent="0.25">
      <c r="A1" s="11" t="s">
        <v>8362</v>
      </c>
      <c r="B1" t="s">
        <v>8401</v>
      </c>
      <c r="C1" t="s">
        <v>8400</v>
      </c>
      <c r="D1" t="s">
        <v>8402</v>
      </c>
    </row>
    <row r="2" spans="1:4" x14ac:dyDescent="0.25">
      <c r="A2" s="12" t="s">
        <v>8389</v>
      </c>
      <c r="B2" s="19">
        <v>0.24193548387096775</v>
      </c>
      <c r="C2" s="19">
        <v>0.75806451612903225</v>
      </c>
      <c r="D2" s="18">
        <v>0</v>
      </c>
    </row>
    <row r="3" spans="1:4" x14ac:dyDescent="0.25">
      <c r="A3" s="12" t="s">
        <v>8390</v>
      </c>
      <c r="B3" s="19">
        <v>0.24806201550387597</v>
      </c>
      <c r="C3" s="19">
        <v>0.75193798449612403</v>
      </c>
      <c r="D3" s="18">
        <v>0</v>
      </c>
    </row>
    <row r="4" spans="1:4" x14ac:dyDescent="0.25">
      <c r="A4" s="12" t="s">
        <v>8391</v>
      </c>
      <c r="B4" s="19">
        <v>0.44970414201183434</v>
      </c>
      <c r="C4" s="19">
        <v>0.55029585798816572</v>
      </c>
      <c r="D4" s="18">
        <v>0</v>
      </c>
    </row>
    <row r="5" spans="1:4" x14ac:dyDescent="0.25">
      <c r="A5" s="12" t="s">
        <v>8392</v>
      </c>
      <c r="B5" s="19">
        <v>0.45833333333333331</v>
      </c>
      <c r="C5" s="19">
        <v>0.54166666666666663</v>
      </c>
      <c r="D5" s="18">
        <v>0</v>
      </c>
    </row>
    <row r="6" spans="1:4" x14ac:dyDescent="0.25">
      <c r="A6" s="12" t="s">
        <v>8403</v>
      </c>
      <c r="B6" s="19">
        <v>0.5</v>
      </c>
      <c r="C6" s="19">
        <v>0.5</v>
      </c>
      <c r="D6" s="18">
        <v>0</v>
      </c>
    </row>
    <row r="7" spans="1:4" x14ac:dyDescent="0.25">
      <c r="A7" s="12" t="s">
        <v>8393</v>
      </c>
      <c r="B7" s="19">
        <v>0.55000000000000004</v>
      </c>
      <c r="C7" s="19">
        <v>0.45</v>
      </c>
      <c r="D7" s="18">
        <v>0</v>
      </c>
    </row>
    <row r="8" spans="1:4" x14ac:dyDescent="0.25">
      <c r="A8" s="12" t="s">
        <v>8394</v>
      </c>
      <c r="B8" s="19">
        <v>0.8</v>
      </c>
      <c r="C8" s="19">
        <v>0.2</v>
      </c>
      <c r="D8" s="18">
        <v>0</v>
      </c>
    </row>
    <row r="9" spans="1:4" x14ac:dyDescent="0.25">
      <c r="A9" s="12" t="s">
        <v>8395</v>
      </c>
      <c r="B9" s="19">
        <v>0.72727272727272729</v>
      </c>
      <c r="C9" s="19">
        <v>0.27272727272727271</v>
      </c>
      <c r="D9" s="18">
        <v>0</v>
      </c>
    </row>
    <row r="10" spans="1:4" x14ac:dyDescent="0.25">
      <c r="A10" s="12" t="s">
        <v>8396</v>
      </c>
      <c r="B10" s="19">
        <v>0.33333333333333331</v>
      </c>
      <c r="C10" s="19">
        <v>0.66666666666666663</v>
      </c>
      <c r="D10" s="18">
        <v>0</v>
      </c>
    </row>
    <row r="11" spans="1:4" x14ac:dyDescent="0.25">
      <c r="A11" s="12" t="s">
        <v>8397</v>
      </c>
      <c r="B11" s="19">
        <v>0.33333333333333331</v>
      </c>
      <c r="C11" s="19">
        <v>0.66666666666666663</v>
      </c>
      <c r="D11" s="18">
        <v>0</v>
      </c>
    </row>
    <row r="12" spans="1:4" x14ac:dyDescent="0.25">
      <c r="A12" s="12" t="s">
        <v>8398</v>
      </c>
      <c r="B12" s="19">
        <v>1</v>
      </c>
      <c r="C12" s="19">
        <v>0</v>
      </c>
      <c r="D12" s="18">
        <v>0</v>
      </c>
    </row>
    <row r="13" spans="1:4" x14ac:dyDescent="0.25">
      <c r="A13" s="12" t="s">
        <v>8399</v>
      </c>
      <c r="B13" s="19">
        <v>0.83333333333333337</v>
      </c>
      <c r="C13" s="19">
        <v>0.16666666666666666</v>
      </c>
      <c r="D13" s="18">
        <v>0</v>
      </c>
    </row>
    <row r="14" spans="1:4" x14ac:dyDescent="0.25">
      <c r="A14" s="12" t="s">
        <v>8361</v>
      </c>
      <c r="B14" s="19">
        <v>6.4753077019927376</v>
      </c>
      <c r="C14" s="19">
        <v>5.5246922980072624</v>
      </c>
      <c r="D14" s="18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Spreadsheet</vt:lpstr>
      <vt:lpstr>Pivot1</vt:lpstr>
      <vt:lpstr>Outcomes Based on Launch Date</vt:lpstr>
      <vt:lpstr>Edinburgh Research</vt:lpstr>
      <vt:lpstr>Theater Outcomes by Launch Date</vt:lpstr>
      <vt:lpstr>Outcomes Based on Goals</vt:lpstr>
      <vt:lpstr>Pivot - 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Parker Jones</cp:lastModifiedBy>
  <dcterms:created xsi:type="dcterms:W3CDTF">2017-04-20T15:17:24Z</dcterms:created>
  <dcterms:modified xsi:type="dcterms:W3CDTF">2022-04-18T22:39:18Z</dcterms:modified>
</cp:coreProperties>
</file>