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CHOOL\Analysis Projects\Module 1 - Kickstarter\"/>
    </mc:Choice>
  </mc:AlternateContent>
  <xr:revisionPtr revIDLastSave="0" documentId="13_ncr:1_{8B09F715-F47A-4F75-8833-1F3B15968182}" xr6:coauthVersionLast="47" xr6:coauthVersionMax="47" xr10:uidLastSave="{00000000-0000-0000-0000-000000000000}"/>
  <bookViews>
    <workbookView xWindow="-120" yWindow="-120" windowWidth="28110" windowHeight="16440" tabRatio="614" activeTab="5" xr2:uid="{00000000-000D-0000-FFFF-FFFF00000000}"/>
  </bookViews>
  <sheets>
    <sheet name="Spreadsheet" sheetId="1" r:id="rId1"/>
    <sheet name="Pivot1" sheetId="2" r:id="rId2"/>
    <sheet name="Outcomes Based on Launch Date" sheetId="3" r:id="rId3"/>
    <sheet name="Edinburgh Research" sheetId="4" r:id="rId4"/>
    <sheet name="Theater Outcomes by Launch Date" sheetId="5" r:id="rId5"/>
    <sheet name="Outcomes Based on Goals" sheetId="6" r:id="rId6"/>
    <sheet name="Pivot - Outcomes Based on Goals" sheetId="7" r:id="rId7"/>
  </sheets>
  <externalReferences>
    <externalReference r:id="rId8"/>
  </externalReferences>
  <definedNames>
    <definedName name="_xlnm._FilterDatabase" localSheetId="0" hidden="1">Spreadsheet!$F$1:$F$4115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D3" i="6"/>
  <c r="C3" i="6"/>
  <c r="D2" i="6"/>
  <c r="C2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3" i="4"/>
  <c r="F4" i="4"/>
  <c r="F5" i="4"/>
  <c r="F6" i="4"/>
  <c r="F2" i="4"/>
  <c r="E2" i="4"/>
  <c r="E3" i="4"/>
  <c r="E4" i="4"/>
  <c r="E5" i="4"/>
  <c r="E6" i="4"/>
  <c r="D2" i="4"/>
  <c r="D4" i="4"/>
  <c r="D3" i="4"/>
  <c r="D5" i="4"/>
  <c r="D6" i="4"/>
  <c r="C3" i="4"/>
  <c r="C4" i="4"/>
  <c r="C5" i="4"/>
  <c r="C6" i="4"/>
  <c r="C2" i="4"/>
  <c r="B3" i="4"/>
  <c r="B4" i="4"/>
  <c r="B5" i="4"/>
  <c r="B6" i="4"/>
  <c r="B2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<sst xmlns="http://schemas.openxmlformats.org/spreadsheetml/2006/main" count="33077" uniqueCount="8404">
  <si>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</si>
  <si>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</si>
  <si>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</si>
  <si>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</si>
  <si>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</si>
  <si>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</si>
  <si>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</si>
  <si>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</si>
  <si>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</si>
  <si>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</si>
  <si>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</si>
  <si>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</si>
  <si>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</si>
  <si>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</si>
  <si>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</si>
  <si>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</si>
  <si>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</si>
  <si>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</si>
  <si>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</si>
  <si>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</si>
  <si>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</si>
  <si>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</si>
  <si>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</si>
  <si>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</si>
  <si>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</si>
  <si>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</si>
  <si>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</si>
  <si>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</si>
  <si>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</si>
  <si>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</si>
  <si>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</si>
  <si>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</si>
  <si>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</si>
  <si>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</si>
  <si>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</si>
  <si>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</si>
  <si>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</si>
  <si>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</si>
  <si>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</si>
  <si>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</si>
  <si>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</si>
  <si>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</si>
  <si>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</si>
  <si>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</si>
  <si>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</si>
  <si>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</si>
  <si>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</si>
  <si>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</si>
  <si>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</si>
  <si>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</si>
  <si>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</si>
  <si>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</si>
  <si>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</si>
  <si>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</si>
  <si>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</si>
  <si>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</si>
  <si>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</si>
  <si>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</si>
  <si>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</si>
  <si>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</si>
  <si>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</si>
  <si>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</si>
  <si>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</si>
  <si>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</si>
  <si>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</si>
  <si>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</si>
  <si>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</si>
  <si>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</si>
  <si>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</si>
  <si>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</si>
  <si>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</si>
  <si>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</si>
  <si>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</si>
  <si>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</si>
  <si>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</si>
  <si>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</si>
  <si>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</si>
  <si>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</si>
  <si>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</si>
  <si>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</si>
  <si>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</si>
  <si>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</si>
  <si>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</si>
  <si>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</si>
  <si>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</si>
  <si>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</si>
  <si>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</si>
  <si>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</si>
  <si>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</si>
  <si>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</si>
  <si>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</si>
  <si>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</si>
  <si>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</si>
  <si>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</si>
  <si>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</si>
  <si>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</si>
  <si>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</si>
  <si>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</si>
  <si>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</si>
  <si>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</si>
  <si>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</si>
  <si>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</si>
  <si>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</si>
  <si>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</si>
  <si>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</si>
  <si>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</si>
  <si>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</si>
  <si>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</si>
  <si>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</si>
  <si>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</si>
  <si>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</si>
  <si>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</si>
  <si>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</si>
  <si>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</si>
  <si>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</si>
  <si>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</si>
  <si>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</si>
  <si>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</si>
  <si>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</si>
  <si>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</si>
  <si>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</si>
  <si>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</si>
  <si>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</si>
  <si>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</si>
  <si>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</si>
  <si>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</si>
  <si>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</si>
  <si>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</si>
  <si>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</si>
  <si>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</si>
  <si>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</si>
  <si>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</si>
  <si>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</si>
  <si>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</si>
  <si>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</si>
  <si>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</si>
  <si>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</si>
  <si>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</si>
  <si>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</si>
  <si>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</si>
  <si>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</si>
  <si>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</si>
  <si>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</si>
  <si>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</si>
  <si>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</si>
  <si>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</si>
  <si>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</si>
  <si>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</si>
  <si>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</si>
  <si>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</si>
  <si>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</si>
  <si>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</si>
  <si>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</si>
  <si>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</si>
  <si>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</si>
  <si>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</si>
  <si>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</si>
  <si>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</si>
  <si>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</si>
  <si>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</si>
  <si>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</si>
  <si>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</si>
  <si>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</si>
  <si>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</si>
  <si>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</si>
  <si>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</si>
  <si>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</si>
  <si>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</si>
  <si>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</si>
  <si>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</si>
  <si>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</si>
  <si>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</si>
  <si>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</si>
  <si>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</si>
  <si>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</si>
  <si>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</si>
  <si>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</si>
  <si>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</si>
  <si>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</si>
  <si>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</si>
  <si>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</si>
  <si>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</si>
  <si>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</si>
  <si>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</si>
  <si>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</si>
  <si>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</si>
  <si>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</si>
  <si>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</si>
  <si>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</si>
  <si>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</si>
  <si>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</si>
  <si>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</si>
  <si>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</si>
  <si>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</si>
  <si>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</si>
  <si>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</si>
  <si>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</si>
  <si>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</si>
  <si>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</si>
  <si>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</si>
  <si>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</si>
  <si>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</si>
  <si>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</si>
  <si>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</si>
  <si>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</si>
  <si>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</si>
  <si>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</si>
  <si>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</si>
  <si>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</si>
  <si>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</si>
  <si>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</si>
  <si>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</si>
  <si>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</si>
  <si>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</si>
  <si>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</si>
  <si>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</si>
  <si>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</si>
  <si>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</si>
  <si>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</si>
  <si>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</si>
  <si>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</si>
  <si>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</si>
  <si>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</si>
  <si>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</si>
  <si>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</si>
  <si>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</si>
  <si>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</si>
  <si>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</si>
  <si>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</si>
  <si>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</si>
  <si>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</si>
  <si>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</si>
  <si>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</si>
  <si>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</si>
  <si>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</si>
  <si>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</si>
  <si>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</si>
  <si>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</si>
  <si>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</si>
  <si>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</si>
  <si>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</si>
  <si>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</si>
  <si>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</si>
  <si>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</si>
  <si>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</si>
  <si>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</si>
  <si>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</si>
  <si>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</si>
  <si>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</si>
  <si>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</si>
  <si>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</si>
  <si>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</si>
  <si>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</si>
  <si>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</si>
  <si>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</si>
  <si>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</si>
  <si>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</si>
  <si>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</si>
  <si>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</si>
  <si>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</si>
  <si>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</si>
  <si>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</si>
  <si>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</si>
  <si>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</si>
  <si>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</si>
  <si>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</si>
  <si>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</si>
  <si>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</si>
  <si>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</si>
  <si>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</si>
  <si>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</si>
  <si>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</si>
  <si>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</si>
  <si>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</si>
  <si>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</si>
  <si>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</si>
  <si>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</si>
  <si>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</si>
  <si>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</si>
  <si>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</si>
  <si>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</si>
  <si>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</si>
  <si>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</si>
  <si>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</si>
  <si>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</si>
  <si>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</si>
  <si>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</si>
  <si>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</si>
  <si>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</si>
  <si>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</si>
  <si>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</si>
  <si>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</si>
  <si>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</si>
  <si>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</si>
  <si>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</si>
  <si>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</si>
  <si>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</si>
  <si>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</si>
  <si>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</si>
  <si>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</si>
  <si>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</si>
  <si>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</si>
  <si>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</si>
  <si>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</si>
  <si>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</si>
  <si>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</si>
  <si>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</si>
  <si>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</si>
  <si>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</si>
  <si>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</si>
  <si>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</si>
  <si>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</si>
  <si>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</si>
  <si>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</si>
  <si>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</si>
  <si>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</si>
  <si>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</si>
  <si>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</si>
  <si>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</si>
  <si>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</si>
  <si>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</si>
  <si>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</si>
  <si>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</si>
  <si>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</si>
  <si>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</si>
  <si>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</si>
  <si>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</si>
  <si>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</si>
  <si>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</si>
  <si>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</si>
  <si>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</si>
  <si>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</si>
  <si>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</si>
  <si>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</si>
  <si>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</si>
  <si>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</si>
  <si>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</si>
  <si>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</si>
  <si>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</si>
  <si>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</si>
  <si>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</si>
  <si>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</si>
  <si>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</si>
  <si>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</si>
  <si>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</si>
  <si>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</si>
  <si>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</si>
  <si>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</si>
  <si>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</si>
  <si>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</si>
  <si>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</si>
  <si>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</si>
  <si>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</si>
  <si>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</si>
  <si>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</si>
  <si>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</si>
  <si>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</si>
  <si>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</si>
  <si>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</si>
  <si>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</si>
  <si>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</si>
  <si>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</si>
  <si>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</si>
  <si>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</si>
  <si>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</si>
  <si>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</si>
  <si>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</si>
  <si>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</si>
  <si>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</si>
  <si>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</si>
  <si>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</si>
  <si>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</si>
  <si>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</si>
  <si>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</si>
  <si>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</si>
  <si>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</si>
  <si>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</si>
  <si>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</si>
  <si>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</si>
  <si>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</si>
  <si>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</si>
  <si>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</si>
  <si>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</si>
  <si>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</si>
  <si>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</si>
  <si>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</si>
  <si>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</si>
  <si>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</si>
  <si>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</si>
  <si>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</si>
  <si>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</si>
  <si>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</si>
  <si>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</si>
  <si>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</si>
  <si>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</si>
  <si>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</si>
  <si>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</si>
  <si>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</si>
  <si>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</si>
  <si>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</si>
  <si>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</si>
  <si>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</si>
  <si>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</si>
  <si>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</si>
  <si>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</si>
  <si>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</si>
  <si>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</si>
  <si>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</si>
  <si>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</si>
  <si>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</si>
  <si>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</si>
  <si>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</si>
  <si>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</si>
  <si>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</si>
  <si>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</si>
  <si>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</si>
  <si>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</si>
  <si>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</si>
  <si>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</si>
  <si>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</si>
  <si>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</si>
  <si>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</si>
  <si>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</si>
  <si>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</si>
  <si>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</si>
  <si>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</si>
  <si>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</si>
  <si>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</si>
  <si>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</si>
  <si>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</si>
  <si>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</si>
  <si>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</si>
  <si>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</si>
  <si>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</si>
  <si>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</si>
  <si>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</si>
  <si>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</si>
  <si>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</si>
  <si>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</si>
  <si>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</si>
  <si>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</si>
  <si>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</si>
  <si>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</si>
  <si>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</si>
  <si>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</si>
  <si>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</si>
  <si>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</si>
  <si>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</si>
  <si>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</si>
  <si>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</si>
  <si>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</si>
  <si>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</si>
  <si>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</si>
  <si>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</si>
  <si>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</si>
  <si>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</si>
  <si>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</si>
  <si>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</si>
  <si>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</si>
  <si>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</si>
  <si>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</si>
  <si>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</si>
  <si>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</si>
  <si>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</si>
  <si>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</si>
  <si>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</si>
  <si>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</si>
  <si>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</si>
  <si>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</si>
  <si>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</si>
  <si>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</si>
  <si>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</si>
  <si>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</si>
  <si>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</si>
  <si>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</si>
  <si>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</si>
  <si>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</si>
  <si>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</si>
  <si>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</si>
  <si>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</si>
  <si>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</si>
  <si>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</si>
  <si>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</si>
  <si>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</si>
  <si>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</si>
  <si>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</si>
  <si>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</si>
  <si>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</si>
  <si>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</si>
  <si>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</si>
  <si>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</si>
  <si>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</si>
  <si>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</si>
  <si>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</si>
  <si>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</si>
  <si>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</si>
  <si>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</si>
  <si>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</si>
  <si>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</si>
  <si>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</si>
  <si>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</si>
  <si>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</si>
  <si>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</si>
  <si>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</si>
  <si>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</si>
  <si>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</si>
  <si>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</si>
  <si>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</si>
  <si>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</si>
  <si>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</si>
  <si>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</si>
  <si>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</si>
  <si>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</si>
  <si>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</si>
  <si>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</si>
  <si>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</si>
  <si>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</si>
  <si>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</si>
  <si>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</si>
  <si>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</si>
  <si>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</si>
  <si>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</si>
  <si>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</si>
  <si>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</si>
  <si>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</si>
  <si>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</si>
  <si>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</si>
  <si>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</si>
  <si>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</si>
  <si>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</si>
  <si>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</si>
  <si>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</si>
  <si>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</si>
  <si>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</si>
  <si>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</si>
  <si>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</si>
  <si>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</si>
  <si>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</si>
  <si>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</si>
  <si>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</si>
  <si>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</si>
  <si>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</si>
  <si>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</si>
  <si>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</si>
  <si>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</si>
  <si>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</si>
  <si>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</si>
  <si>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</si>
  <si>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</si>
  <si>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</si>
  <si>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</si>
  <si>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</si>
  <si>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</si>
  <si>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</si>
  <si>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</si>
  <si>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</si>
  <si>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</si>
  <si>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</si>
  <si>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</si>
  <si>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</si>
  <si>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</si>
  <si>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</si>
  <si>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</si>
  <si>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</si>
  <si>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</si>
  <si>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</si>
  <si>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</si>
  <si>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</si>
  <si>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</si>
  <si>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</si>
  <si>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</si>
  <si>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</si>
  <si>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</si>
  <si>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</si>
  <si>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</si>
  <si>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</si>
  <si>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</si>
  <si>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</si>
  <si>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</si>
  <si>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</si>
  <si>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</si>
  <si>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</si>
  <si>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</si>
  <si>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</si>
  <si>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</si>
  <si>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</si>
  <si>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</si>
  <si>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</si>
  <si>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</si>
  <si>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</si>
  <si>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</si>
  <si>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</si>
  <si>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</si>
  <si>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</si>
  <si>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</si>
  <si>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</si>
  <si>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</si>
  <si>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</si>
  <si>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</si>
  <si>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</si>
  <si>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</si>
  <si>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</si>
  <si>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</si>
  <si>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</si>
  <si>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</si>
  <si>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</si>
  <si>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</si>
  <si>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</si>
  <si>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</si>
  <si>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</si>
  <si>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</si>
  <si>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</si>
  <si>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</si>
  <si>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</si>
  <si>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</si>
  <si>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</si>
  <si>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</si>
  <si>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</si>
  <si>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</si>
  <si>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</si>
  <si>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</si>
  <si>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</si>
  <si>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</si>
  <si>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</si>
  <si>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</si>
  <si>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</si>
  <si>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</si>
  <si>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</si>
  <si>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</si>
  <si>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</si>
  <si>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</si>
  <si>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</si>
  <si>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</si>
  <si>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</si>
  <si>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</si>
  <si>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</si>
  <si>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</si>
  <si>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</si>
  <si>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</si>
  <si>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</si>
  <si>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</si>
  <si>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</si>
  <si>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</si>
  <si>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</si>
  <si>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</si>
  <si>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</si>
  <si>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</si>
  <si>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</si>
  <si>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</si>
  <si>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</si>
  <si>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</si>
  <si>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</si>
  <si>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</si>
  <si>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</si>
  <si>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</si>
  <si>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</si>
  <si>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</si>
  <si>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</si>
  <si>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</si>
  <si>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</si>
  <si>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</si>
  <si>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</si>
  <si>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</si>
  <si>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</si>
  <si>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</si>
  <si>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</si>
  <si>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</si>
  <si>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</si>
  <si>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</si>
  <si>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</si>
  <si>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</si>
  <si>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</si>
  <si>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</si>
  <si>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</si>
  <si>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</si>
  <si>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</si>
  <si>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</si>
  <si>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</si>
  <si>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</si>
  <si>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</si>
  <si>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</si>
  <si>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</si>
  <si>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</si>
  <si>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</si>
  <si>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</si>
  <si>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</si>
  <si>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</si>
  <si>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</si>
  <si>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</si>
  <si>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</si>
  <si>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</si>
  <si>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</si>
  <si>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</si>
  <si>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</si>
  <si>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</si>
  <si>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</si>
  <si>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</si>
  <si>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</si>
  <si>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</si>
  <si>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</si>
  <si>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</si>
  <si>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</si>
  <si>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</si>
  <si>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</si>
  <si>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</si>
  <si>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</si>
  <si>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</si>
  <si>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</si>
  <si>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</si>
  <si>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</si>
  <si>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</si>
  <si>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</si>
  <si>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</si>
  <si>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</si>
  <si>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</si>
  <si>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</si>
  <si>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</si>
  <si>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</si>
  <si>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</si>
  <si>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</si>
  <si>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</si>
  <si>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</si>
  <si>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</si>
  <si>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</si>
  <si>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</si>
  <si>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</si>
  <si>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</si>
  <si>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</si>
  <si>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</si>
  <si>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</si>
  <si>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</si>
  <si>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</si>
  <si>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</si>
  <si>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</si>
  <si>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</si>
  <si>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</si>
  <si>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</si>
  <si>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</si>
  <si>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</si>
  <si>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</si>
  <si>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</si>
  <si>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</si>
  <si>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</si>
  <si>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</si>
  <si>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</si>
  <si>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</si>
  <si>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</si>
  <si>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</si>
  <si>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</si>
  <si>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</si>
  <si>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</si>
  <si>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</si>
  <si>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</si>
  <si>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</si>
  <si>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</si>
  <si>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</si>
  <si>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</si>
  <si>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</si>
  <si>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</si>
  <si>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</si>
  <si>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</si>
  <si>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</si>
  <si>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</si>
  <si>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</si>
  <si>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</si>
  <si>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</si>
  <si>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</si>
  <si>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</si>
  <si>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</si>
  <si>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</si>
  <si>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</si>
  <si>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</si>
  <si>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</si>
  <si>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</si>
  <si>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</si>
  <si>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</si>
  <si>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</si>
  <si>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</si>
  <si>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</si>
  <si>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</si>
  <si>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</si>
  <si>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</si>
  <si>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</si>
  <si>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</si>
  <si>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</si>
  <si>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</si>
  <si>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</si>
  <si>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</si>
  <si>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</si>
  <si>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</si>
  <si>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</si>
  <si>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</si>
  <si>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</si>
  <si>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</si>
  <si>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</si>
  <si>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</si>
  <si>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</si>
  <si>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</si>
  <si>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</si>
  <si>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</si>
  <si>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</si>
  <si>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</si>
  <si>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</si>
  <si>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</si>
  <si>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</si>
  <si>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</si>
  <si>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</si>
  <si>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</si>
  <si>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</si>
  <si>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</si>
  <si>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</si>
  <si>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</si>
  <si>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</si>
  <si>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</si>
  <si>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</si>
  <si>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</si>
  <si>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</si>
  <si>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</si>
  <si>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</si>
  <si>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</si>
  <si>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</si>
  <si>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</si>
  <si>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</si>
  <si>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</si>
  <si>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</si>
  <si>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</si>
  <si>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</si>
  <si>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</si>
  <si>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</si>
  <si>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</si>
  <si>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</si>
  <si>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</si>
  <si>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</si>
  <si>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</si>
  <si>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</si>
  <si>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</si>
  <si>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</si>
  <si>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</si>
  <si>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</si>
  <si>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</si>
  <si>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</si>
  <si>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</si>
  <si>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</si>
  <si>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</si>
  <si>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</si>
  <si>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</si>
  <si>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</si>
  <si>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</si>
  <si>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</si>
  <si>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</si>
  <si>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</si>
  <si>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</si>
  <si>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</si>
  <si>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</si>
  <si>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</si>
  <si>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</si>
  <si>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</si>
  <si>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</si>
  <si>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</si>
  <si>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</si>
  <si>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</si>
  <si>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</si>
  <si>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</si>
  <si>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</si>
  <si>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</si>
  <si>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</si>
  <si>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</si>
  <si>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</si>
  <si>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</si>
  <si>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</si>
  <si>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</si>
  <si>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</si>
  <si>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</si>
  <si>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</si>
  <si>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</si>
  <si>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</si>
  <si>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</si>
  <si>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</si>
  <si>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</si>
  <si>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</si>
  <si>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</si>
  <si>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</si>
  <si>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</si>
  <si>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</si>
  <si>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</si>
  <si>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</si>
  <si>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</si>
  <si>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</si>
  <si>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</si>
  <si>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</si>
  <si>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</si>
  <si>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</si>
  <si>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</si>
  <si>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</si>
  <si>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</si>
  <si>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</si>
  <si>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</si>
  <si>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</si>
  <si>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</si>
  <si>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</si>
  <si>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</si>
  <si>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</si>
  <si>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</si>
  <si>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</si>
  <si>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</si>
  <si>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</si>
  <si>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</si>
  <si>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</si>
  <si>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</si>
  <si>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</si>
  <si>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</si>
  <si>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</si>
  <si>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</si>
  <si>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</si>
  <si>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</si>
  <si>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</si>
  <si>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</si>
  <si>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</si>
  <si>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</si>
  <si>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</si>
  <si>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</si>
  <si>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</si>
  <si>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</si>
  <si>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</si>
  <si>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</si>
  <si>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</si>
  <si>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</si>
  <si>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</si>
  <si>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</si>
  <si>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</si>
  <si>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</si>
  <si>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</si>
  <si>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</si>
  <si>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</si>
  <si>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</si>
  <si>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</si>
  <si>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</si>
  <si>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</si>
  <si>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</si>
  <si>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</si>
  <si>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</si>
  <si>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</si>
  <si>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</si>
  <si>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</si>
  <si>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</si>
  <si>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</si>
  <si>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</si>
  <si>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</si>
  <si>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</si>
  <si>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</si>
  <si>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</si>
  <si>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</si>
  <si>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</si>
  <si>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</si>
  <si>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</si>
  <si>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</si>
  <si>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</si>
  <si>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</si>
  <si>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</si>
  <si>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</si>
  <si>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</si>
  <si>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</si>
  <si>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</si>
  <si>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</si>
  <si>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</si>
  <si>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</si>
  <si>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</si>
  <si>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</si>
  <si>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</si>
  <si>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</si>
  <si>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</si>
  <si>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</si>
  <si>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</si>
  <si>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</si>
  <si>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</si>
  <si>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</si>
  <si>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</si>
  <si>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</si>
  <si>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</si>
  <si>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</si>
  <si>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</si>
  <si>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</si>
  <si>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</si>
  <si>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</si>
  <si>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</si>
  <si>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</si>
  <si>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</si>
  <si>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</si>
  <si>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</si>
  <si>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</si>
  <si>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</si>
  <si>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</si>
  <si>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</si>
  <si>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</si>
  <si>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</si>
  <si>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</si>
  <si>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</si>
  <si>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</si>
  <si>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</si>
  <si>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</si>
  <si>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</si>
  <si>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</si>
  <si>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</si>
  <si>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</si>
  <si>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</si>
  <si>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</si>
  <si>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</si>
  <si>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</si>
  <si>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</si>
  <si>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</si>
  <si>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</si>
  <si>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</si>
  <si>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</si>
  <si>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</si>
  <si>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</si>
  <si>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</si>
  <si>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</si>
  <si>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</si>
  <si>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</si>
  <si>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</si>
  <si>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</si>
  <si>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</si>
  <si>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</si>
  <si>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</si>
  <si>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</si>
  <si>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</si>
  <si>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</si>
  <si>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</si>
  <si>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</si>
  <si>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</si>
  <si>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</si>
  <si>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</si>
  <si>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</si>
  <si>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</si>
  <si>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</si>
  <si>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</si>
  <si>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</si>
  <si>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</si>
  <si>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</si>
  <si>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</si>
  <si>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</si>
  <si>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</si>
  <si>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</si>
  <si>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</si>
  <si>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</si>
  <si>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</si>
  <si>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</si>
  <si>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</si>
  <si>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</si>
  <si>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</si>
  <si>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</si>
  <si>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</si>
  <si>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</si>
  <si>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</si>
  <si>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</si>
  <si>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</si>
  <si>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</si>
  <si>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</si>
  <si>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</si>
  <si>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</si>
  <si>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</si>
  <si>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</si>
  <si>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</si>
  <si>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</si>
  <si>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</si>
  <si>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</si>
  <si>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</si>
  <si>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</si>
  <si>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</si>
  <si>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</si>
  <si>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</si>
  <si>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</si>
  <si>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</si>
  <si>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</si>
  <si>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</si>
  <si>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</si>
  <si>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</si>
  <si>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</si>
  <si>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</si>
  <si>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</si>
  <si>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</si>
  <si>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</si>
  <si>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</si>
  <si>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</si>
  <si>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</si>
  <si>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</si>
  <si>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</si>
  <si>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</si>
  <si>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</si>
  <si>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</si>
  <si>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</si>
  <si>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</si>
  <si>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</si>
  <si>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</si>
  <si>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</si>
  <si>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</si>
  <si>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</si>
  <si>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</si>
  <si>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</si>
  <si>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</si>
  <si>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</si>
  <si>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</si>
  <si>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</si>
  <si>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</si>
  <si>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</si>
  <si>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</si>
  <si>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</si>
  <si>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</si>
  <si>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</si>
  <si>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</si>
  <si>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</si>
  <si>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</si>
  <si>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</si>
  <si>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</si>
  <si>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</si>
  <si>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</si>
  <si>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</si>
  <si>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</si>
  <si>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</si>
  <si>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</si>
  <si>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</si>
  <si>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</si>
  <si>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</si>
  <si>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</si>
  <si>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</si>
  <si>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</si>
  <si>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</si>
  <si>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</si>
  <si>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</si>
  <si>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</si>
  <si>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</si>
  <si>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</si>
  <si>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</si>
  <si>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</si>
  <si>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</si>
  <si>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</si>
  <si>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</si>
  <si>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</si>
  <si>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</si>
  <si>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</si>
  <si>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</si>
  <si>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</si>
  <si>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</si>
  <si>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</si>
  <si>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</si>
  <si>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</si>
  <si>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</si>
  <si>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</si>
  <si>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</si>
  <si>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</si>
  <si>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</si>
  <si>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</si>
  <si>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</si>
  <si>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</si>
  <si>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</si>
  <si>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</si>
  <si>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</si>
  <si>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</si>
  <si>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</si>
  <si>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</si>
  <si>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</si>
  <si>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</si>
  <si>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</si>
  <si>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</si>
  <si>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</si>
  <si>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</si>
  <si>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</si>
  <si>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</si>
  <si>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</si>
  <si>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</si>
  <si>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</si>
  <si>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</si>
  <si>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</si>
  <si>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</si>
  <si>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</si>
  <si>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</si>
  <si>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</si>
  <si>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</si>
  <si>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</si>
  <si>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</si>
  <si>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</si>
  <si>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</si>
  <si>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</si>
  <si>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</si>
  <si>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</si>
  <si>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</si>
  <si>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</si>
  <si>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</si>
  <si>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</si>
  <si>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</si>
  <si>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</si>
  <si>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</si>
  <si>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</si>
  <si>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</si>
  <si>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</si>
  <si>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</si>
  <si>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</si>
  <si>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</si>
  <si>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</si>
  <si>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</si>
  <si>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</si>
  <si>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</si>
  <si>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</si>
  <si>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</si>
  <si>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</si>
  <si>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</si>
  <si>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</si>
  <si>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</si>
  <si>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</si>
  <si>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</si>
  <si>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</si>
  <si>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</si>
  <si>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</si>
  <si>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</si>
  <si>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</si>
  <si>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</si>
  <si>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</si>
  <si>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</si>
  <si>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</si>
  <si>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</si>
  <si>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</si>
  <si>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</si>
  <si>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</si>
  <si>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</si>
  <si>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</si>
  <si>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</si>
  <si>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</si>
  <si>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</si>
  <si>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</si>
  <si>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</si>
  <si>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</si>
  <si>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</si>
  <si>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</si>
  <si>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</si>
  <si>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</si>
  <si>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</si>
  <si>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</si>
  <si>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</si>
  <si>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</si>
  <si>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</si>
  <si>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</si>
  <si>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</si>
  <si>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</si>
  <si>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</si>
  <si>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</si>
  <si>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</si>
  <si>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</si>
  <si>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</si>
  <si>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</si>
  <si>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</si>
  <si>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</si>
  <si>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</si>
  <si>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</si>
  <si>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</si>
  <si>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</si>
  <si>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</si>
  <si>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</si>
  <si>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</si>
  <si>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</si>
  <si>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</si>
  <si>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</si>
  <si>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</si>
  <si>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</si>
  <si>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</si>
  <si>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</si>
  <si>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</si>
  <si>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</si>
  <si>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</si>
  <si>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</si>
  <si>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</si>
  <si>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</si>
  <si>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</si>
  <si>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</si>
  <si>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</si>
  <si>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</si>
  <si>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</si>
  <si>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</si>
  <si>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</si>
  <si>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</si>
  <si>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</si>
  <si>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</si>
  <si>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</si>
  <si>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</si>
  <si>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</si>
  <si>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</si>
  <si>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</si>
  <si>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</si>
  <si>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</si>
  <si>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</si>
  <si>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</si>
  <si>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</si>
  <si>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</si>
  <si>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</si>
  <si>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</si>
  <si>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</si>
  <si>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</si>
  <si>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</si>
  <si>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</si>
  <si>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</si>
  <si>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</si>
  <si>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</si>
  <si>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</si>
  <si>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</si>
  <si>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</si>
  <si>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</si>
  <si>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</si>
  <si>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</si>
  <si>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</si>
  <si>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</si>
  <si>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</si>
  <si>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</si>
  <si>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</si>
  <si>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</si>
  <si>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</si>
  <si>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</si>
  <si>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</si>
  <si>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</si>
  <si>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</si>
  <si>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</si>
  <si>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</si>
  <si>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</si>
  <si>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</si>
  <si>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</si>
  <si>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</si>
  <si>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</si>
  <si>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</si>
  <si>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</si>
  <si>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</si>
  <si>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</si>
  <si>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</si>
  <si>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</si>
  <si>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</si>
  <si>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</si>
  <si>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</si>
  <si>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</si>
  <si>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</si>
  <si>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</si>
  <si>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</si>
  <si>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</si>
  <si>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</si>
  <si>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</si>
  <si>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</si>
  <si>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</si>
  <si>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</si>
  <si>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</si>
  <si>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</si>
  <si>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</si>
  <si>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</si>
  <si>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</si>
  <si>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</si>
  <si>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</si>
  <si>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</si>
  <si>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</si>
  <si>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</si>
  <si>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</si>
  <si>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</si>
  <si>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</si>
  <si>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</si>
  <si>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</si>
  <si>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</si>
  <si>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</si>
  <si>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</si>
  <si>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</si>
  <si>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</si>
  <si>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</si>
  <si>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</si>
  <si>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</si>
  <si>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</si>
  <si>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</si>
  <si>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</si>
  <si>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</si>
  <si>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</si>
  <si>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</si>
  <si>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</si>
  <si>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</si>
  <si>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</si>
  <si>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</si>
  <si>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</si>
  <si>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</si>
  <si>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</si>
  <si>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</si>
  <si>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</si>
  <si>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</si>
  <si>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</si>
  <si>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</si>
  <si>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</si>
  <si>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</si>
  <si>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</si>
  <si>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</si>
  <si>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</si>
  <si>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</si>
  <si>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</si>
  <si>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</si>
  <si>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</si>
  <si>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</si>
  <si>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</si>
  <si>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</si>
  <si>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</si>
  <si>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</si>
  <si>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</si>
  <si>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</si>
  <si>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</si>
  <si>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</si>
  <si>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</si>
  <si>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</si>
  <si>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</si>
  <si>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</si>
  <si>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</si>
  <si>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</si>
  <si>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</si>
  <si>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</si>
  <si>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</si>
  <si>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</si>
  <si>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</si>
  <si>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</si>
  <si>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</si>
  <si>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</si>
  <si>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</si>
  <si>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</si>
  <si>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</si>
  <si>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</si>
  <si>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</si>
  <si>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</si>
  <si>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</si>
  <si>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</si>
  <si>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</si>
  <si>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</si>
  <si>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</si>
  <si>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</si>
  <si>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</si>
  <si>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</si>
  <si>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</si>
  <si>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</si>
  <si>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</si>
  <si>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</si>
  <si>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</si>
  <si>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</si>
  <si>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</si>
  <si>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</si>
  <si>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</si>
  <si>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</si>
  <si>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</si>
  <si>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</si>
  <si>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</si>
  <si>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</si>
  <si>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</si>
  <si>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</si>
  <si>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</si>
  <si>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</si>
  <si>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</si>
  <si>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</si>
  <si>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</si>
  <si>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</si>
  <si>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</si>
  <si>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</si>
  <si>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</si>
  <si>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</si>
  <si>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</si>
  <si>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</si>
  <si>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</si>
  <si>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</si>
  <si>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</si>
  <si>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</si>
  <si>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</si>
  <si>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</si>
  <si>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</si>
  <si>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</si>
  <si>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</si>
  <si>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</si>
  <si>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</si>
  <si>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</si>
  <si>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</si>
  <si>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</si>
  <si>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</si>
  <si>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</si>
  <si>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</si>
  <si>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</si>
  <si>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</si>
  <si>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</si>
  <si>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</si>
  <si>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</si>
  <si>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</si>
  <si>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</si>
  <si>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</si>
  <si>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</si>
  <si>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</si>
  <si>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</si>
  <si>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</si>
  <si>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</si>
  <si>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</si>
  <si>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</si>
  <si>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</si>
  <si>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</si>
  <si>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</si>
  <si>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</si>
  <si>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</si>
  <si>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</si>
  <si>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</si>
  <si>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</si>
  <si>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</si>
  <si>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</si>
  <si>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</si>
  <si>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</si>
  <si>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</si>
  <si>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</si>
  <si>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</si>
  <si>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</si>
  <si>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</si>
  <si>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</si>
  <si>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</si>
  <si>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</si>
  <si>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</si>
  <si>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</si>
  <si>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</si>
  <si>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</si>
  <si>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</si>
  <si>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</si>
  <si>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</si>
  <si>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</si>
  <si>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</si>
  <si>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</si>
  <si>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</si>
  <si>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</si>
  <si>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</si>
  <si>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</si>
  <si>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</si>
  <si>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</si>
  <si>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</si>
  <si>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</si>
  <si>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</si>
  <si>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</si>
  <si>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</si>
  <si>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</si>
  <si>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</si>
  <si>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</si>
  <si>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</si>
  <si>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</si>
  <si>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</si>
  <si>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</si>
  <si>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</si>
  <si>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</si>
  <si>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</si>
  <si>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</si>
  <si>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</si>
  <si>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</si>
  <si>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</si>
  <si>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</si>
  <si>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</si>
  <si>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</si>
  <si>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</si>
  <si>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</si>
  <si>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</si>
  <si>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</si>
  <si>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</si>
  <si>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</si>
  <si>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</si>
  <si>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</si>
  <si>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</si>
  <si>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</si>
  <si>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</si>
  <si>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</si>
  <si>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</si>
  <si>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</si>
  <si>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</si>
  <si>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</si>
  <si>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</si>
  <si>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</si>
  <si>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</si>
  <si>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</si>
  <si>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</si>
  <si>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</si>
  <si>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</si>
  <si>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</si>
  <si>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</si>
  <si>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</si>
  <si>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</si>
  <si>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</si>
  <si>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</si>
  <si>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</si>
  <si>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</si>
  <si>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</si>
  <si>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</si>
  <si>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</si>
  <si>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</si>
  <si>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</si>
  <si>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</si>
  <si>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</si>
  <si>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</si>
  <si>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</si>
  <si>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</si>
  <si>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</si>
  <si>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</si>
  <si>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</si>
  <si>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</si>
  <si>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</si>
  <si>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</si>
  <si>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</si>
  <si>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</si>
  <si>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</si>
  <si>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</si>
  <si>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</si>
  <si>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</si>
  <si>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</si>
  <si>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</si>
  <si>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</si>
  <si>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</si>
  <si>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</si>
  <si>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</si>
  <si>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</si>
  <si>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</si>
  <si>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</si>
  <si>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</si>
  <si>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</si>
  <si>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</si>
  <si>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</si>
  <si>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</si>
  <si>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</si>
  <si>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</si>
  <si>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</si>
  <si>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</si>
  <si>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</si>
  <si>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</si>
  <si>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</si>
  <si>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</si>
  <si>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</si>
  <si>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</si>
  <si>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</si>
  <si>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</si>
  <si>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</si>
  <si>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</si>
  <si>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</si>
  <si>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</si>
  <si>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</si>
  <si>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</si>
  <si>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</si>
  <si>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</si>
  <si>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</si>
  <si>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</si>
  <si>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</si>
  <si>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</si>
  <si>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</si>
  <si>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</si>
  <si>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</si>
  <si>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</si>
  <si>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</si>
  <si>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</si>
  <si>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</si>
  <si>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</si>
  <si>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</si>
  <si>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</si>
  <si>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</si>
  <si>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</si>
  <si>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</si>
  <si>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</si>
  <si>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</si>
  <si>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</si>
  <si>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</si>
  <si>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</si>
  <si>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</si>
  <si>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</si>
  <si>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</si>
  <si>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</si>
  <si>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</si>
  <si>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</si>
  <si>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</si>
  <si>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</si>
  <si>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</si>
  <si>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</si>
  <si>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</si>
  <si>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</si>
  <si>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</si>
  <si>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</si>
  <si>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</si>
  <si>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</si>
  <si>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</si>
  <si>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</si>
  <si>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</si>
  <si>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</si>
  <si>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</si>
  <si>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</si>
  <si>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</si>
  <si>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</si>
  <si>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</si>
  <si>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</si>
  <si>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</si>
  <si>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</si>
  <si>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</si>
  <si>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</si>
  <si>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</si>
  <si>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</si>
  <si>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</si>
  <si>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</si>
  <si>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</si>
  <si>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</si>
  <si>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</si>
  <si>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</si>
  <si>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</si>
  <si>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</si>
  <si>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</si>
  <si>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</si>
  <si>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</si>
  <si>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</si>
  <si>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</si>
  <si>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</si>
  <si>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</si>
  <si>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</si>
  <si>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</si>
  <si>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</si>
  <si>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</si>
  <si>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</si>
  <si>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</si>
  <si>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</si>
  <si>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</si>
  <si>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</si>
  <si>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</si>
  <si>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</si>
  <si>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</si>
  <si>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</si>
  <si>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</si>
  <si>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</si>
  <si>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</si>
  <si>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</si>
  <si>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</si>
  <si>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</si>
  <si>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</si>
  <si>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</si>
  <si>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</si>
  <si>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</si>
  <si>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</si>
  <si>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</si>
  <si>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</si>
  <si>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</si>
  <si>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</si>
  <si>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</si>
  <si>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</si>
  <si>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</si>
  <si>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</si>
  <si>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</si>
  <si>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</si>
  <si>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</si>
  <si>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</si>
  <si>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</si>
  <si>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</si>
  <si>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</si>
  <si>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</si>
  <si>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</si>
  <si>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</si>
  <si>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</si>
  <si>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</si>
  <si>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</si>
  <si>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</si>
  <si>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</si>
  <si>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</si>
  <si>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</si>
  <si>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</si>
  <si>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</si>
  <si>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</si>
  <si>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</si>
  <si>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</si>
  <si>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</si>
  <si>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</si>
  <si>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</si>
  <si>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</si>
  <si>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</si>
  <si>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</si>
  <si>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</si>
  <si>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</si>
  <si>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</si>
  <si>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</si>
  <si>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</si>
  <si>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</si>
  <si>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</si>
  <si>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</si>
  <si>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</si>
  <si>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</si>
  <si>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</si>
  <si>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</si>
  <si>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</si>
  <si>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</si>
  <si>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</si>
  <si>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</si>
  <si>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</si>
  <si>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</si>
  <si>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</si>
  <si>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</si>
  <si>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</si>
  <si>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</si>
  <si>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</si>
  <si>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</si>
  <si>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</si>
  <si>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</si>
  <si>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</si>
  <si>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</si>
  <si>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</si>
  <si>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</si>
  <si>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</si>
  <si>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</si>
  <si>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</si>
  <si>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</si>
  <si>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</si>
  <si>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</si>
  <si>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</si>
  <si>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</si>
  <si>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</si>
  <si>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</si>
  <si>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</si>
  <si>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</si>
  <si>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</si>
  <si>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</si>
  <si>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</si>
  <si>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</si>
  <si>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</si>
  <si>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</si>
  <si>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</si>
  <si>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</si>
  <si>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</si>
  <si>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</si>
  <si>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</si>
  <si>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</si>
  <si>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</si>
  <si>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</si>
  <si>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</si>
  <si>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</si>
  <si>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</si>
  <si>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</si>
  <si>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</si>
  <si>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</si>
  <si>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</si>
  <si>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</si>
  <si>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</si>
  <si>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</si>
  <si>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</si>
  <si>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</si>
  <si>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</si>
  <si>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</si>
  <si>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</si>
  <si>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</si>
  <si>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</si>
  <si>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</si>
  <si>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</si>
  <si>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</si>
  <si>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</si>
  <si>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</si>
  <si>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</si>
  <si>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</si>
  <si>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</si>
  <si>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</si>
  <si>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</si>
  <si>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</si>
  <si>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</si>
  <si>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</si>
  <si>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</si>
  <si>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</si>
  <si>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</si>
  <si>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</si>
  <si>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</si>
  <si>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</si>
  <si>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</si>
  <si>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</si>
  <si>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</si>
  <si>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</si>
  <si>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</si>
  <si>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</si>
  <si>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</si>
  <si>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</si>
  <si>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</si>
  <si>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</si>
  <si>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</si>
  <si>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</si>
  <si>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</si>
  <si>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</si>
  <si>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</si>
  <si>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</si>
  <si>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</si>
  <si>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</si>
  <si>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</si>
  <si>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</si>
  <si>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</si>
  <si>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</si>
  <si>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</si>
  <si>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</si>
  <si>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</si>
  <si>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</si>
  <si>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</si>
  <si>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</si>
  <si>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</si>
  <si>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</si>
  <si>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</si>
  <si>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</si>
  <si>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</si>
  <si>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</si>
  <si>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</si>
  <si>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</si>
  <si>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</si>
  <si>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</si>
  <si>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</si>
  <si>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</si>
  <si>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</si>
  <si>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</si>
  <si>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</si>
  <si>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</si>
  <si>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</si>
  <si>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</si>
  <si>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</si>
  <si>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</si>
  <si>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</si>
  <si>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</si>
  <si>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</si>
  <si>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</si>
  <si>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</si>
  <si>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</si>
  <si>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</si>
  <si>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</si>
  <si>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</si>
  <si>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</si>
  <si>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</si>
  <si>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</si>
  <si>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</si>
  <si>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</si>
  <si>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</si>
  <si>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</si>
  <si>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</si>
  <si>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</si>
  <si>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</si>
  <si>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</si>
  <si>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</si>
  <si>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</si>
  <si>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</si>
  <si>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</si>
  <si>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</si>
  <si>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</si>
  <si>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</si>
  <si>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</si>
  <si>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</si>
  <si>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</si>
  <si>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</si>
  <si>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</si>
  <si>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</si>
  <si>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</si>
  <si>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</si>
  <si>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</si>
  <si>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</si>
  <si>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</si>
  <si>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</si>
  <si>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</si>
  <si>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</si>
  <si>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</si>
  <si>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</si>
  <si>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</si>
  <si>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</si>
  <si>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</si>
  <si>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</si>
  <si>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</si>
  <si>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</si>
  <si>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</si>
  <si>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</si>
  <si>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</si>
  <si>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</si>
  <si>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</si>
  <si>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</si>
  <si>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</si>
  <si>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</si>
  <si>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</si>
  <si>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</si>
  <si>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</si>
  <si>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</si>
  <si>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</si>
  <si>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</si>
  <si>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</si>
  <si>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</si>
  <si>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</si>
  <si>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</si>
  <si>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</si>
  <si>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</si>
  <si>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</si>
  <si>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</si>
  <si>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</si>
  <si>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</si>
  <si>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</si>
  <si>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</si>
  <si>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</si>
  <si>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</si>
  <si>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</si>
  <si>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</si>
  <si>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</si>
  <si>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</si>
  <si>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</si>
  <si>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</si>
  <si>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</si>
  <si>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</si>
  <si>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</si>
  <si>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</si>
  <si>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</si>
  <si>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</si>
  <si>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</si>
  <si>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</si>
  <si>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</si>
  <si>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</si>
  <si>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</si>
  <si>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</si>
  <si>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</si>
  <si>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</si>
  <si>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</si>
  <si>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</si>
  <si>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</si>
  <si>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</si>
  <si>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</si>
  <si>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</si>
  <si>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</si>
  <si>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</si>
  <si>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</si>
  <si>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</si>
  <si>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</si>
  <si>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</si>
  <si>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</si>
  <si>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</si>
  <si>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</si>
  <si>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</si>
  <si>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</si>
  <si>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</si>
  <si>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</si>
  <si>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</si>
  <si>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</si>
  <si>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</si>
  <si>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</si>
  <si>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</si>
  <si>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</si>
  <si>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</si>
  <si>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</si>
  <si>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</si>
  <si>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</si>
  <si>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</si>
  <si>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</si>
  <si>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</si>
  <si>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</si>
  <si>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</si>
  <si>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</si>
  <si>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</si>
  <si>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</si>
  <si>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</si>
  <si>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</si>
  <si>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</si>
  <si>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</si>
  <si>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</si>
  <si>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</si>
  <si>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</si>
  <si>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</si>
  <si>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</si>
  <si>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</si>
  <si>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</si>
  <si>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</si>
  <si>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</si>
  <si>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</si>
  <si>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</si>
  <si>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</si>
  <si>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</si>
  <si>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</si>
  <si>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</si>
  <si>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</si>
  <si>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</si>
  <si>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</si>
  <si>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</si>
  <si>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</si>
  <si>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</si>
  <si>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</si>
  <si>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</si>
  <si>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</si>
  <si>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</si>
  <si>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</si>
  <si>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</si>
  <si>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</si>
  <si>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</si>
  <si>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</si>
  <si>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</si>
  <si>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</si>
  <si>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</si>
  <si>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</si>
  <si>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</si>
  <si>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</si>
  <si>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</si>
  <si>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</si>
  <si>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</si>
  <si>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</si>
  <si>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</si>
  <si>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</si>
  <si>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</si>
  <si>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</si>
  <si>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</si>
  <si>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</si>
  <si>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</si>
  <si>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</si>
  <si>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</si>
  <si>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</si>
  <si>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</si>
  <si>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</si>
  <si>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</si>
  <si>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</si>
  <si>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</si>
  <si>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</si>
  <si>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</si>
  <si>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</si>
  <si>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</si>
  <si>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</si>
  <si>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</si>
  <si>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</si>
  <si>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</si>
  <si>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</si>
  <si>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</si>
  <si>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</si>
  <si>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</si>
  <si>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</si>
  <si>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</si>
  <si>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</si>
  <si>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</si>
  <si>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</si>
  <si>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</si>
  <si>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</si>
  <si>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</si>
  <si>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</si>
  <si>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</si>
  <si>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</si>
  <si>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</si>
  <si>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</si>
  <si>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</si>
  <si>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</si>
  <si>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</si>
  <si>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</si>
  <si>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</si>
  <si>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</si>
  <si>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</si>
  <si>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</si>
  <si>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</si>
  <si>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</si>
  <si>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</si>
  <si>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</si>
  <si>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</si>
  <si>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</si>
  <si>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</si>
  <si>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</si>
  <si>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</si>
  <si>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</si>
  <si>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</si>
  <si>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</si>
  <si>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</si>
  <si>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</si>
  <si>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</si>
  <si>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</si>
  <si>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</si>
  <si>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</si>
  <si>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</si>
  <si>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</si>
  <si>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</si>
  <si>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</si>
  <si>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</si>
  <si>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</si>
  <si>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</si>
  <si>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</si>
  <si>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</si>
  <si>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</si>
  <si>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</si>
  <si>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</si>
  <si>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</si>
  <si>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</si>
  <si>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</si>
  <si>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</si>
  <si>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</si>
  <si>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</si>
  <si>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</si>
  <si>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</si>
  <si>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</si>
  <si>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</si>
  <si>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</si>
  <si>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</si>
  <si>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</si>
  <si>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</si>
  <si>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</si>
  <si>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</si>
  <si>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</si>
  <si>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</si>
  <si>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</si>
  <si>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</si>
  <si>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</si>
  <si>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</si>
  <si>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</si>
  <si>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</si>
  <si>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</si>
  <si>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</si>
  <si>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</si>
  <si>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</si>
  <si>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</si>
  <si>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</si>
  <si>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</si>
  <si>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</si>
  <si>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</si>
  <si>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</si>
  <si>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</si>
  <si>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</si>
  <si>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</si>
  <si>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</si>
  <si>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</si>
  <si>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</si>
  <si>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</si>
  <si>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</si>
  <si>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</si>
  <si>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</si>
  <si>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</si>
  <si>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</si>
  <si>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</si>
  <si>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</si>
  <si>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</si>
  <si>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</si>
  <si>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</si>
  <si>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</si>
  <si>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</si>
  <si>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</si>
  <si>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</si>
  <si>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</si>
  <si>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</si>
  <si>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</si>
  <si>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</si>
  <si>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</si>
  <si>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</si>
  <si>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</si>
  <si>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</si>
  <si>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</si>
  <si>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</si>
  <si>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</si>
  <si>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</si>
  <si>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</si>
  <si>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</si>
  <si>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</si>
  <si>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</si>
  <si>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</si>
  <si>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</si>
  <si>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</si>
  <si>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</si>
  <si>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</si>
  <si>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</si>
  <si>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</si>
  <si>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</si>
  <si>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</si>
  <si>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</si>
  <si>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</si>
  <si>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</si>
  <si>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</si>
  <si>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</si>
  <si>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</si>
  <si>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</si>
  <si>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</si>
  <si>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</si>
  <si>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</si>
  <si>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</si>
  <si>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</si>
  <si>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</si>
  <si>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</si>
  <si>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</si>
  <si>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</si>
  <si>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</si>
  <si>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</si>
  <si>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</si>
  <si>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</si>
  <si>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</si>
  <si>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</si>
  <si>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</si>
  <si>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</si>
  <si>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</si>
  <si>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</si>
  <si>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</si>
  <si>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</si>
  <si>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</si>
  <si>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</si>
  <si>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</si>
  <si>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</si>
  <si>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</si>
  <si>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</si>
  <si>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</si>
  <si>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</si>
  <si>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</si>
  <si>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</si>
  <si>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</si>
  <si>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</si>
  <si>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</si>
  <si>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</si>
  <si>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</si>
  <si>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</si>
  <si>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</si>
  <si>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</si>
  <si>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</si>
  <si>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</si>
  <si>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</si>
  <si>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</si>
  <si>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</si>
  <si>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</si>
  <si>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</si>
  <si>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</si>
  <si>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</si>
  <si>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</si>
  <si>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</si>
  <si>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</si>
  <si>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</si>
  <si>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</si>
  <si>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</si>
  <si>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</si>
  <si>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</si>
  <si>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</si>
  <si>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</si>
  <si>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</si>
  <si>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</si>
  <si>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</si>
  <si>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</si>
  <si>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</si>
  <si>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</si>
  <si>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</si>
  <si>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</si>
  <si>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</si>
  <si>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</si>
  <si>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</si>
  <si>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</si>
  <si>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</si>
  <si>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</si>
  <si>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</si>
  <si>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</si>
  <si>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</si>
  <si>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</si>
  <si>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</si>
  <si>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</si>
  <si>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</si>
  <si>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</si>
  <si>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</si>
  <si>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</si>
  <si>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</si>
  <si>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</si>
  <si>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</si>
  <si>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</si>
  <si>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</si>
  <si>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</si>
  <si>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</si>
  <si>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</si>
  <si>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</si>
  <si>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</si>
  <si>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</si>
  <si>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</si>
  <si>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</si>
  <si>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</si>
  <si>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</si>
  <si>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</si>
  <si>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</si>
  <si>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</si>
  <si>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</si>
  <si>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</si>
  <si>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</si>
  <si>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</si>
  <si>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</si>
  <si>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</si>
  <si>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</si>
  <si>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</si>
  <si>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</si>
  <si>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</si>
  <si>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</si>
  <si>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</si>
  <si>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</si>
  <si>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</si>
  <si>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</si>
  <si>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</si>
  <si>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</si>
  <si>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</si>
  <si>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</si>
  <si>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</si>
  <si>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</si>
  <si>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</si>
  <si>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</si>
  <si>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</si>
  <si>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</si>
  <si>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</si>
  <si>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</si>
  <si>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</si>
  <si>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</si>
  <si>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</si>
  <si>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</si>
  <si>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</si>
  <si>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</si>
  <si>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</si>
  <si>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</si>
  <si>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</si>
  <si>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</si>
  <si>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</si>
  <si>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</si>
  <si>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</si>
  <si>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</si>
  <si>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</si>
  <si>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</si>
  <si>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</si>
  <si>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</si>
  <si>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</si>
  <si>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</si>
  <si>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</si>
  <si>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</si>
  <si>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</si>
  <si>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</si>
  <si>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</si>
  <si>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</si>
  <si>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</si>
  <si>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</si>
  <si>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</si>
  <si>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</si>
  <si>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</si>
  <si>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</si>
  <si>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</si>
  <si>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</si>
  <si>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</si>
  <si>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</si>
  <si>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</si>
  <si>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</si>
  <si>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</si>
  <si>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</si>
  <si>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</si>
  <si>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</si>
  <si>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</si>
  <si>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</si>
  <si>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</si>
  <si>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</si>
  <si>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</si>
  <si>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</si>
  <si>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</si>
  <si>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</si>
  <si>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</si>
  <si>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</si>
  <si>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</si>
  <si>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</si>
  <si>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</si>
  <si>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</si>
  <si>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</si>
  <si>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</si>
  <si>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</si>
  <si>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</si>
  <si>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</si>
  <si>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</si>
  <si>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</si>
  <si>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</si>
  <si>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</si>
  <si>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</si>
  <si>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</si>
  <si>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</si>
  <si>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</si>
  <si>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</si>
  <si>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</si>
  <si>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</si>
  <si>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</si>
  <si>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</si>
  <si>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</si>
  <si>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</si>
  <si>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</si>
  <si>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</si>
  <si>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</si>
  <si>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</si>
  <si>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</si>
  <si>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</si>
  <si>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</si>
  <si>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</si>
  <si>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</si>
  <si>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</si>
  <si>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</si>
  <si>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</si>
  <si>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</si>
  <si>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</si>
  <si>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</si>
  <si>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</si>
  <si>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</si>
  <si>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</si>
  <si>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</si>
  <si>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</si>
  <si>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</si>
  <si>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</si>
  <si>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</si>
  <si>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</si>
  <si>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</si>
  <si>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</si>
  <si>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</si>
  <si>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</si>
  <si>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</si>
  <si>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</si>
  <si>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</si>
  <si>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</si>
  <si>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</si>
  <si>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</si>
  <si>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</si>
  <si>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</si>
  <si>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</si>
  <si>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</si>
  <si>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</si>
  <si>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</si>
  <si>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</si>
  <si>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</si>
  <si>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</si>
  <si>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</si>
  <si>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</si>
  <si>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</si>
  <si>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</si>
  <si>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</si>
  <si>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</si>
  <si>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</si>
  <si>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</si>
  <si>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</si>
  <si>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</si>
  <si>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</si>
  <si>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</si>
  <si>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</si>
  <si>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</si>
  <si>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</si>
  <si>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</si>
  <si>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</si>
  <si>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</si>
  <si>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</si>
  <si>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</si>
  <si>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</si>
  <si>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</si>
  <si>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</si>
  <si>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</si>
  <si>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</si>
  <si>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</si>
  <si>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</si>
  <si>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</si>
  <si>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</si>
  <si>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</si>
  <si>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</si>
  <si>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</si>
  <si>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</si>
  <si>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</si>
  <si>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</si>
  <si>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</si>
  <si>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</si>
  <si>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</si>
  <si>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</si>
  <si>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</si>
  <si>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</si>
  <si>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</si>
  <si>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</si>
  <si>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</si>
  <si>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</si>
  <si>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</si>
  <si>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</si>
  <si>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</si>
  <si>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</si>
  <si>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</si>
  <si>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</si>
  <si>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</si>
  <si>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</si>
  <si>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</si>
  <si>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</si>
  <si>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</si>
  <si>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</si>
  <si>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</si>
  <si>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</si>
  <si>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</si>
  <si>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</si>
  <si>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</si>
  <si>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</si>
  <si>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</si>
  <si>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</si>
  <si>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</si>
  <si>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</si>
  <si>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</si>
  <si>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</si>
  <si>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</si>
  <si>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</si>
  <si>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</si>
  <si>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</si>
  <si>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</si>
  <si>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</si>
  <si>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</si>
  <si>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</si>
  <si>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</si>
  <si>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</si>
  <si>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</si>
  <si>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</si>
  <si>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</si>
  <si>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</si>
  <si>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</si>
  <si>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</si>
  <si>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</si>
  <si>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</si>
  <si>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</si>
  <si>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</si>
  <si>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</si>
  <si>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</si>
  <si>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</si>
  <si>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</si>
  <si>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</si>
  <si>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</si>
  <si>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</si>
  <si>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</si>
  <si>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</si>
  <si>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</si>
  <si>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</si>
  <si>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</si>
  <si>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</si>
  <si>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</si>
  <si>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</si>
  <si>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</si>
  <si>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</si>
  <si>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</si>
  <si>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</si>
  <si>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</si>
  <si>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</si>
  <si>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</si>
  <si>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</si>
  <si>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</si>
  <si>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</si>
  <si>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</si>
  <si>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</si>
  <si>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</si>
  <si>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</si>
  <si>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</si>
  <si>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</si>
  <si>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</si>
  <si>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</si>
  <si>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</si>
  <si>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</si>
  <si>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</si>
  <si>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</si>
  <si>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</si>
  <si>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</si>
  <si>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</si>
  <si>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</si>
  <si>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</si>
  <si>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</si>
  <si>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</si>
  <si>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</si>
  <si>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</si>
  <si>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</si>
  <si>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</si>
  <si>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</si>
  <si>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</si>
  <si>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</si>
  <si>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</si>
  <si>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</si>
  <si>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</si>
  <si>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</si>
  <si>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</si>
  <si>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</si>
  <si>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</si>
  <si>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</si>
  <si>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</si>
  <si>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</si>
  <si>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</si>
  <si>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</si>
  <si>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</si>
  <si>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</si>
  <si>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</si>
  <si>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</si>
  <si>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</si>
  <si>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</si>
  <si>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</si>
  <si>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</si>
  <si>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</si>
  <si>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</si>
  <si>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</si>
  <si>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</si>
  <si>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</si>
  <si>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</si>
  <si>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</si>
  <si>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</si>
  <si>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</si>
  <si>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</si>
  <si>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</si>
  <si>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</si>
  <si>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</si>
  <si>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</si>
  <si>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</si>
  <si>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</si>
  <si>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</si>
  <si>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</si>
  <si>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</si>
  <si>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</si>
  <si>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</si>
  <si>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</si>
  <si>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</si>
  <si>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</si>
  <si>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</si>
  <si>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</si>
  <si>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</si>
  <si>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</si>
  <si>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</si>
  <si>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</si>
  <si>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</si>
  <si>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</si>
  <si>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</si>
  <si>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</si>
  <si>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</si>
  <si>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</si>
  <si>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</si>
  <si>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</si>
  <si>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</si>
  <si>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</si>
  <si>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</si>
  <si>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</si>
  <si>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</si>
  <si>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</si>
  <si>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</si>
  <si>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</si>
  <si>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</si>
  <si>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</si>
  <si>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</si>
  <si>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</si>
  <si>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</si>
  <si>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</si>
  <si>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</si>
  <si>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</si>
  <si>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</si>
  <si>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</si>
  <si>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</si>
  <si>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</si>
  <si>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</si>
  <si>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</si>
  <si>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</si>
  <si>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</si>
  <si>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</si>
  <si>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</si>
  <si>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</si>
  <si>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</si>
  <si>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</si>
  <si>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</si>
  <si>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</si>
  <si>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</si>
  <si>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</si>
  <si>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</si>
  <si>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</si>
  <si>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</si>
  <si>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</si>
  <si>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</si>
  <si>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</si>
  <si>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</si>
  <si>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</si>
  <si>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</si>
  <si>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</si>
  <si>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</si>
  <si>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</si>
  <si>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</si>
  <si>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</si>
  <si>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</si>
  <si>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</si>
  <si>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</si>
  <si>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</si>
  <si>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</si>
  <si>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</si>
  <si>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</si>
  <si>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</si>
  <si>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</si>
  <si>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</si>
  <si>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</si>
  <si>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</si>
  <si>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</si>
  <si>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</si>
  <si>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</si>
  <si>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</si>
  <si>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</si>
  <si>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</si>
  <si>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</si>
  <si>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</si>
  <si>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</si>
  <si>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</si>
  <si>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</si>
  <si>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</si>
  <si>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</si>
  <si>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</si>
  <si>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</si>
  <si>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</si>
  <si>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</si>
  <si>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</si>
  <si>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</si>
  <si>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</si>
  <si>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</si>
  <si>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</si>
  <si>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</si>
  <si>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</si>
  <si>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</si>
  <si>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</si>
  <si>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</si>
  <si>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</si>
  <si>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</si>
  <si>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</si>
  <si>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</si>
  <si>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</si>
  <si>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</si>
  <si>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</si>
  <si>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</si>
  <si>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</si>
  <si>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</si>
  <si>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</si>
  <si>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</si>
  <si>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</si>
  <si>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</si>
  <si>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</si>
  <si>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</si>
  <si>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</si>
  <si>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</si>
  <si>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</si>
  <si>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</si>
  <si>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</si>
  <si>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</si>
  <si>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</si>
  <si>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</si>
  <si>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</si>
  <si>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</si>
  <si>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</si>
  <si>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</si>
  <si>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</si>
  <si>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</si>
  <si>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</si>
  <si>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</si>
  <si>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</si>
  <si>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</si>
  <si>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</si>
  <si>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</si>
  <si>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</si>
  <si>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</si>
  <si>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</si>
  <si>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</si>
  <si>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</si>
  <si>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</si>
  <si>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</si>
  <si>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</si>
  <si>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</si>
  <si>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</si>
  <si>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</si>
  <si>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</si>
  <si>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</si>
  <si>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</si>
  <si>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</si>
  <si>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</si>
  <si>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</si>
  <si>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</si>
  <si>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</si>
  <si>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</si>
  <si>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</si>
  <si>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</si>
  <si>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</si>
  <si>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</si>
  <si>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</si>
  <si>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</si>
  <si>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</si>
  <si>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</si>
  <si>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</si>
  <si>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</si>
  <si>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</si>
  <si>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</si>
  <si>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</si>
  <si>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</si>
  <si>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</si>
  <si>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</si>
  <si>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</si>
  <si>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</si>
  <si>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</si>
  <si>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</si>
  <si>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</si>
  <si>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</si>
  <si>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</si>
  <si>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</si>
  <si>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</si>
  <si>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</si>
  <si>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</si>
  <si>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</si>
  <si>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</si>
  <si>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</si>
  <si>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</si>
  <si>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</si>
  <si>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</si>
  <si>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</si>
  <si>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</si>
  <si>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</si>
  <si>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</si>
  <si>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</si>
  <si>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</si>
  <si>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</si>
  <si>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</si>
  <si>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</si>
  <si>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</si>
  <si>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</si>
  <si>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</si>
  <si>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</si>
  <si>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</si>
  <si>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</si>
  <si>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</si>
  <si>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</si>
  <si>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</si>
  <si>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</si>
  <si>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</si>
  <si>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</si>
  <si>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</si>
  <si>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</si>
  <si>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</si>
  <si>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</si>
  <si>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</si>
  <si>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</si>
  <si>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</si>
  <si>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</si>
  <si>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</si>
  <si>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</si>
  <si>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</si>
  <si>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</si>
  <si>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</si>
  <si>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</si>
  <si>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</si>
  <si>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</si>
  <si>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</si>
  <si>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</si>
  <si>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</si>
  <si>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</si>
  <si>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</si>
  <si>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</si>
  <si>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</si>
  <si>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</si>
  <si>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</si>
  <si>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</si>
  <si>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</si>
  <si>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</si>
  <si>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</si>
  <si>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</si>
  <si>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</si>
  <si>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</si>
  <si>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</si>
  <si>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</si>
  <si>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</si>
  <si>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</si>
  <si>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</si>
  <si>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</si>
  <si>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</si>
  <si>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</si>
  <si>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</si>
  <si>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</si>
  <si>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</si>
  <si>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</si>
  <si>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</si>
  <si>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</si>
  <si>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</si>
  <si>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</si>
  <si>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</si>
  <si>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</si>
  <si>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</si>
  <si>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</si>
  <si>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</si>
  <si>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</si>
  <si>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</si>
  <si>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</si>
  <si>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</si>
  <si>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</si>
  <si>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</si>
  <si>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</si>
  <si>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</si>
  <si>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</si>
  <si>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</si>
  <si>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</si>
  <si>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</si>
  <si>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</si>
  <si>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</si>
  <si>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</si>
  <si>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</si>
  <si>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</si>
  <si>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</si>
  <si>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</si>
  <si>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</si>
  <si>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</si>
  <si>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</si>
  <si>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</si>
  <si>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</si>
  <si>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</si>
  <si>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</si>
  <si>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</si>
  <si>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</si>
  <si>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</si>
  <si>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</si>
  <si>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</si>
  <si>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</si>
  <si>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</si>
  <si>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</si>
  <si>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</si>
  <si>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</si>
  <si>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</si>
  <si>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</si>
  <si>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</si>
  <si>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</si>
  <si>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</si>
  <si>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</si>
  <si>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</si>
  <si>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</si>
  <si>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</si>
  <si>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</si>
  <si>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</si>
  <si>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</si>
  <si>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</si>
  <si>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</si>
  <si>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</si>
  <si>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</si>
  <si>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</si>
  <si>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</si>
  <si>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</si>
  <si>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</si>
  <si>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</si>
  <si>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</si>
  <si>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</si>
  <si>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</si>
  <si>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</si>
  <si>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</si>
  <si>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</si>
  <si>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</si>
  <si>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</si>
  <si>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</si>
  <si>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</si>
  <si>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</si>
  <si>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</si>
  <si>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</si>
  <si>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</si>
  <si>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</si>
  <si>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</si>
  <si>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</si>
  <si>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</si>
  <si>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</si>
  <si>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</si>
  <si>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</si>
  <si>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</si>
  <si>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</si>
  <si>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</si>
  <si>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</si>
  <si>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</si>
  <si>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</si>
  <si>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</si>
  <si>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</si>
  <si>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</si>
  <si>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</si>
  <si>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</si>
  <si>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</si>
  <si>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</si>
  <si>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</si>
  <si>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</si>
  <si>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</si>
  <si>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</si>
  <si>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</si>
  <si>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</si>
  <si>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</si>
  <si>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</si>
  <si>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</si>
  <si>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</si>
  <si>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</si>
  <si>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</si>
  <si>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</si>
  <si>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</si>
  <si>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</si>
  <si>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</si>
  <si>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</si>
  <si>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</si>
  <si>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</si>
  <si>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</si>
  <si>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</si>
  <si>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</si>
  <si>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</si>
  <si>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</si>
  <si>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</si>
  <si>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</si>
  <si>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</si>
  <si>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</si>
  <si>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</si>
  <si>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</si>
  <si>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</si>
  <si>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</si>
  <si>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</si>
  <si>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</si>
  <si>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</si>
  <si>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</si>
  <si>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</si>
  <si>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</si>
  <si>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</si>
  <si>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</si>
  <si>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</si>
  <si>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</si>
  <si>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</si>
  <si>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</si>
  <si>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</si>
  <si>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</si>
  <si>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</si>
  <si>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</si>
  <si>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</si>
  <si>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</si>
  <si>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</si>
  <si>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</si>
  <si>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</si>
  <si>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</si>
  <si>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</si>
  <si>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</si>
  <si>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</si>
  <si>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</si>
  <si>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</si>
  <si>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</si>
  <si>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</si>
  <si>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</si>
  <si>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</si>
  <si>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</si>
  <si>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</si>
  <si>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</si>
  <si>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</si>
  <si>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</si>
  <si>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</si>
  <si>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</si>
  <si>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</si>
  <si>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</si>
  <si>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</si>
  <si>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</si>
  <si>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</si>
  <si>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</si>
  <si>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</si>
  <si>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</si>
  <si>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</si>
  <si>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</si>
  <si>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</si>
  <si>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</si>
  <si>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</si>
  <si>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</si>
  <si>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</si>
  <si>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</si>
  <si>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</si>
  <si>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</si>
  <si>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</si>
  <si>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</si>
  <si>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</si>
  <si>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</si>
  <si>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</si>
  <si>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</si>
  <si>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</si>
  <si>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</si>
  <si>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</si>
  <si>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</si>
  <si>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</si>
  <si>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</si>
  <si>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</si>
  <si>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</si>
  <si>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</si>
  <si>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</si>
  <si>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</si>
  <si>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</si>
  <si>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</si>
  <si>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</si>
  <si>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</si>
  <si>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</si>
  <si>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</si>
  <si>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</si>
  <si>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</si>
  <si>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</si>
  <si>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</si>
  <si>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</si>
  <si>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</si>
  <si>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</si>
  <si>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</si>
  <si>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</si>
  <si>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</si>
  <si>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</si>
  <si>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</si>
  <si>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</si>
  <si>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</si>
  <si>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</si>
  <si>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</si>
  <si>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</si>
  <si>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</si>
  <si>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</si>
  <si>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</si>
  <si>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</si>
  <si>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</si>
  <si>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</si>
  <si>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</si>
  <si>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</si>
  <si>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</si>
  <si>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</si>
  <si>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</si>
  <si>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</si>
  <si>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</si>
  <si>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</si>
  <si>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</si>
  <si>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</si>
  <si>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</si>
  <si>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</si>
  <si>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</si>
  <si>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</si>
  <si>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</si>
  <si>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</si>
  <si>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</si>
  <si>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</si>
  <si>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</si>
  <si>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</si>
  <si>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</si>
  <si>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</si>
  <si>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</si>
  <si>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</si>
  <si>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</si>
  <si>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</si>
  <si>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</si>
  <si>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</si>
  <si>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</si>
  <si>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</si>
  <si>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</si>
  <si>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</si>
  <si>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</si>
  <si>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</si>
  <si>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</si>
  <si>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</si>
  <si>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</si>
  <si>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</si>
  <si>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</si>
  <si>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</si>
  <si>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</si>
  <si>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</si>
  <si>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</si>
  <si>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</si>
  <si>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</si>
  <si>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</si>
  <si>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</si>
  <si>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</si>
  <si>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</si>
  <si>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</si>
  <si>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</si>
  <si>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</si>
  <si>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</si>
  <si>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</si>
  <si>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</si>
  <si>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</si>
  <si>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</si>
  <si>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</si>
  <si>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</si>
  <si>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</si>
  <si>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</si>
  <si>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</si>
  <si>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</si>
  <si>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</si>
  <si>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</si>
  <si>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</si>
  <si>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</si>
  <si>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</si>
  <si>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</si>
  <si>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</si>
  <si>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</si>
  <si>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</si>
  <si>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</si>
  <si>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</si>
  <si>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</si>
  <si>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</si>
  <si>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</si>
  <si>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</si>
  <si>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</si>
  <si>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</si>
  <si>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</si>
  <si>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</si>
  <si>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</si>
  <si>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</si>
  <si>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</si>
  <si>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</si>
  <si>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</si>
  <si>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</si>
  <si>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</si>
  <si>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</si>
  <si>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</si>
  <si>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</si>
  <si>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</si>
  <si>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</si>
  <si>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</si>
  <si>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</si>
  <si>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</si>
  <si>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</si>
  <si>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</si>
  <si>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</si>
  <si>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</si>
  <si>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</si>
  <si>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</si>
  <si>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</si>
  <si>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</si>
  <si>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</si>
  <si>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</si>
  <si>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</si>
  <si>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</si>
  <si>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</si>
  <si>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</si>
  <si>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</si>
  <si>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</si>
  <si>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</si>
  <si>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</si>
  <si>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</si>
  <si>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</si>
  <si>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</si>
  <si>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</si>
  <si>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</si>
  <si>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</si>
  <si>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</si>
  <si>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</si>
  <si>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</si>
  <si>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</si>
  <si>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</si>
  <si>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</si>
  <si>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</si>
  <si>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</si>
  <si>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</si>
  <si>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</si>
  <si>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</si>
  <si>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</si>
  <si>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</si>
  <si>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</si>
  <si>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</si>
  <si>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</si>
  <si>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</si>
  <si>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</si>
  <si>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</si>
  <si>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</si>
  <si>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</si>
  <si>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</si>
  <si>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</si>
  <si>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</si>
  <si>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</si>
  <si>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</si>
  <si>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</si>
  <si>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</si>
  <si>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</si>
  <si>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</si>
  <si>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</si>
  <si>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</si>
  <si>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</si>
  <si>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</si>
  <si>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</si>
  <si>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</si>
  <si>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</si>
  <si>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</si>
  <si>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</si>
  <si>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</si>
  <si>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</si>
  <si>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</si>
  <si>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</si>
  <si>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</si>
  <si>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</si>
  <si>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</si>
  <si>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</si>
  <si>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</si>
  <si>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</si>
  <si>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</si>
  <si>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</si>
  <si>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</si>
  <si>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</si>
  <si>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</si>
  <si>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</si>
  <si>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</si>
  <si>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</si>
  <si>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</si>
  <si>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</si>
  <si>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</si>
  <si>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</si>
  <si>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</si>
  <si>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</si>
  <si>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</si>
  <si>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</si>
  <si>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</si>
  <si>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</si>
  <si>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</si>
  <si>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</si>
  <si>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</si>
  <si>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</si>
  <si>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</si>
  <si>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</si>
  <si>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</si>
  <si>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</si>
  <si>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</si>
  <si>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</si>
  <si>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</si>
  <si>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</si>
  <si>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</si>
  <si>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</si>
  <si>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</si>
  <si>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</si>
  <si>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</si>
  <si>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</si>
  <si>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</si>
  <si>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</si>
  <si>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</si>
  <si>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</si>
  <si>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</si>
  <si>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</si>
  <si>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</si>
  <si>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</si>
  <si>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</si>
  <si>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</si>
  <si>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</si>
  <si>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</si>
  <si>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</si>
  <si>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</si>
  <si>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</si>
  <si>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</si>
  <si>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</si>
  <si>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</si>
  <si>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</si>
  <si>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</si>
  <si>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</si>
  <si>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</si>
  <si>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</si>
  <si>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</si>
  <si>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</si>
  <si>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</si>
  <si>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</si>
  <si>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</si>
  <si>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</si>
  <si>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</si>
  <si>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</si>
  <si>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</si>
  <si>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</si>
  <si>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</si>
  <si>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</si>
  <si>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</si>
  <si>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</si>
  <si>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</si>
  <si>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</si>
  <si>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</si>
  <si>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</si>
  <si>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</si>
  <si>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</si>
  <si>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</si>
  <si>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</si>
  <si>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</si>
  <si>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</si>
  <si>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</si>
  <si>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</si>
  <si>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</si>
  <si>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</si>
  <si>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</si>
  <si>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</si>
  <si>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</si>
  <si>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</si>
  <si>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</si>
  <si>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</si>
  <si>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</si>
  <si>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</si>
  <si>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</si>
  <si>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</si>
  <si>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</si>
  <si>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</si>
  <si>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</si>
  <si>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</si>
  <si>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</si>
  <si>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</si>
  <si>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</si>
  <si>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</si>
  <si>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</si>
  <si>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</si>
  <si>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</si>
  <si>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</si>
  <si>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</si>
  <si>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</si>
  <si>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</si>
  <si>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</si>
  <si>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</si>
  <si>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</si>
  <si>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</si>
  <si>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</si>
  <si>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</si>
  <si>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</si>
  <si>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</si>
  <si>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</si>
  <si>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</si>
  <si>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</si>
  <si>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</si>
  <si>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</si>
  <si>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</si>
  <si>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</si>
  <si>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</si>
  <si>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</si>
  <si>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</si>
  <si>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</si>
  <si>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</si>
  <si>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</si>
  <si>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</si>
  <si>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</si>
  <si>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</si>
  <si>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</si>
  <si>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</si>
  <si>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</si>
  <si>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</si>
  <si>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</si>
  <si>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</si>
  <si>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</si>
  <si>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</si>
  <si>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</si>
  <si>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</si>
  <si>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</si>
  <si>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</si>
  <si>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</si>
  <si>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</si>
  <si>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</si>
  <si>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</si>
  <si>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</si>
  <si>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</si>
  <si>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</si>
  <si>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</si>
  <si>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</si>
  <si>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</si>
  <si>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</si>
  <si>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</si>
  <si>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</si>
  <si>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</si>
  <si>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</si>
  <si>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</si>
  <si>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</si>
  <si>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</si>
  <si>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</si>
  <si>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</si>
  <si>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</si>
  <si>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</si>
  <si>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</si>
  <si>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</si>
  <si>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</si>
  <si>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</si>
  <si>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</si>
  <si>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</si>
  <si>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</si>
  <si>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</si>
  <si>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</si>
  <si>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</si>
  <si>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</si>
  <si>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</si>
  <si>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</si>
  <si>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</si>
  <si>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</si>
  <si>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</si>
  <si>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</si>
  <si>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</si>
  <si>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</si>
  <si>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</si>
  <si>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</si>
  <si>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</si>
  <si>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</si>
  <si>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</si>
  <si>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</si>
  <si>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</si>
  <si>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</si>
  <si>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</si>
  <si>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</si>
  <si>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</si>
  <si>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</si>
  <si>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</si>
  <si>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</si>
  <si>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</si>
  <si>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</si>
  <si>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</si>
  <si>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</si>
  <si>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</si>
  <si>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</si>
  <si>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</si>
  <si>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</si>
  <si>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</si>
  <si>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</si>
  <si>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</si>
  <si>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</si>
  <si>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</si>
  <si>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</si>
  <si>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</si>
  <si>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</si>
  <si>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</si>
  <si>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</si>
  <si>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</si>
  <si>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</si>
  <si>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</si>
  <si>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</si>
  <si>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</si>
  <si>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</si>
  <si>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</si>
  <si>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</si>
  <si>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</si>
  <si>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</si>
  <si>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</si>
  <si>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</si>
  <si>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</si>
  <si>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</si>
  <si>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</si>
  <si>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</si>
  <si>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</si>
  <si>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</si>
  <si>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</si>
  <si>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</si>
  <si>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</si>
  <si>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</si>
  <si>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</si>
  <si>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</si>
  <si>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</si>
  <si>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</si>
  <si>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</si>
  <si>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</si>
  <si>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</si>
  <si>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</si>
  <si>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</si>
  <si>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</si>
  <si>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</si>
  <si>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</si>
  <si>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</si>
  <si>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</si>
  <si>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</si>
  <si>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</si>
  <si>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</si>
  <si>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</si>
  <si>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</si>
  <si>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</si>
  <si>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</si>
  <si>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</si>
  <si>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</si>
  <si>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</si>
  <si>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</si>
  <si>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</si>
  <si>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</si>
  <si>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</si>
  <si>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</si>
  <si>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</si>
  <si>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</si>
  <si>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</si>
  <si>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</si>
  <si>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</si>
  <si>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</si>
  <si>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</si>
  <si>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</si>
  <si>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</si>
  <si>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</si>
  <si>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</si>
  <si>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</si>
  <si>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</si>
  <si>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</si>
  <si>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</si>
  <si>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</si>
  <si>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</si>
  <si>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</si>
  <si>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</si>
  <si>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</si>
  <si>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</si>
  <si>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</si>
  <si>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</si>
  <si>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</si>
  <si>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</si>
  <si>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</si>
  <si>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</si>
  <si>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</si>
  <si>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</si>
  <si>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</si>
  <si>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</si>
  <si>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</si>
  <si>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</si>
  <si>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</si>
  <si>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</si>
  <si>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</si>
  <si>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</si>
  <si>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</si>
  <si>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</si>
  <si>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</si>
  <si>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</si>
  <si>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</si>
  <si>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</si>
  <si>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</si>
  <si>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</si>
  <si>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</si>
  <si>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</si>
  <si>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</si>
  <si>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</si>
  <si>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</si>
  <si>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</si>
  <si>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</si>
  <si>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</si>
  <si>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</si>
  <si>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</si>
  <si>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</si>
  <si>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</si>
  <si>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</si>
  <si>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</si>
  <si>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</si>
  <si>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</si>
  <si>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</si>
  <si>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</si>
  <si>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</si>
  <si>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</si>
  <si>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</si>
  <si>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</si>
  <si>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</si>
  <si>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</si>
  <si>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</si>
  <si>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</si>
  <si>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</si>
  <si>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</si>
  <si>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</si>
  <si>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</si>
  <si>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</si>
  <si>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</si>
  <si>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</si>
  <si>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</si>
  <si>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</si>
  <si>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</si>
  <si>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</si>
  <si>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</si>
  <si>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</si>
  <si>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</si>
  <si>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</si>
  <si>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</si>
  <si>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</si>
  <si>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</si>
  <si>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</si>
  <si>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</si>
  <si>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</si>
  <si>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</si>
  <si>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</si>
  <si>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</si>
  <si>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</si>
  <si>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</si>
  <si>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</si>
  <si>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</si>
  <si>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</si>
  <si>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</si>
  <si>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</si>
  <si>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</si>
  <si>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</si>
  <si>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</si>
  <si>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</si>
  <si>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</si>
  <si>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</si>
  <si>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</si>
  <si>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</si>
  <si>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</si>
  <si>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</si>
  <si>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</si>
  <si>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</si>
  <si>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</si>
  <si>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</si>
  <si>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</si>
  <si>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</si>
  <si>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</si>
  <si>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</si>
  <si>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</si>
  <si>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</si>
  <si>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</si>
  <si>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</si>
  <si>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</si>
  <si>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</si>
  <si>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</si>
  <si>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</si>
  <si>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</si>
  <si>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</si>
  <si>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</si>
  <si>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</si>
  <si>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</si>
  <si>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</si>
  <si>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</si>
  <si>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</si>
  <si>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</si>
  <si>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</si>
  <si>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</si>
  <si>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</si>
  <si>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</si>
  <si>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</si>
  <si>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</si>
  <si>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</si>
  <si>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</si>
  <si>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</si>
  <si>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</si>
  <si>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</si>
  <si>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</si>
  <si>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</si>
  <si>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</si>
  <si>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</si>
  <si>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</si>
  <si>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</si>
  <si>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</si>
  <si>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</si>
  <si>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</si>
  <si>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</si>
  <si>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</si>
  <si>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</si>
  <si>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</si>
  <si>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</si>
  <si>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</si>
  <si>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</si>
  <si>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</si>
  <si>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</si>
  <si>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</si>
  <si>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</si>
  <si>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</si>
  <si>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</si>
  <si>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</si>
  <si>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</si>
  <si>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</si>
  <si>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</si>
  <si>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</si>
  <si>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</si>
  <si>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</si>
  <si>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</si>
  <si>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</si>
  <si>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</si>
  <si>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</si>
  <si>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</si>
  <si>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</si>
  <si>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</si>
  <si>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</si>
  <si>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</si>
  <si>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</si>
  <si>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</si>
  <si>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</si>
  <si>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</si>
  <si>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</si>
  <si>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</si>
  <si>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</si>
  <si>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</si>
  <si>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</si>
  <si>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</si>
  <si>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</si>
  <si>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</si>
  <si>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</si>
  <si>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</si>
  <si>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</si>
  <si>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</si>
  <si>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</si>
  <si>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</si>
  <si>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</si>
  <si>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</si>
  <si>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</si>
  <si>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</si>
  <si>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</si>
  <si>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</si>
  <si>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</si>
  <si>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</si>
  <si>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</si>
  <si>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</si>
  <si>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</si>
  <si>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</si>
  <si>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</si>
  <si>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</si>
  <si>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</si>
  <si>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</si>
  <si>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</si>
  <si>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</si>
  <si>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</si>
  <si>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</si>
  <si>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</si>
  <si>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</si>
  <si>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</si>
  <si>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</si>
  <si>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</si>
  <si>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</si>
  <si>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</si>
  <si>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</si>
  <si>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</si>
  <si>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</si>
  <si>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</si>
  <si>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</si>
  <si>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</si>
  <si>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</si>
  <si>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</si>
  <si>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</si>
  <si>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</si>
  <si>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</si>
  <si>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</si>
  <si>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</si>
  <si>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</si>
  <si>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</si>
  <si>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</si>
  <si>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</si>
  <si>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</si>
  <si>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</si>
  <si>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</si>
  <si>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</si>
  <si>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</si>
  <si>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</si>
  <si>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</si>
  <si>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</si>
  <si>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</si>
  <si>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</si>
  <si>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</si>
  <si>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</si>
  <si>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</si>
  <si>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</si>
  <si>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</si>
  <si>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</si>
  <si>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</si>
  <si>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</si>
  <si>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</si>
  <si>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</si>
  <si>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</si>
  <si>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</si>
  <si>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</si>
  <si>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</si>
  <si>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</si>
  <si>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</si>
  <si>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</si>
  <si>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</si>
  <si>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</si>
  <si>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</si>
  <si>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</si>
  <si>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</si>
  <si>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</si>
  <si>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</si>
  <si>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</si>
  <si>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</si>
  <si>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</si>
  <si>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</si>
  <si>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</si>
  <si>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</si>
  <si>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</si>
  <si>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</si>
  <si>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</si>
  <si>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</si>
  <si>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</si>
  <si>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</si>
  <si>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</si>
  <si>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</si>
  <si>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</si>
  <si>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</si>
  <si>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</si>
  <si>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</si>
  <si>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</si>
  <si>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</si>
  <si>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</si>
  <si>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</si>
  <si>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</si>
  <si>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</si>
  <si>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</si>
  <si>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</si>
  <si>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</si>
  <si>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</si>
  <si>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</si>
  <si>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</si>
  <si>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</si>
  <si>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</si>
  <si>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</si>
  <si>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</si>
  <si>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</si>
  <si>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</si>
  <si>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</si>
  <si>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</si>
  <si>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</si>
  <si>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</si>
  <si>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</si>
  <si>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</si>
  <si>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</si>
  <si>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</si>
  <si>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</si>
  <si>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</si>
  <si>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</si>
  <si>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</si>
  <si>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</si>
  <si>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</si>
  <si>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</si>
  <si>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</si>
  <si>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</si>
  <si>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</si>
  <si>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</si>
  <si>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</si>
  <si>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</si>
  <si>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</si>
  <si>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</si>
  <si>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</si>
  <si>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</si>
  <si>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</si>
  <si>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</si>
  <si>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</si>
  <si>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</si>
  <si>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</si>
  <si>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</si>
  <si>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</si>
  <si>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</si>
  <si>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</si>
  <si>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</si>
  <si>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</si>
  <si>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</si>
  <si>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</si>
  <si>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</si>
  <si>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</si>
  <si>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</si>
  <si>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</si>
  <si>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</si>
  <si>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</si>
  <si>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</si>
  <si>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</si>
  <si>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</si>
  <si>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</si>
  <si>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</si>
  <si>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</si>
  <si>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</si>
  <si>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</si>
  <si>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</si>
  <si>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</si>
  <si>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</si>
  <si>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</si>
  <si>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</si>
  <si>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</si>
  <si>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</si>
  <si>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</si>
  <si>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</si>
  <si>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</si>
  <si>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</si>
  <si>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</si>
  <si>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</si>
  <si>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</si>
  <si>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</si>
  <si>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</si>
  <si>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</si>
  <si>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</si>
  <si>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</si>
  <si>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</si>
  <si>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</si>
  <si>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</si>
  <si>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</si>
  <si>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</si>
  <si>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</si>
  <si>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</si>
  <si>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</si>
  <si>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</si>
  <si>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</si>
  <si>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</si>
  <si>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</si>
  <si>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</si>
  <si>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</si>
  <si>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</si>
  <si>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</si>
  <si>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</si>
  <si>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</si>
  <si>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</si>
  <si>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</si>
  <si>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</si>
  <si>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</si>
  <si>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</si>
  <si>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</si>
  <si>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</si>
  <si>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</si>
  <si>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</si>
  <si>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</si>
  <si>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</si>
  <si>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</si>
  <si>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</si>
  <si>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</si>
  <si>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</si>
  <si>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</si>
  <si>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</si>
  <si>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</si>
  <si>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</si>
  <si>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</si>
  <si>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</si>
  <si>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</si>
  <si>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</si>
  <si>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</si>
  <si>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</si>
  <si>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</si>
  <si>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</si>
  <si>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</si>
  <si>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</si>
  <si>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</si>
  <si>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</si>
  <si>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</si>
  <si>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</si>
  <si>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</si>
  <si>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</si>
  <si>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</si>
  <si>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</si>
  <si>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</si>
  <si>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</si>
  <si>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</si>
  <si>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</si>
  <si>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</si>
  <si>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</si>
  <si>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</si>
  <si>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</si>
  <si>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</si>
  <si>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</si>
  <si>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</si>
  <si>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</si>
  <si>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</si>
  <si>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</si>
  <si>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</si>
  <si>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</si>
  <si>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</si>
  <si>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</si>
  <si>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</si>
  <si>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</si>
  <si>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</si>
  <si>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</si>
  <si>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</si>
  <si>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</si>
  <si>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</si>
  <si>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</si>
  <si>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</si>
  <si>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</si>
  <si>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</si>
  <si>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</si>
  <si>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</si>
  <si>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</si>
  <si>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</si>
  <si>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</si>
  <si>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</si>
  <si>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</si>
  <si>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</si>
  <si>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</si>
  <si>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</si>
  <si>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</si>
  <si>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</si>
  <si>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</si>
  <si>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</si>
  <si>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</si>
  <si>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</si>
  <si>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</si>
  <si>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</si>
  <si>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</si>
  <si>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</si>
  <si>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</si>
  <si>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</si>
  <si>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</si>
  <si>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</si>
  <si>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</si>
  <si>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</si>
  <si>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</si>
  <si>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</si>
  <si>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</si>
  <si>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</si>
  <si>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</si>
  <si>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</si>
  <si>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</si>
  <si>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</si>
  <si>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</si>
  <si>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</si>
  <si>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</si>
  <si>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</si>
  <si>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</si>
  <si>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</si>
  <si>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</si>
  <si>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</si>
  <si>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</si>
  <si>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</si>
  <si>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</si>
  <si>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</si>
  <si>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</si>
  <si>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</si>
  <si>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</si>
  <si>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</si>
  <si>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</si>
  <si>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</si>
  <si>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</si>
  <si>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</si>
  <si>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</si>
  <si>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</si>
  <si>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</si>
  <si>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</si>
  <si>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</si>
  <si>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</si>
  <si>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</si>
  <si>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</si>
  <si>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</si>
  <si>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</si>
  <si>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</si>
  <si>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</si>
  <si>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</si>
  <si>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</si>
  <si>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</si>
  <si>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</si>
  <si>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</si>
  <si>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</si>
  <si>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</si>
  <si>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</si>
  <si>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</si>
  <si>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</si>
  <si>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</si>
  <si>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</si>
  <si>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</si>
  <si>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</si>
  <si>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</si>
  <si>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</si>
  <si>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</si>
  <si>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</si>
  <si>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</si>
  <si>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</si>
  <si>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</si>
  <si>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</si>
  <si>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</si>
  <si>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</si>
  <si>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</si>
  <si>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</si>
  <si>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</si>
  <si>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</si>
  <si>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</si>
  <si>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</si>
  <si>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</si>
  <si>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</si>
  <si>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</si>
  <si>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</si>
  <si>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</si>
  <si>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</si>
  <si>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</si>
  <si>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</si>
  <si>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</si>
  <si>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</si>
  <si>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</si>
  <si>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</si>
  <si>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</si>
  <si>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</si>
  <si>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</si>
  <si>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</si>
  <si>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</si>
  <si>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</si>
  <si>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</si>
  <si>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</si>
  <si>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</si>
  <si>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</si>
  <si>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</si>
  <si>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</si>
  <si>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</si>
  <si>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</si>
  <si>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</si>
  <si>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</si>
  <si>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</si>
  <si>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</si>
  <si>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</si>
  <si>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</si>
  <si>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</si>
  <si>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</si>
  <si>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</si>
  <si>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</si>
  <si>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</si>
  <si>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</si>
  <si>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</si>
  <si>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</si>
  <si>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</si>
  <si>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</si>
  <si>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</si>
  <si>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</si>
  <si>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</si>
  <si>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</si>
  <si>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</si>
  <si>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</si>
  <si>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</si>
  <si>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</si>
  <si>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</si>
  <si>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</si>
  <si>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</si>
  <si>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</si>
  <si>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</si>
  <si>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</si>
  <si>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</si>
  <si>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</si>
  <si>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</si>
  <si>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</si>
  <si>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</si>
  <si>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</si>
  <si>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</si>
  <si>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</si>
  <si>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</si>
  <si>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</si>
  <si>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</si>
  <si>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</si>
  <si>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</si>
  <si>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</si>
  <si>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</si>
  <si>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</si>
  <si>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</si>
  <si>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</si>
  <si>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</si>
  <si>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</si>
  <si>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</si>
  <si>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</si>
  <si>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</si>
  <si>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</si>
  <si>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</si>
  <si>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</si>
  <si>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</si>
  <si>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</si>
  <si>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</si>
  <si>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</si>
  <si>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</si>
  <si>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</si>
  <si>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</si>
  <si>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</si>
  <si>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</si>
  <si>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</si>
  <si>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</si>
  <si>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</si>
  <si>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</si>
  <si>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</si>
  <si>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</si>
  <si>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</si>
  <si>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</si>
  <si>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</si>
  <si>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</si>
  <si>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</si>
  <si>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</si>
  <si>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</si>
  <si>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</si>
  <si>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</si>
  <si>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</si>
  <si>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</si>
  <si>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</si>
  <si>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</si>
  <si>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</si>
  <si>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</si>
  <si>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</si>
  <si>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</si>
  <si>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</si>
  <si>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</si>
  <si>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</si>
  <si>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</si>
  <si>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</si>
  <si>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</si>
  <si>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</si>
  <si>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</si>
  <si>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</si>
  <si>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</si>
  <si>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</si>
  <si>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</si>
  <si>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</si>
  <si>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</si>
  <si>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</si>
  <si>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</si>
  <si>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</si>
  <si>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</si>
  <si>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</si>
  <si>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</si>
  <si>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</si>
  <si>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</si>
  <si>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</si>
  <si>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</si>
  <si>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</si>
  <si>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</si>
  <si>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</si>
  <si>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</si>
  <si>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</si>
  <si>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</si>
  <si>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</si>
  <si>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</si>
  <si>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</si>
  <si>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</si>
  <si>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</si>
  <si>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</si>
  <si>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</si>
  <si>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</si>
  <si>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</si>
  <si>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</si>
  <si>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</si>
  <si>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</si>
  <si>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</si>
  <si>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</si>
  <si>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</si>
  <si>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</si>
  <si>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</si>
  <si>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</si>
  <si>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</si>
  <si>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</si>
  <si>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</si>
  <si>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</si>
  <si>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</si>
  <si>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</si>
  <si>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</si>
  <si>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</si>
  <si>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</si>
  <si>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</si>
  <si>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</si>
  <si>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</si>
  <si>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</si>
  <si>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</si>
  <si>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</si>
  <si>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</si>
  <si>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</si>
  <si>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</si>
  <si>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</si>
  <si>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</si>
  <si>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</si>
  <si>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</si>
  <si>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</si>
  <si>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</si>
  <si>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</si>
  <si>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</si>
  <si>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</si>
  <si>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</si>
  <si>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</si>
  <si>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</si>
  <si>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</si>
  <si>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</si>
  <si>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</si>
  <si>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</si>
  <si>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</si>
  <si>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</si>
  <si>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</si>
  <si>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</si>
  <si>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</si>
  <si>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</si>
  <si>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</si>
  <si>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</si>
  <si>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</si>
  <si>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</si>
  <si>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</si>
  <si>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</si>
  <si>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</si>
  <si>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</si>
  <si>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</si>
  <si>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</si>
  <si>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</si>
  <si>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</si>
  <si>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</si>
  <si>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</si>
  <si>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</si>
  <si>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</si>
  <si>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</si>
  <si>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</si>
  <si>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</si>
  <si>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</si>
  <si>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</si>
  <si>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</si>
  <si>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</si>
  <si>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</si>
  <si>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</si>
  <si>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</si>
  <si>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</si>
  <si>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</si>
  <si>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</si>
  <si>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</si>
  <si>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</si>
  <si>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</si>
  <si>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</si>
  <si>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</si>
  <si>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</si>
  <si>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</si>
  <si>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</si>
  <si>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</si>
  <si>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</si>
  <si>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</si>
  <si>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</si>
  <si>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</si>
  <si>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</si>
  <si>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</si>
  <si>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</si>
  <si>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</si>
  <si>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</si>
  <si>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</si>
  <si>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</si>
  <si>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</si>
  <si>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</si>
  <si>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</si>
  <si>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</si>
  <si>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</si>
  <si>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</si>
  <si>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</si>
  <si>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</si>
  <si>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</si>
  <si>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</si>
  <si>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</si>
  <si>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</si>
  <si>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</si>
  <si>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</si>
  <si>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</si>
  <si>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</si>
  <si>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</si>
  <si>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</si>
  <si>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</si>
  <si>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</si>
  <si>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</si>
  <si>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</si>
  <si>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</si>
  <si>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</si>
  <si>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</si>
  <si>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</si>
  <si>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</si>
  <si>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</si>
  <si>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</si>
  <si>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</si>
  <si>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</si>
  <si>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</si>
  <si>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</si>
  <si>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</si>
  <si>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</si>
  <si>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</si>
  <si>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</si>
  <si>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</si>
  <si>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</si>
  <si>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</si>
  <si>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</si>
  <si>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</si>
  <si>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</si>
  <si>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</si>
  <si>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</si>
  <si>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</si>
  <si>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</si>
  <si>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</si>
  <si>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</si>
  <si>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</si>
  <si>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</si>
  <si>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</si>
  <si>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</si>
  <si>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</si>
  <si>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</si>
  <si>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</si>
  <si>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</si>
  <si>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</si>
  <si>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</si>
  <si>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</si>
  <si>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</si>
  <si>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</si>
  <si>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</si>
  <si>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</si>
  <si>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</si>
  <si>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</si>
  <si>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</si>
  <si>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</si>
  <si>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</si>
  <si>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</si>
  <si>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</si>
  <si>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</si>
  <si>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</si>
  <si>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</si>
  <si>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</si>
  <si>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</si>
  <si>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</si>
  <si>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</si>
  <si>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</si>
  <si>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</si>
  <si>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</si>
  <si>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</si>
  <si>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</si>
  <si>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</si>
  <si>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</si>
  <si>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</si>
  <si>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</si>
  <si>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</si>
  <si>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</si>
  <si>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</si>
  <si>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</si>
  <si>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</si>
  <si>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</si>
  <si>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</si>
  <si>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</si>
  <si>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</si>
  <si>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</si>
  <si>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</si>
  <si>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</si>
  <si>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</si>
  <si>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</si>
  <si>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</si>
  <si>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</si>
  <si>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</si>
  <si>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</si>
  <si>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</si>
  <si>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</si>
  <si>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</si>
  <si>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</si>
  <si>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</si>
  <si>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</si>
  <si>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</si>
  <si>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</si>
  <si>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</si>
  <si>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</si>
  <si>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</si>
  <si>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</si>
  <si>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</si>
  <si>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</si>
  <si>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</si>
  <si>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</si>
  <si>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</si>
  <si>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</si>
  <si>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</si>
  <si>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</si>
  <si>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</si>
  <si>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</si>
  <si>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</si>
  <si>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</si>
  <si>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</si>
  <si>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</si>
  <si>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</si>
  <si>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</si>
  <si>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</si>
  <si>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</si>
  <si>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</si>
  <si>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</si>
  <si>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</si>
  <si>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</si>
  <si>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</si>
  <si>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</si>
  <si>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</si>
  <si>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</si>
  <si>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</si>
  <si>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</si>
  <si>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</si>
  <si>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</si>
  <si>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</si>
  <si>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</si>
  <si>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</si>
  <si>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</si>
  <si>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</si>
  <si>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</si>
  <si>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</si>
  <si>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</si>
  <si>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</si>
  <si>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</si>
  <si>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</si>
  <si>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</si>
  <si>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</si>
  <si>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</si>
  <si>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</si>
  <si>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</si>
  <si>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</si>
  <si>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</si>
  <si>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</si>
  <si>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</si>
  <si>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</si>
  <si>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</si>
  <si>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</si>
  <si>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</si>
  <si>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</si>
  <si>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</si>
  <si>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</si>
  <si>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</si>
  <si>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</si>
  <si>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</si>
  <si>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</si>
  <si>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</si>
  <si>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</si>
  <si>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</si>
  <si>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</si>
  <si>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</si>
  <si>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</si>
  <si>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</si>
  <si>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</si>
  <si>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</si>
  <si>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</si>
  <si>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</si>
  <si>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</si>
  <si>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</si>
  <si>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</si>
  <si>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</si>
  <si>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</si>
  <si>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</si>
  <si>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</si>
  <si>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</si>
  <si>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</si>
  <si>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</si>
  <si>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</si>
  <si>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</si>
  <si>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</si>
  <si>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</si>
  <si>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</si>
  <si>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</si>
  <si>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</si>
  <si>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</si>
  <si>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</si>
  <si>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</si>
  <si>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</si>
  <si>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</si>
  <si>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</si>
  <si>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</si>
  <si>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</si>
  <si>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</si>
  <si>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</si>
  <si>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</si>
  <si>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</si>
  <si>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</si>
  <si>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</si>
  <si>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</si>
  <si>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</si>
  <si>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</si>
  <si>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</si>
  <si>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</si>
  <si>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</si>
  <si>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</si>
  <si>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</si>
  <si>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</si>
  <si>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</si>
  <si>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</si>
  <si>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</si>
  <si>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</si>
  <si>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</si>
  <si>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</si>
  <si>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</si>
  <si>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</si>
  <si>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</si>
  <si>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</si>
  <si>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</si>
  <si>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</si>
  <si>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</si>
  <si>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</si>
  <si>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</si>
  <si>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</si>
  <si>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</si>
  <si>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</si>
  <si>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</si>
  <si>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</si>
  <si>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</si>
  <si>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</si>
  <si>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</si>
  <si>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</si>
  <si>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</si>
  <si>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</si>
  <si>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</si>
  <si>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</si>
  <si>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</si>
  <si>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</si>
  <si>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</si>
  <si>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</si>
  <si>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</si>
  <si>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</si>
  <si>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</si>
  <si>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</si>
  <si>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</si>
  <si>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</si>
  <si>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</si>
  <si>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</si>
  <si>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</si>
  <si>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</si>
  <si>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</si>
  <si>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</si>
  <si>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</si>
  <si>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</si>
  <si>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</si>
  <si>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</si>
  <si>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</si>
  <si>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</si>
  <si>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</si>
  <si>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</si>
  <si>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</si>
  <si>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</si>
  <si>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</si>
  <si>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</si>
  <si>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</si>
  <si>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</si>
  <si>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</si>
  <si>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</si>
  <si>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</si>
  <si>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</si>
  <si>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</si>
  <si>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</si>
  <si>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</si>
  <si>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</si>
  <si>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</si>
  <si>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</si>
  <si>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</si>
  <si>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</si>
  <si>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</si>
  <si>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</si>
  <si>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</si>
  <si>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</si>
  <si>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</si>
  <si>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</si>
  <si>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</si>
  <si>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</si>
  <si>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</si>
  <si>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</si>
  <si>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</si>
  <si>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</si>
  <si>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</si>
  <si>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</si>
  <si>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</si>
  <si>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</si>
  <si>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</si>
  <si>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</si>
  <si>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</si>
  <si>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</si>
  <si>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</si>
  <si>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</si>
  <si>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</si>
  <si>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</si>
  <si>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</si>
  <si>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</si>
  <si>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</si>
  <si>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</si>
  <si>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</si>
  <si>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</si>
  <si>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</si>
  <si>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</si>
  <si>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</si>
  <si>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</si>
  <si>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</si>
  <si>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</si>
  <si>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</si>
  <si>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</si>
  <si>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</si>
  <si>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</si>
  <si>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</si>
  <si>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</si>
  <si>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</si>
  <si>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</si>
  <si>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</si>
  <si>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</si>
  <si>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</si>
  <si>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</si>
  <si>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</si>
  <si>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</si>
  <si>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</si>
  <si>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</si>
  <si>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</si>
  <si>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</si>
  <si>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</si>
  <si>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</si>
  <si>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</si>
  <si>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</si>
  <si>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</si>
  <si>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</si>
  <si>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</si>
  <si>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</si>
  <si>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</si>
  <si>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</si>
  <si>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</si>
  <si>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</si>
  <si>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</si>
  <si>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</si>
  <si>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</si>
  <si>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</si>
  <si>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</si>
  <si>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</si>
  <si>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</si>
  <si>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</si>
  <si>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</si>
  <si>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</si>
  <si>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</si>
  <si>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</si>
  <si>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</si>
  <si>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</si>
  <si>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</si>
  <si>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</si>
  <si>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</si>
  <si>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</si>
  <si>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</si>
  <si>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</si>
  <si>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</si>
  <si>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</si>
  <si>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</si>
  <si>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</si>
  <si>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</si>
  <si>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</si>
  <si>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</si>
  <si>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</si>
  <si>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</si>
  <si>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</si>
  <si>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</si>
  <si>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</si>
  <si>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</si>
  <si>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</si>
  <si>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</si>
  <si>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</si>
  <si>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</si>
  <si>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</si>
  <si>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</si>
  <si>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</si>
  <si>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</si>
  <si>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</si>
  <si>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</si>
  <si>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</si>
  <si>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</si>
  <si>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</si>
  <si>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</si>
  <si>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</si>
  <si>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</si>
  <si>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</si>
  <si>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</si>
  <si>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</si>
  <si>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</si>
  <si>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</si>
  <si>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</si>
  <si>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</si>
  <si>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</si>
  <si>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</si>
  <si>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</si>
  <si>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</si>
  <si>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</si>
  <si>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</si>
  <si>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</si>
  <si>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</si>
  <si>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</si>
  <si>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</si>
  <si>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</si>
  <si>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</si>
  <si>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</si>
  <si>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</si>
  <si>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</si>
  <si>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</si>
  <si>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</si>
  <si>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</si>
  <si>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</si>
  <si>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</si>
  <si>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</si>
  <si>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</si>
  <si>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</si>
  <si>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</si>
  <si>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</si>
  <si>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</si>
  <si>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</si>
  <si>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</si>
  <si>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</si>
  <si>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</si>
  <si>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</si>
  <si>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</si>
  <si>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</si>
  <si>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</si>
  <si>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</si>
  <si>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</si>
  <si>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</si>
  <si>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</si>
  <si>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</si>
  <si>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</si>
  <si>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</si>
  <si>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</si>
  <si>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</si>
  <si>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</si>
  <si>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</si>
  <si>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</si>
  <si>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</si>
  <si>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</si>
  <si>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</si>
  <si>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</si>
  <si>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</si>
  <si>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</si>
  <si>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</si>
  <si>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</si>
  <si>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</si>
  <si>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</si>
  <si>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</si>
  <si>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</si>
  <si>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</si>
  <si>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</si>
  <si>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</si>
  <si>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</si>
  <si>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</si>
  <si>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</si>
  <si>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</si>
  <si>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</si>
  <si>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</si>
  <si>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</si>
  <si>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</si>
  <si>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</si>
  <si>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</si>
  <si>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</si>
  <si>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</si>
  <si>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</si>
  <si>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</si>
  <si>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</si>
  <si>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</si>
  <si>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</si>
  <si>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</si>
  <si>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</si>
  <si>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</si>
  <si>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</si>
  <si>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</si>
  <si>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</si>
  <si>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</si>
  <si>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</si>
  <si>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</si>
  <si>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</si>
  <si>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</si>
  <si>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</si>
  <si>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</si>
  <si>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</si>
  <si>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</si>
  <si>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</si>
  <si>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</si>
  <si>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</si>
  <si>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</si>
  <si>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</si>
  <si>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</si>
  <si>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</si>
  <si>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</si>
  <si>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</si>
  <si>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</si>
  <si>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</si>
  <si>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</si>
  <si>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</si>
  <si>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</si>
  <si>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</si>
  <si>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</si>
  <si>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</si>
  <si>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</si>
  <si>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</si>
  <si>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</si>
  <si>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</si>
  <si>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</si>
  <si>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</si>
  <si>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</si>
  <si>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</si>
  <si>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</si>
  <si>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</si>
  <si>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</si>
  <si>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</si>
  <si>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</si>
  <si>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</si>
  <si>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</si>
  <si>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</si>
  <si>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</si>
  <si>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</si>
  <si>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</si>
  <si>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</si>
  <si>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</si>
  <si>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</si>
  <si>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</si>
  <si>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</si>
  <si>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</si>
  <si>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</si>
  <si>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</si>
  <si>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</si>
  <si>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</si>
  <si>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</si>
  <si>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</si>
  <si>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</si>
  <si>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</si>
  <si>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</si>
  <si>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</si>
  <si>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</si>
  <si>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</si>
  <si>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</si>
  <si>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</si>
  <si>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</si>
  <si>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</si>
  <si>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</si>
  <si>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</si>
  <si>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</si>
  <si>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</si>
  <si>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</si>
  <si>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</si>
  <si>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</si>
  <si>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</si>
  <si>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</si>
  <si>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</si>
  <si>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</si>
  <si>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</si>
  <si>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</si>
  <si>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</si>
  <si>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</si>
  <si>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</si>
  <si>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</si>
  <si>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</si>
  <si>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</si>
  <si>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</si>
  <si>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</si>
  <si>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</si>
  <si>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</si>
  <si>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</si>
  <si>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</si>
  <si>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</si>
  <si>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</si>
  <si>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</si>
  <si>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</si>
  <si>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</si>
  <si>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</si>
  <si>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</si>
  <si>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</si>
  <si>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</si>
  <si>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</si>
  <si>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</si>
  <si>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</si>
  <si>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</si>
  <si>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</si>
  <si>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</si>
  <si>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</si>
  <si>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</si>
  <si>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</si>
  <si>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</si>
  <si>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</si>
  <si>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</si>
  <si>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</si>
  <si>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</si>
  <si>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</si>
  <si>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</si>
  <si>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</si>
  <si>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</si>
  <si>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</si>
  <si>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</si>
  <si>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</si>
  <si>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</si>
  <si>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</si>
  <si>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</si>
  <si>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</si>
  <si>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</si>
  <si>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</si>
  <si>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</si>
  <si>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</si>
  <si>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</si>
  <si>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</si>
  <si>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</si>
  <si>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</si>
  <si>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</si>
  <si>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</si>
  <si>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</si>
  <si>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</si>
  <si>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</si>
  <si>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</si>
  <si>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</si>
  <si>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</si>
  <si>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</si>
  <si>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</si>
  <si>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</si>
  <si>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</si>
  <si>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</si>
  <si>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</si>
  <si>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</si>
  <si>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</si>
  <si>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</si>
  <si>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</si>
  <si>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</si>
  <si>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</si>
  <si>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</si>
  <si>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</si>
  <si>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</si>
  <si>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</si>
  <si>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</si>
  <si>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</si>
  <si>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</si>
  <si>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</si>
  <si>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</si>
  <si>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</si>
  <si>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</si>
  <si>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</si>
  <si>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</si>
  <si>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</si>
  <si>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</si>
  <si>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</si>
  <si>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</si>
  <si>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</si>
  <si>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</si>
  <si>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</si>
  <si>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</si>
  <si>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</si>
  <si>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</si>
  <si>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</si>
  <si>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</si>
  <si>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</si>
  <si>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</si>
  <si>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</si>
  <si>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</si>
  <si>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</si>
  <si>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</si>
  <si>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</si>
  <si>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</si>
  <si>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</si>
  <si>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</si>
  <si>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</si>
  <si>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</si>
  <si>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</si>
  <si>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</si>
  <si>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</si>
  <si>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</si>
  <si>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</si>
  <si>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</si>
  <si>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</si>
  <si>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</si>
  <si>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</si>
  <si>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</si>
  <si>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</si>
  <si>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</si>
  <si>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</si>
  <si>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</si>
  <si>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</si>
  <si>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</si>
  <si>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</si>
  <si>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</si>
  <si>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</si>
  <si>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</si>
  <si>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</si>
  <si>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</si>
  <si>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</si>
  <si>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</si>
  <si>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</si>
  <si>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</si>
  <si>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</si>
  <si>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</si>
  <si>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</si>
  <si>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</si>
  <si>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</si>
  <si>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</si>
  <si>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</si>
  <si>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</si>
  <si>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</si>
  <si>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</si>
  <si>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</si>
  <si>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</si>
  <si>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</si>
  <si>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</si>
  <si>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</si>
  <si>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</si>
  <si>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</si>
  <si>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</si>
  <si>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</si>
  <si>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</si>
  <si>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</si>
  <si>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</si>
  <si>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</si>
  <si>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</si>
  <si>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</si>
  <si>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</si>
  <si>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</si>
  <si>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</si>
  <si>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</si>
  <si>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</si>
  <si>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</si>
  <si>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</si>
  <si>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</si>
  <si>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</si>
  <si>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</si>
  <si>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</si>
  <si>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</si>
  <si>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</si>
  <si>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</si>
  <si>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</si>
  <si>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</si>
  <si>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</si>
  <si>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</si>
  <si>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</si>
  <si>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</si>
  <si>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</si>
  <si>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</si>
  <si>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</si>
  <si>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</si>
  <si>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</si>
  <si>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</si>
  <si>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</si>
  <si>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</si>
  <si>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</si>
  <si>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</si>
  <si>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</si>
  <si>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</si>
  <si>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</si>
  <si>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</si>
  <si>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</si>
  <si>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</si>
  <si>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</si>
  <si>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</si>
  <si>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</si>
  <si>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</si>
  <si>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</si>
  <si>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</si>
  <si>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</si>
  <si>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</si>
  <si>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</si>
  <si>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</si>
  <si>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</si>
  <si>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</si>
  <si>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</si>
  <si>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</si>
  <si>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</si>
  <si>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</si>
  <si>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</si>
  <si>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</si>
  <si>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</si>
  <si>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</si>
  <si>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</si>
  <si>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</si>
  <si>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</si>
  <si>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</si>
  <si>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</si>
  <si>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</si>
  <si>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</si>
  <si>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</si>
  <si>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</si>
  <si>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</si>
  <si>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</si>
  <si>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</si>
  <si>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</si>
  <si>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</si>
  <si>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</si>
  <si>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</si>
  <si>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</si>
  <si>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</si>
  <si>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</si>
  <si>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</si>
  <si>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</si>
  <si>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</si>
  <si>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</si>
  <si>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</si>
  <si>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</si>
  <si>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</si>
  <si>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</si>
  <si>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</si>
  <si>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</si>
  <si>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</si>
  <si>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</si>
  <si>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</si>
  <si>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</si>
  <si>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</si>
  <si>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</si>
  <si>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</si>
  <si>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</si>
  <si>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</si>
  <si>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</si>
  <si>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</si>
  <si>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</si>
  <si>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</si>
  <si>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</si>
  <si>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</si>
  <si>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</si>
  <si>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</si>
  <si>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</si>
  <si>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</si>
  <si>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</si>
  <si>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</si>
  <si>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</si>
  <si>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</si>
  <si>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</si>
  <si>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</si>
  <si>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</si>
  <si>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</si>
  <si>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</si>
  <si>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</si>
  <si>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</si>
  <si>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</si>
  <si>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</si>
  <si>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</si>
  <si>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</si>
  <si>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</si>
  <si>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</si>
  <si>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</si>
  <si>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</si>
  <si>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</si>
  <si>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</si>
  <si>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</si>
  <si>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</si>
  <si>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</si>
  <si>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</si>
  <si>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</si>
  <si>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</si>
  <si>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</si>
  <si>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</si>
  <si>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</si>
  <si>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</si>
  <si>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</si>
  <si>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</si>
  <si>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</si>
  <si>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</si>
  <si>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</si>
  <si>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</si>
  <si>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</si>
  <si>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</si>
  <si>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</si>
  <si>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</si>
  <si>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</si>
  <si>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</si>
  <si>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</si>
  <si>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</si>
  <si>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</si>
  <si>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</si>
  <si>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</si>
  <si>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</si>
  <si>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</si>
  <si>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</si>
  <si>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</si>
  <si>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</si>
  <si>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</si>
  <si>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</si>
  <si>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</si>
  <si>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</si>
  <si>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</si>
  <si>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</si>
  <si>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</si>
  <si>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</si>
  <si>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</si>
  <si>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</si>
  <si>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</si>
  <si>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</si>
  <si>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</si>
  <si>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</si>
  <si>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</si>
  <si>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</si>
  <si>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</si>
  <si>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</si>
  <si>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</si>
  <si>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</si>
  <si>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</si>
  <si>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</si>
  <si>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</si>
  <si>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</si>
  <si>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</si>
  <si>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</si>
  <si>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</si>
  <si>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</si>
  <si>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</si>
  <si>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</si>
  <si>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</si>
  <si>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</si>
  <si>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</si>
  <si>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</si>
  <si>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</si>
  <si>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</si>
  <si>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</si>
  <si>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</si>
  <si>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</si>
  <si>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</si>
  <si>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</si>
  <si>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</si>
  <si>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</si>
  <si>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</si>
  <si>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</si>
  <si>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</si>
  <si>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</si>
  <si>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</si>
  <si>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</si>
  <si>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</si>
  <si>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</si>
  <si>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</si>
  <si>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</si>
  <si>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</si>
  <si>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</si>
  <si>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</si>
  <si>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</si>
  <si>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</si>
  <si>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</si>
  <si>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</si>
  <si>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</si>
  <si>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</si>
  <si>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</si>
  <si>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</si>
  <si>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</si>
  <si>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</si>
  <si>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</si>
  <si>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</si>
  <si>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</si>
  <si>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</si>
  <si>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</si>
  <si>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</si>
  <si>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</si>
  <si>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</si>
  <si>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</si>
  <si>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</si>
  <si>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</si>
  <si>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</si>
  <si>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</si>
  <si>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</si>
  <si>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</si>
  <si>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</si>
  <si>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</si>
  <si>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</si>
  <si>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</si>
  <si>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</si>
  <si>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</si>
  <si>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</si>
  <si>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</si>
  <si>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</si>
  <si>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</si>
  <si>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</si>
  <si>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</si>
  <si>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</si>
  <si>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</si>
  <si>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</si>
  <si>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</si>
  <si>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</si>
  <si>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</si>
  <si>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</si>
  <si>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</si>
  <si>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</si>
  <si>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</si>
  <si>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</si>
  <si>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</si>
  <si>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</si>
  <si>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</si>
  <si>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</si>
  <si>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</si>
  <si>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</si>
  <si>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</si>
  <si>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</si>
  <si>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</si>
  <si>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</si>
  <si>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</si>
  <si>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</si>
  <si>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</si>
  <si>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</si>
  <si>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</si>
  <si>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</si>
  <si>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</si>
  <si>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</si>
  <si>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</si>
  <si>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</si>
  <si>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</si>
  <si>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</si>
  <si>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</si>
  <si>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</si>
  <si>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</si>
  <si>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</si>
  <si>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</si>
  <si>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</si>
  <si>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</si>
  <si>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</si>
  <si>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</si>
  <si>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</si>
  <si>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</si>
  <si>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</si>
  <si>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</si>
  <si>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</si>
  <si>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</si>
  <si>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</si>
  <si>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</si>
  <si>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</si>
  <si>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</si>
  <si>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</si>
  <si>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</si>
  <si>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</si>
  <si>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</si>
  <si>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</si>
  <si>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</si>
  <si>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</si>
  <si>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</si>
  <si>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</si>
  <si>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</si>
  <si>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</si>
  <si>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</si>
  <si>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</si>
  <si>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</si>
  <si>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</si>
  <si>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</si>
  <si>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</si>
  <si>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</si>
  <si>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</si>
  <si>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</si>
  <si>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</si>
  <si>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</si>
  <si>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</si>
  <si>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</si>
  <si>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</si>
  <si>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</si>
  <si>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</si>
  <si>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</si>
  <si>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</si>
  <si>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</si>
  <si>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</si>
  <si>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</si>
  <si>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</si>
  <si>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</si>
  <si>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</si>
  <si>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</si>
  <si>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</si>
  <si>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</si>
  <si>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</si>
  <si>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</si>
  <si>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</si>
  <si>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</si>
  <si>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</si>
  <si>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</si>
  <si>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</si>
  <si>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</si>
  <si>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</si>
  <si>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</si>
  <si>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</si>
  <si>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</si>
  <si>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</si>
  <si>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</si>
  <si>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</si>
  <si>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</si>
  <si>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</si>
  <si>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</si>
  <si>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</si>
  <si>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</si>
  <si>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</si>
  <si>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</si>
  <si>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</si>
  <si>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</si>
  <si>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</si>
  <si>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</si>
  <si>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</si>
  <si>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</si>
  <si>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</si>
  <si>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</si>
  <si>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</si>
  <si>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</si>
  <si>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</si>
  <si>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</si>
  <si>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</si>
  <si>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</si>
  <si>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</si>
  <si>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</si>
  <si>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</si>
  <si>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</si>
  <si>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</si>
  <si>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</si>
  <si>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</si>
  <si>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</si>
  <si>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</si>
  <si>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</si>
  <si>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</si>
  <si>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</si>
  <si>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</si>
  <si>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</si>
  <si>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</si>
  <si>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</si>
  <si>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</si>
  <si>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</si>
  <si>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</si>
  <si>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</si>
  <si>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</si>
  <si>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</si>
  <si>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</si>
  <si>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</si>
  <si>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</si>
  <si>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</si>
  <si>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</si>
  <si>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</si>
  <si>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</si>
  <si>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</si>
  <si>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</si>
  <si>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</si>
  <si>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</si>
  <si>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</si>
  <si>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</si>
  <si>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</si>
  <si>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</si>
  <si>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</si>
  <si>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</si>
  <si>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</si>
  <si>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</si>
  <si>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</si>
  <si>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</si>
  <si>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</si>
  <si>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</si>
  <si>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</si>
  <si>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</si>
  <si>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</si>
  <si>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</si>
  <si>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</si>
  <si>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</si>
  <si>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</si>
  <si>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</si>
  <si>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</si>
  <si>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</si>
  <si>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</si>
  <si>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</si>
  <si>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</si>
  <si>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</si>
  <si>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</si>
  <si>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</si>
  <si>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</si>
  <si>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</si>
  <si>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</si>
  <si>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</si>
  <si>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</si>
  <si>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</si>
  <si>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</si>
  <si>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</si>
  <si>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</si>
  <si>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</si>
  <si>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</si>
  <si>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</si>
  <si>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</si>
  <si>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</si>
  <si>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</si>
  <si>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</si>
  <si>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</si>
  <si>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</si>
  <si>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</si>
  <si>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</si>
  <si>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</si>
  <si>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</si>
  <si>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</si>
  <si>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</si>
  <si>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</si>
  <si>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</si>
  <si>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</si>
  <si>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</si>
  <si>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</si>
  <si>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</si>
  <si>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</si>
  <si>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</si>
  <si>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</si>
  <si>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</si>
  <si>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</si>
  <si>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</si>
  <si>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</si>
  <si>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</si>
  <si>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</si>
  <si>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</si>
  <si>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</si>
  <si>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</si>
  <si>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</si>
  <si>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</si>
  <si>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</si>
  <si>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</si>
  <si>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</si>
  <si>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</si>
  <si>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</si>
  <si>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</si>
  <si>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</si>
  <si>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</si>
  <si>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</si>
  <si>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</si>
  <si>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</si>
  <si>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</si>
  <si>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</si>
  <si>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</si>
  <si>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</si>
  <si>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</si>
  <si>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</si>
  <si>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</si>
  <si>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</si>
  <si>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</si>
  <si>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</si>
  <si>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</si>
  <si>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</si>
  <si>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</si>
  <si>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</si>
  <si>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</si>
  <si>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</si>
  <si>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</si>
  <si>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</si>
  <si>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</si>
  <si>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</si>
  <si>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</si>
  <si>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</si>
  <si>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</si>
  <si>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</si>
  <si>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</si>
  <si>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</si>
  <si>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</si>
  <si>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</si>
  <si>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</si>
  <si>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</si>
  <si>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</si>
  <si>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</si>
  <si>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</si>
  <si>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</si>
  <si>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</si>
  <si>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</si>
  <si>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</si>
  <si>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</si>
  <si>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</si>
  <si>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</si>
  <si>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</si>
  <si>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</si>
  <si>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</si>
  <si>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</si>
  <si>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</si>
  <si>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</si>
  <si>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</si>
  <si>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</si>
  <si>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</si>
  <si>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</si>
  <si>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</si>
  <si>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</si>
  <si>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</si>
  <si>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</si>
  <si>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</si>
  <si>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</si>
  <si>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</si>
  <si>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</si>
  <si>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</si>
  <si>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</si>
  <si>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</si>
  <si>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</si>
  <si>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</si>
  <si>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</si>
  <si>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</si>
  <si>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</si>
  <si>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</si>
  <si>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</si>
  <si>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</si>
  <si>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</si>
  <si>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</si>
  <si>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</si>
  <si>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</si>
  <si>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</si>
  <si>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</si>
  <si>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</si>
  <si>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</si>
  <si>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</si>
  <si>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</si>
  <si>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</si>
  <si>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</si>
  <si>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</si>
  <si>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</si>
  <si>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</si>
  <si>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</si>
  <si>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</si>
  <si>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</si>
  <si>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</si>
  <si>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</si>
  <si>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</si>
  <si>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</si>
  <si>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</si>
  <si>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</si>
  <si>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</si>
  <si>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</si>
  <si>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</si>
  <si>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</si>
  <si>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</si>
  <si>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</si>
  <si>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</si>
  <si>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</si>
  <si>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</si>
  <si>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</si>
  <si>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</si>
  <si>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</si>
  <si>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</si>
  <si>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</si>
  <si>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</si>
  <si>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</si>
  <si>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</si>
  <si>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</si>
  <si>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</si>
  <si>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</si>
  <si>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</si>
  <si>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</si>
  <si>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</si>
  <si>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</si>
  <si>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</si>
  <si>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</si>
  <si>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</si>
  <si>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</si>
  <si>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</si>
  <si>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</si>
  <si>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</si>
  <si>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</si>
  <si>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</si>
  <si>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</si>
  <si>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</si>
  <si>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</si>
  <si>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</si>
  <si>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</si>
  <si>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</si>
  <si>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</si>
  <si>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</si>
  <si>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</si>
  <si>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</si>
  <si>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</si>
  <si>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</si>
  <si>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</si>
  <si>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</si>
  <si>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</si>
  <si>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</si>
  <si>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</si>
  <si>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</si>
  <si>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</si>
  <si>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</si>
  <si>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</si>
  <si>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</si>
  <si>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</si>
  <si>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</si>
  <si>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</si>
  <si>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</si>
  <si>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</si>
  <si>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</si>
  <si>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</si>
  <si>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</si>
  <si>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</si>
  <si>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</si>
  <si>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</si>
  <si>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</si>
  <si>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</si>
  <si>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</si>
  <si>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</si>
  <si>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</si>
  <si>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</si>
  <si>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</si>
  <si>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</si>
  <si>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</si>
  <si>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</si>
  <si>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</si>
  <si>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</si>
  <si>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</si>
  <si>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</si>
  <si>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</si>
  <si>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</si>
  <si>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</si>
  <si>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</si>
  <si>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</si>
  <si>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</si>
  <si>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</si>
  <si>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</si>
  <si>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</si>
  <si>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</si>
  <si>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</si>
  <si>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</si>
  <si>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</si>
  <si>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</si>
  <si>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</si>
  <si>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</si>
  <si>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</si>
  <si>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</si>
  <si>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</si>
  <si>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</si>
  <si>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</si>
  <si>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</si>
  <si>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</si>
  <si>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</si>
  <si>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</si>
  <si>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</si>
  <si>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</si>
  <si>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</si>
  <si>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</si>
  <si>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</si>
  <si>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</si>
  <si>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</si>
  <si>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</si>
  <si>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</si>
  <si>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</si>
  <si>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</si>
  <si>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</si>
  <si>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</si>
  <si>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</si>
  <si>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</si>
  <si>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</si>
  <si>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</si>
  <si>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</si>
  <si>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</si>
  <si>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</si>
  <si>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</si>
  <si>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</si>
  <si>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</si>
  <si>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</si>
  <si>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</si>
  <si>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</si>
  <si>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</si>
  <si>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</si>
  <si>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</si>
  <si>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</si>
  <si>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</si>
  <si>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</si>
  <si>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</si>
  <si>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</si>
  <si>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</si>
  <si>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</si>
  <si>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</si>
  <si>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</si>
  <si>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</si>
  <si>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</si>
  <si>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</si>
  <si>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</si>
  <si>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</si>
  <si>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</si>
  <si>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</si>
  <si>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</si>
  <si>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</si>
  <si>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</si>
  <si>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</si>
  <si>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</si>
  <si>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</si>
  <si>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</si>
  <si>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</si>
  <si>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</si>
  <si>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</si>
  <si>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</si>
  <si>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</si>
  <si>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</si>
  <si>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</si>
  <si>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</si>
  <si>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</si>
  <si>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</si>
  <si>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</si>
  <si>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</si>
  <si>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</si>
  <si>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</si>
  <si>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</si>
  <si>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</si>
  <si>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</si>
  <si>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</si>
  <si>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</si>
  <si>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</si>
  <si>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</si>
  <si>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</si>
  <si>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</si>
  <si>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</si>
  <si>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</si>
  <si>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</si>
  <si>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</si>
  <si>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</si>
  <si>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</si>
  <si>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</si>
  <si>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</si>
  <si>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</si>
  <si>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</si>
  <si>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</si>
  <si>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</si>
  <si>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</si>
  <si>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</si>
  <si>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</si>
  <si>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</si>
  <si>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</si>
  <si>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</si>
  <si>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</si>
  <si>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</si>
  <si>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</si>
  <si>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</si>
  <si>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</si>
  <si>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</si>
  <si>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</si>
  <si>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</si>
  <si>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</si>
  <si>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</si>
  <si>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</si>
  <si>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</si>
  <si>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</si>
  <si>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</si>
  <si>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</si>
  <si>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</si>
  <si>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</si>
  <si>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</si>
  <si>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</si>
  <si>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</si>
  <si>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</si>
  <si>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</si>
  <si>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</si>
  <si>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</si>
  <si>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</si>
  <si>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</si>
  <si>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</si>
  <si>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</si>
  <si>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</si>
  <si>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</si>
  <si>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</si>
  <si>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</si>
  <si>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</si>
  <si>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</si>
  <si>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</si>
  <si>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</si>
  <si>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</si>
  <si>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</si>
  <si>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</si>
  <si>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</si>
  <si>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</si>
  <si>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</si>
  <si>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</si>
  <si>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</si>
  <si>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</si>
  <si>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</si>
  <si>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</si>
  <si>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</si>
  <si>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</si>
  <si>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</si>
  <si>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</si>
  <si>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</si>
  <si>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</si>
  <si>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</si>
  <si>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</si>
  <si>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</si>
  <si>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</si>
  <si>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</si>
  <si>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</si>
  <si>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</si>
  <si>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</si>
  <si>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</si>
  <si>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</si>
  <si>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</si>
  <si>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</si>
  <si>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</si>
  <si>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</si>
  <si>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</si>
  <si>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</si>
  <si>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</si>
  <si>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</si>
  <si>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</si>
  <si>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</si>
  <si>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</si>
  <si>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</si>
  <si>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</si>
  <si>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</si>
  <si>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</si>
  <si>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</si>
  <si>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</si>
  <si>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</si>
  <si>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</si>
  <si>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</si>
  <si>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</si>
  <si>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</si>
  <si>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</si>
  <si>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</si>
  <si>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</si>
  <si>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</si>
  <si>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</si>
  <si>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</si>
  <si>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</si>
  <si>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</si>
  <si>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</si>
  <si>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</si>
  <si>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</si>
  <si>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</si>
  <si>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</si>
  <si>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</si>
  <si>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</si>
  <si>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</si>
  <si>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</si>
  <si>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</si>
  <si>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</si>
  <si>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</si>
  <si>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</si>
  <si>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</si>
  <si>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</si>
  <si>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</si>
  <si>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</si>
  <si>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</si>
  <si>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</si>
  <si>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</si>
  <si>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</si>
  <si>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</si>
  <si>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</si>
  <si>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</si>
  <si>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</si>
  <si>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</si>
  <si>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</si>
  <si>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</si>
  <si>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</si>
  <si>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</si>
  <si>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</si>
  <si>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</si>
  <si>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</si>
  <si>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</si>
  <si>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</si>
  <si>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</si>
  <si>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</si>
  <si>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</si>
  <si>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</si>
  <si>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</si>
  <si>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</si>
  <si>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</si>
  <si>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</si>
  <si>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</si>
  <si>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</si>
  <si>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</si>
  <si>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</si>
  <si>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</si>
  <si>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</si>
  <si>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</si>
  <si>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</si>
  <si>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</si>
  <si>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</si>
  <si>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</si>
  <si>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</si>
  <si>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</si>
  <si>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</si>
  <si>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</si>
  <si>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</si>
  <si>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</si>
  <si>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</si>
  <si>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</si>
  <si>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</si>
  <si>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</si>
  <si>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</si>
  <si>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</si>
  <si>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</si>
  <si>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</si>
  <si>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</si>
  <si>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</si>
  <si>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</si>
  <si>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</si>
  <si>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</si>
  <si>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</si>
  <si>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</si>
  <si>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</si>
  <si>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</si>
  <si>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</si>
  <si>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</si>
  <si>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</si>
  <si>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</si>
  <si>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</si>
  <si>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</si>
  <si>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</si>
  <si>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</si>
  <si>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</si>
  <si>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</si>
  <si>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</si>
  <si>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</si>
  <si>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</si>
  <si>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</si>
  <si>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</si>
  <si>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</si>
  <si>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</si>
  <si>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</si>
  <si>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</si>
  <si>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</si>
  <si>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</si>
  <si>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</si>
  <si>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</si>
  <si>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</si>
  <si>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</si>
  <si>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</si>
  <si>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</si>
  <si>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</si>
  <si>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</si>
  <si>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</si>
  <si>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</si>
  <si>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</si>
  <si>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</si>
  <si>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</si>
  <si>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</si>
  <si>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</si>
  <si>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</si>
  <si>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</si>
  <si>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</si>
  <si>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</si>
  <si>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</si>
  <si>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</si>
  <si>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</si>
  <si>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</si>
  <si>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</si>
  <si>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</si>
  <si>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</si>
  <si>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</si>
  <si>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</si>
  <si>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</si>
  <si>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</si>
  <si>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</si>
  <si>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</si>
  <si>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</si>
  <si>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</si>
  <si>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</si>
  <si>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</si>
  <si>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</si>
  <si>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</si>
  <si>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</si>
  <si>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</si>
  <si>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</si>
  <si>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</si>
  <si>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</si>
  <si>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</si>
  <si>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</si>
  <si>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</si>
  <si>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</si>
  <si>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</si>
  <si>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</si>
  <si>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</si>
  <si>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</si>
  <si>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</si>
  <si>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</si>
  <si>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</si>
  <si>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</si>
  <si>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</si>
  <si>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</si>
  <si>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</si>
  <si>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</si>
  <si>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</si>
  <si>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</si>
  <si>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</si>
  <si>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</si>
  <si>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</si>
  <si>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</si>
  <si>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</si>
  <si>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</si>
  <si>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</si>
  <si>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</si>
  <si>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</si>
  <si>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</si>
  <si>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</si>
  <si>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</si>
  <si>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</si>
  <si>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</si>
  <si>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</si>
  <si>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</si>
  <si>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</si>
  <si>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</si>
  <si>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</si>
  <si>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</si>
  <si>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</si>
  <si>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</si>
  <si>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</si>
  <si>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</si>
  <si>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</si>
  <si>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</si>
  <si>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</si>
  <si>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</si>
  <si>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</si>
  <si>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</si>
  <si>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</si>
  <si>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</si>
  <si>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</si>
  <si>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</si>
  <si>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</si>
  <si>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</si>
  <si>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</si>
  <si>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</si>
  <si>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</si>
  <si>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</si>
  <si>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</si>
  <si>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</si>
  <si>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</si>
  <si>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</si>
  <si>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</si>
  <si>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</si>
  <si>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</si>
  <si>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</si>
  <si>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</si>
  <si>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</si>
  <si>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</si>
  <si>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</si>
  <si>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</si>
  <si>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</si>
  <si>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</si>
  <si>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</si>
  <si>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</si>
  <si>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</si>
  <si>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</si>
  <si>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</si>
  <si>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</si>
  <si>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</si>
  <si>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</si>
  <si>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</si>
  <si>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</si>
  <si>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</si>
  <si>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</si>
  <si>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</si>
  <si>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</si>
  <si>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</si>
  <si>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</si>
  <si>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</si>
  <si>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</si>
  <si>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</si>
  <si>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</si>
  <si>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</si>
  <si>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</si>
  <si>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</si>
  <si>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</si>
  <si>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</si>
  <si>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</si>
  <si>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</si>
  <si>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</si>
  <si>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</si>
  <si>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</si>
  <si>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</si>
  <si>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</si>
  <si>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</si>
  <si>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</si>
  <si>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</si>
  <si>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</si>
  <si>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</si>
  <si>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</si>
  <si>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</si>
  <si>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</si>
  <si>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</si>
  <si>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</si>
  <si>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</si>
  <si>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</si>
  <si>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</si>
  <si>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</si>
  <si>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</si>
  <si>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</si>
  <si>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</si>
  <si>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</si>
  <si>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</si>
  <si>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</si>
  <si>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</si>
  <si>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</si>
  <si>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</si>
  <si>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</si>
  <si>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</si>
  <si>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</si>
  <si>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</si>
  <si>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</si>
  <si>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</si>
  <si>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</si>
  <si>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</si>
  <si>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</si>
  <si>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</si>
  <si>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</si>
  <si>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</si>
  <si>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</si>
  <si>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</si>
  <si>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</si>
  <si>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</si>
  <si>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</si>
  <si>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</si>
  <si>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</si>
  <si>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</si>
  <si>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</si>
  <si>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</si>
  <si>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</si>
  <si>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</si>
  <si>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</si>
  <si>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</si>
  <si>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</si>
  <si>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</si>
  <si>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</si>
  <si>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</si>
  <si>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</si>
  <si>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</si>
  <si>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</si>
  <si>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</si>
  <si>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</si>
  <si>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</si>
  <si>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</si>
  <si>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</si>
  <si>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</si>
  <si>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</si>
  <si>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</si>
  <si>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</si>
  <si>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</si>
  <si>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</si>
  <si>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</si>
  <si>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</si>
  <si>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</si>
  <si>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</si>
  <si>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</si>
  <si>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</si>
  <si>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</si>
  <si>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</si>
  <si>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</si>
  <si>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</si>
  <si>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</si>
  <si>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</si>
  <si>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</si>
  <si>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</si>
  <si>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</si>
  <si>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</si>
  <si>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</si>
  <si>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</si>
  <si>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</si>
  <si>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</si>
  <si>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</si>
  <si>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</si>
  <si>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</si>
  <si>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</si>
  <si>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</si>
  <si>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</si>
  <si>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</si>
  <si>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</si>
  <si>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</si>
  <si>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</si>
  <si>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</si>
  <si>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</si>
  <si>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</si>
  <si>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</si>
  <si>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</si>
  <si>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</si>
  <si>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</si>
  <si>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</si>
  <si>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</si>
  <si>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</si>
  <si>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</si>
  <si>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</si>
  <si>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</si>
  <si>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</si>
  <si>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</si>
  <si>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</si>
  <si>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</si>
  <si>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</si>
  <si>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</si>
  <si>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</si>
  <si>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</si>
  <si>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</si>
  <si>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</si>
  <si>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</si>
  <si>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</si>
  <si>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</si>
  <si>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</si>
  <si>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</si>
  <si>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</si>
  <si>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</si>
  <si>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</si>
  <si>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</si>
  <si>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</si>
  <si>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</si>
  <si>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</si>
  <si>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</si>
  <si>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</si>
  <si>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</si>
  <si>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</si>
  <si>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</si>
  <si>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</si>
  <si>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</si>
  <si>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</si>
  <si>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</si>
  <si>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</si>
  <si>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</si>
  <si>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</si>
  <si>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</si>
  <si>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</si>
  <si>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</si>
  <si>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</si>
  <si>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</si>
  <si>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</si>
  <si>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</si>
  <si>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</si>
  <si>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</si>
  <si>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</si>
  <si>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</si>
  <si>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</si>
  <si>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</si>
  <si>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</si>
  <si>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</si>
  <si>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</si>
  <si>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</si>
  <si>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</si>
  <si>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</si>
  <si>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</si>
  <si>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</si>
  <si>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</si>
  <si>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</si>
  <si>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</si>
  <si>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</si>
  <si>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</si>
  <si>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</si>
  <si>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</si>
  <si>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</si>
  <si>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</si>
  <si>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</si>
  <si>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</si>
  <si>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</si>
  <si>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</si>
  <si>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</si>
  <si>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</si>
  <si>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</si>
  <si>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</si>
  <si>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</si>
  <si>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</si>
  <si>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</si>
  <si>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</si>
  <si>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</si>
  <si>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</si>
  <si>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</si>
  <si>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</si>
  <si>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</si>
  <si>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</si>
  <si>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</si>
  <si>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</si>
  <si>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</si>
  <si>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</si>
  <si>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</si>
  <si>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</si>
  <si>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</si>
  <si>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</si>
  <si>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</si>
  <si>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</si>
  <si>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</si>
  <si>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</si>
  <si>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</si>
  <si>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</si>
  <si>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</si>
  <si>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</si>
  <si>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</si>
  <si>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</si>
  <si>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</si>
  <si>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</si>
  <si>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</si>
  <si>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</si>
  <si>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</si>
  <si>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</si>
  <si>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</si>
  <si>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</si>
  <si>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</si>
  <si>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</si>
  <si>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</si>
  <si>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</si>
  <si>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</si>
  <si>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</si>
  <si>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</si>
  <si>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</si>
  <si>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</si>
  <si>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</si>
  <si>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</si>
  <si>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</si>
  <si>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</si>
  <si>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</si>
  <si>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</si>
  <si>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</si>
  <si>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</si>
  <si>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</si>
  <si>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</si>
  <si>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</si>
  <si>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</si>
  <si>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</si>
  <si>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</si>
  <si>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</si>
  <si>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</si>
  <si>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</si>
  <si>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</si>
  <si>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</si>
  <si>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</si>
  <si>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</si>
  <si>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</si>
  <si>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</si>
  <si>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</si>
  <si>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</si>
  <si>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</si>
  <si>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</si>
  <si>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</si>
  <si>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</si>
  <si>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</si>
  <si>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</si>
  <si>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</si>
  <si>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</si>
  <si>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</si>
  <si>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</si>
  <si>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</si>
  <si>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</si>
  <si>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</si>
  <si>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</si>
  <si>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</si>
  <si>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</si>
  <si>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</si>
  <si>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</si>
  <si>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</si>
  <si>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</si>
  <si>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</si>
  <si>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</si>
  <si>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</si>
  <si>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</si>
  <si>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</si>
  <si>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</si>
  <si>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</si>
  <si>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</si>
  <si>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</si>
  <si>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</si>
  <si>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</si>
  <si>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</si>
  <si>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</si>
  <si>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</si>
  <si>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</si>
  <si>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</si>
  <si>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</si>
  <si>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</si>
  <si>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</si>
  <si>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</si>
  <si>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</si>
  <si>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</si>
  <si>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</si>
  <si>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</si>
  <si>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</si>
  <si>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</si>
  <si>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</si>
  <si>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</si>
  <si>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</si>
  <si>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</si>
  <si>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</si>
  <si>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</si>
  <si>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</si>
  <si>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</si>
  <si>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</si>
  <si>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</si>
  <si>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</si>
  <si>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</si>
  <si>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</si>
  <si>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</si>
  <si>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</si>
  <si>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</si>
  <si>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</si>
  <si>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</si>
  <si>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</si>
  <si>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</si>
  <si>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</si>
  <si>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</si>
  <si>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</si>
  <si>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</si>
  <si>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</si>
  <si>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</si>
  <si>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</si>
  <si>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</si>
  <si>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</si>
  <si>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</si>
  <si>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</si>
  <si>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</si>
  <si>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</si>
  <si>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</si>
  <si>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</si>
  <si>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</si>
  <si>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</si>
  <si>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</si>
  <si>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</si>
  <si>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</si>
  <si>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</si>
  <si>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</si>
  <si>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</si>
  <si>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</si>
  <si>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</si>
  <si>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</si>
  <si>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</si>
  <si>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</si>
  <si>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</si>
  <si>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</si>
  <si>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</si>
  <si>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</si>
  <si>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</si>
  <si>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</si>
  <si>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</si>
  <si>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</si>
  <si>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</si>
  <si>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</si>
  <si>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</si>
  <si>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</si>
  <si>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</si>
  <si>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</si>
  <si>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</si>
  <si>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</si>
  <si>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</si>
  <si>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</si>
  <si>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</si>
  <si>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</si>
  <si>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</si>
  <si>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</si>
  <si>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</si>
  <si>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</si>
  <si>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</si>
  <si>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</si>
  <si>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</si>
  <si>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</si>
  <si>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</si>
  <si>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</si>
  <si>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</si>
  <si>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</si>
  <si>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</si>
  <si>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</si>
  <si>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</si>
  <si>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</si>
  <si>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</si>
  <si>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</si>
  <si>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</si>
  <si>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</si>
  <si>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</si>
  <si>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</si>
  <si>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</si>
  <si>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</si>
  <si>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</si>
  <si>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</si>
  <si>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</si>
  <si>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</si>
  <si>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</si>
  <si>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</si>
  <si>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</si>
  <si>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</si>
  <si>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</si>
  <si>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</si>
  <si>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</si>
  <si>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</si>
  <si>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</si>
  <si>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</si>
  <si>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</si>
  <si>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</si>
  <si>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</si>
  <si>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</si>
  <si>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</si>
  <si>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</si>
  <si>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</si>
  <si>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</si>
  <si>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</si>
  <si>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</si>
  <si>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</si>
  <si>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</si>
  <si>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</si>
  <si>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</si>
  <si>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</si>
  <si>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</si>
  <si>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</si>
  <si>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</si>
  <si>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</si>
  <si>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</si>
  <si>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</si>
  <si>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</si>
  <si>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</si>
  <si>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</si>
  <si>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</si>
  <si>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</si>
  <si>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</si>
  <si>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</si>
  <si>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</si>
  <si>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</si>
  <si>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</si>
  <si>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</si>
  <si>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</si>
  <si>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</si>
  <si>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</si>
  <si>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</si>
  <si>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</si>
  <si>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</si>
  <si>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</si>
  <si>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</si>
  <si>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</si>
  <si>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</si>
  <si>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</si>
  <si>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</si>
  <si>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</si>
  <si>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</si>
  <si>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</si>
  <si>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</si>
  <si>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</si>
  <si>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</si>
  <si>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</si>
  <si>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</si>
  <si>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</si>
  <si>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</si>
  <si>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</si>
  <si>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</si>
  <si>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</si>
  <si>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</si>
  <si>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</si>
  <si>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</si>
  <si>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</si>
  <si>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</si>
  <si>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</si>
  <si>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</si>
  <si>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</si>
  <si>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</si>
  <si>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</si>
  <si>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</si>
  <si>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</si>
  <si>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</si>
  <si>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</si>
  <si>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</si>
  <si>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</si>
  <si>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</si>
  <si>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</si>
  <si>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</si>
  <si>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</si>
  <si>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</si>
  <si>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</si>
  <si>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</si>
  <si>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</si>
  <si>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</si>
  <si>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</si>
  <si>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</si>
  <si>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</si>
  <si>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</si>
  <si>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</si>
  <si>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</si>
  <si>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</si>
  <si>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</si>
  <si>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</si>
  <si>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</si>
  <si>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</si>
  <si>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</si>
  <si>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</si>
  <si>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</si>
  <si>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</si>
  <si>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</si>
  <si>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</si>
  <si>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</si>
  <si>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</si>
  <si>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</si>
  <si>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</si>
  <si>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</si>
  <si>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</si>
  <si>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</si>
  <si>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</si>
  <si>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</si>
  <si>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</si>
  <si>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</si>
  <si>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</si>
  <si>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</si>
  <si>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</si>
  <si>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</si>
  <si>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</si>
  <si>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</si>
  <si>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</si>
  <si>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</si>
  <si>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</si>
  <si>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</si>
  <si>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</si>
  <si>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</si>
  <si>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</si>
  <si>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</si>
  <si>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</si>
  <si>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</si>
  <si>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</si>
  <si>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</si>
  <si>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</si>
  <si>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</si>
  <si>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</si>
  <si>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</si>
  <si>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</si>
  <si>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</si>
  <si>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</si>
  <si>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</si>
  <si>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</si>
  <si>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</si>
  <si>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</si>
  <si>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</si>
  <si>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</si>
  <si>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</si>
  <si>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</si>
  <si>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</si>
  <si>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</si>
  <si>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</si>
  <si>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</si>
  <si>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</si>
  <si>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</si>
  <si>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</si>
  <si>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</si>
  <si>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</si>
  <si>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</si>
  <si>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</si>
  <si>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</si>
  <si>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</si>
  <si>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</si>
  <si>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</si>
  <si>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</si>
  <si>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</si>
  <si>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</si>
  <si>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</si>
  <si>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</si>
  <si>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</si>
  <si>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</si>
  <si>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</si>
  <si>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</si>
  <si>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</si>
  <si>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</si>
  <si>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</si>
  <si>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</si>
  <si>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</si>
  <si>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</si>
  <si>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</si>
  <si>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</si>
  <si>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</si>
  <si>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</si>
  <si>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</si>
  <si>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</si>
  <si>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</si>
  <si>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</si>
  <si>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</si>
  <si>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</si>
  <si>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</si>
  <si>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</si>
  <si>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</si>
  <si>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</si>
  <si>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</si>
  <si>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</si>
  <si>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</si>
  <si>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</si>
  <si>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</si>
  <si>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</si>
  <si>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</si>
  <si>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</si>
  <si>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</si>
  <si>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</si>
  <si>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</si>
  <si>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</si>
  <si>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</si>
  <si>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</si>
  <si>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</si>
  <si>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</si>
  <si>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</si>
  <si>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</si>
  <si>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</si>
  <si>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</si>
  <si>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</si>
  <si>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</si>
  <si>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</si>
  <si>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</si>
  <si>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</si>
  <si>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</si>
  <si>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</si>
  <si>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</si>
  <si>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</si>
  <si>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</si>
  <si>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</si>
  <si>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</si>
  <si>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</si>
  <si>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</si>
  <si>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</si>
  <si>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</si>
  <si>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</si>
  <si>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</si>
  <si>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</si>
  <si>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</si>
  <si>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</si>
  <si>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</si>
  <si>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</si>
  <si>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</si>
  <si>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</si>
  <si>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</si>
  <si>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</si>
  <si>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</si>
  <si>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</si>
  <si>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</si>
  <si>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</si>
  <si>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</si>
  <si>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</si>
  <si>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</si>
  <si>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</si>
  <si>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</si>
  <si>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</si>
  <si>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</si>
  <si>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</si>
  <si>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</si>
  <si>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</si>
  <si>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</si>
  <si>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</si>
  <si>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</si>
  <si>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</si>
  <si>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</si>
  <si>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</si>
  <si>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</si>
  <si>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</si>
  <si>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</si>
  <si>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</si>
  <si>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</si>
  <si>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</si>
  <si>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</si>
  <si>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</si>
  <si>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</si>
  <si>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</si>
  <si>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</si>
  <si>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</si>
  <si>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</si>
  <si>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</si>
  <si>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</si>
  <si>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</si>
  <si>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</si>
  <si>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</si>
  <si>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</si>
  <si>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</si>
  <si>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</si>
  <si>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</si>
  <si>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</si>
  <si>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</si>
  <si>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</si>
  <si>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</si>
  <si>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</si>
  <si>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</si>
  <si>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</si>
  <si>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</si>
  <si>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</si>
  <si>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</si>
  <si>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</si>
  <si>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</si>
  <si>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</si>
  <si>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</si>
  <si>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</si>
  <si>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</si>
  <si>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</si>
  <si>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</si>
  <si>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</si>
  <si>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</si>
  <si>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</si>
  <si>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</si>
  <si>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</si>
  <si>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</si>
  <si>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</si>
  <si>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</si>
  <si>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</si>
  <si>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</si>
  <si>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</si>
  <si>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</si>
  <si>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</si>
  <si>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</si>
  <si>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</si>
  <si>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</si>
  <si>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</si>
  <si>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</si>
  <si>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</si>
  <si>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</si>
  <si>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</si>
  <si>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</si>
  <si>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</si>
  <si>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</si>
  <si>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</si>
  <si>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</si>
  <si>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</si>
  <si>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</si>
  <si>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</si>
  <si>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</si>
  <si>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</si>
  <si>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</si>
  <si>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</si>
  <si>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</si>
  <si>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</si>
  <si>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</si>
  <si>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</si>
  <si>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</si>
  <si>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</si>
  <si>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</si>
  <si>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</si>
  <si>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</si>
  <si>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</si>
  <si>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</si>
  <si>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</si>
  <si>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</si>
  <si>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</si>
  <si>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</si>
  <si>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</si>
  <si>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</si>
  <si>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</si>
  <si>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</si>
  <si>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</si>
  <si>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</si>
  <si>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</si>
  <si>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</si>
  <si>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</si>
  <si>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</si>
  <si>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</si>
  <si>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</si>
  <si>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</si>
  <si>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</si>
  <si>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</si>
  <si>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</si>
  <si>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</si>
  <si>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</si>
  <si>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</si>
  <si>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</si>
  <si>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</si>
  <si>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</si>
  <si>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</si>
  <si>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</si>
  <si>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</si>
  <si>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</si>
  <si>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</si>
  <si>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</si>
  <si>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</si>
  <si>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</si>
  <si>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</si>
  <si>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</si>
  <si>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</si>
  <si>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</si>
  <si>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</si>
  <si>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</si>
  <si>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</si>
  <si>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</si>
  <si>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</si>
  <si>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</si>
  <si>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</si>
  <si>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</si>
  <si>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</si>
  <si>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</si>
  <si>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</si>
  <si>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</si>
  <si>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</si>
  <si>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</si>
  <si>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</si>
  <si>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</si>
  <si>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</si>
  <si>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</si>
  <si>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</si>
  <si>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</si>
  <si>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</si>
  <si>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</si>
  <si>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</si>
  <si>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</si>
  <si>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</si>
  <si>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</si>
  <si>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</si>
  <si>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</si>
  <si>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</si>
  <si>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</si>
  <si>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</si>
  <si>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</si>
  <si>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</si>
  <si>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</si>
  <si>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</si>
  <si>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</si>
  <si>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</si>
  <si>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</si>
  <si>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</si>
  <si>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</si>
  <si>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</si>
  <si>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</si>
  <si>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</si>
  <si>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</si>
  <si>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</si>
  <si>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</si>
  <si>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</si>
  <si>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</si>
  <si>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</si>
  <si>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</si>
  <si>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</si>
  <si>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</si>
  <si>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</si>
  <si>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</si>
  <si>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</si>
  <si>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</si>
  <si>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</si>
  <si>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</si>
  <si>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</si>
  <si>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</si>
  <si>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</si>
  <si>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</si>
  <si>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</si>
  <si>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</si>
  <si>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</si>
  <si>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</si>
  <si>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</si>
  <si>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</si>
  <si>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</si>
  <si>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</si>
  <si>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</si>
  <si>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</si>
  <si>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</si>
  <si>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</si>
  <si>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</si>
  <si>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</si>
  <si>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</si>
  <si>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</si>
  <si>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</si>
  <si>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</si>
  <si>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</si>
  <si>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</si>
  <si>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</si>
  <si>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</si>
  <si>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</si>
  <si>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</si>
  <si>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</si>
  <si>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</si>
  <si>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</si>
  <si>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</si>
  <si>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</si>
  <si>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</si>
  <si>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</si>
  <si>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</si>
  <si>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</si>
  <si>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</si>
  <si>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</si>
  <si>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</si>
  <si>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</si>
  <si>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</si>
  <si>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</si>
  <si>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</si>
  <si>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</si>
  <si>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</si>
  <si>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</si>
  <si>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</si>
  <si>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</si>
  <si>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</si>
  <si>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</si>
  <si>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</si>
  <si>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</si>
  <si>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</si>
  <si>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</si>
  <si>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</si>
  <si>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</si>
  <si>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</si>
  <si>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</si>
  <si>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</si>
  <si>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</si>
  <si>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</si>
  <si>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</si>
  <si>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</si>
  <si>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</si>
  <si>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</si>
  <si>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</si>
  <si>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</si>
  <si>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</si>
  <si>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</si>
  <si>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</si>
  <si>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</si>
  <si>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</si>
  <si>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</si>
  <si>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</si>
  <si>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</si>
  <si>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</si>
  <si>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</si>
  <si>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</si>
  <si>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</si>
  <si>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</si>
  <si>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</si>
  <si>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</si>
  <si>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</si>
  <si>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</si>
  <si>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</si>
  <si>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</si>
  <si>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</si>
  <si>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</si>
  <si>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</si>
  <si>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</si>
  <si>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</si>
  <si>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</si>
  <si>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</si>
  <si>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</si>
  <si>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</si>
  <si>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</si>
  <si>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</si>
  <si>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</si>
  <si>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</si>
  <si>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</si>
  <si>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</si>
  <si>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</si>
  <si>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</si>
  <si>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</si>
  <si>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</si>
  <si>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</si>
  <si>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</si>
  <si>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</si>
  <si>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</si>
  <si>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</si>
  <si>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</si>
  <si>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</si>
  <si>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</si>
  <si>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</si>
  <si>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</si>
  <si>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</si>
  <si>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</si>
  <si>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</si>
  <si>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</si>
  <si>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</si>
  <si>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</si>
  <si>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</si>
  <si>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</si>
  <si>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</si>
  <si>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</si>
  <si>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</si>
  <si>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</si>
  <si>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</si>
  <si>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</si>
  <si>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</si>
  <si>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</si>
  <si>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</si>
  <si>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</si>
  <si>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</si>
  <si>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</si>
  <si>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</si>
  <si>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</si>
  <si>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</si>
  <si>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</si>
  <si>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</si>
  <si>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</si>
  <si>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</si>
  <si>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</si>
  <si>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</si>
  <si>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</si>
  <si>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</si>
  <si>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</si>
  <si>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</si>
  <si>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</si>
  <si>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</si>
  <si>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</si>
  <si>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</si>
  <si>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</si>
  <si>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</si>
  <si>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</si>
  <si>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</si>
  <si>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</si>
  <si>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</si>
  <si>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</si>
  <si>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</si>
  <si>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</si>
  <si>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</si>
  <si>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</si>
  <si>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</si>
  <si>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</si>
  <si>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</si>
  <si>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</si>
  <si>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</si>
  <si>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</si>
  <si>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</si>
  <si>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</si>
  <si>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</si>
  <si>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</si>
  <si>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</si>
  <si>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</si>
  <si>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</si>
  <si>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</si>
  <si>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</si>
  <si>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</si>
  <si>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</si>
  <si>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</si>
  <si>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</si>
  <si>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</si>
  <si>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</si>
  <si>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</si>
  <si>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</si>
  <si>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</si>
  <si>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</si>
  <si>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</si>
  <si>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</si>
  <si>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</si>
  <si>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</si>
  <si>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</si>
  <si>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</si>
  <si>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</si>
  <si>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</si>
  <si>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</si>
  <si>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</si>
  <si>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</si>
  <si>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</si>
  <si>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</si>
  <si>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</si>
  <si>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</si>
  <si>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</si>
  <si>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</si>
  <si>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</si>
  <si>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</si>
  <si>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</si>
  <si>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</si>
  <si>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</si>
  <si>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</si>
  <si>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</si>
  <si>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</si>
  <si>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</si>
  <si>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</si>
  <si>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</si>
  <si>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</si>
  <si>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</si>
  <si>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</si>
  <si>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</si>
  <si>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</si>
  <si>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</si>
  <si>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</si>
  <si>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</si>
  <si>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</si>
  <si>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</si>
  <si>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</si>
  <si>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</si>
  <si>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</si>
  <si>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</si>
  <si>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</si>
  <si>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</si>
  <si>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</si>
  <si>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</si>
  <si>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</si>
  <si>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</si>
  <si>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</si>
  <si>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</si>
  <si>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</si>
  <si>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</si>
  <si>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</si>
  <si>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</si>
  <si>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</si>
  <si>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</si>
  <si>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</si>
  <si>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</si>
  <si>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</si>
  <si>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</si>
  <si>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</si>
  <si>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</si>
  <si>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</si>
  <si>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</si>
  <si>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</si>
  <si>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</si>
  <si>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</si>
  <si>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</si>
  <si>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</si>
  <si>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</si>
  <si>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</si>
  <si>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</si>
  <si>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</si>
  <si>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</si>
  <si>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</si>
  <si>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</si>
  <si>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</si>
  <si>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</si>
  <si>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</si>
  <si>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</si>
  <si>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</si>
  <si>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</si>
  <si>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</si>
  <si>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</si>
  <si>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</si>
  <si>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</si>
  <si>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</si>
  <si>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</si>
  <si>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</si>
  <si>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</si>
  <si>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</si>
  <si>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</si>
  <si>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</si>
  <si>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</si>
  <si>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</si>
  <si>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</si>
  <si>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</si>
  <si>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</si>
  <si>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</si>
  <si>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</si>
  <si>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</si>
  <si>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</si>
  <si>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</si>
  <si>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</si>
  <si>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</si>
  <si>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</si>
  <si>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</si>
  <si>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</si>
  <si>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</si>
  <si>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</si>
  <si>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</si>
  <si>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</si>
  <si>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</si>
  <si>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</si>
  <si>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</si>
  <si>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</si>
  <si>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</si>
  <si>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</si>
  <si>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</si>
  <si>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</si>
  <si>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</si>
  <si>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</si>
  <si>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</si>
  <si>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</si>
  <si>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</si>
  <si>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</si>
  <si>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</si>
  <si>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</si>
  <si>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</si>
  <si>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</si>
  <si>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</si>
  <si>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</si>
  <si>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</si>
  <si>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</si>
  <si>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</si>
  <si>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</si>
  <si>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</si>
  <si>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</si>
  <si>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</si>
  <si>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</si>
  <si>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</si>
  <si>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</si>
  <si>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</si>
  <si>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</si>
  <si>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</si>
  <si>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</si>
  <si>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</si>
  <si>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</si>
  <si>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</si>
  <si>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</si>
  <si>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</si>
  <si>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</si>
  <si>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</si>
  <si>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</si>
  <si>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</si>
  <si>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</si>
  <si>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</si>
  <si>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</si>
  <si>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</si>
  <si>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</si>
  <si>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</si>
  <si>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</si>
  <si>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</si>
  <si>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</si>
  <si>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</si>
  <si>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</si>
  <si>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</si>
  <si>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</si>
  <si>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</si>
  <si>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</si>
  <si>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</si>
  <si>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</si>
  <si>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</si>
  <si>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</si>
  <si>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</si>
  <si>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</si>
  <si>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</si>
  <si>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</si>
  <si>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</si>
  <si>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</si>
  <si>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</si>
  <si>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</si>
  <si>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</si>
  <si>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</si>
  <si>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</si>
  <si>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</si>
  <si>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</si>
  <si>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</si>
  <si>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</si>
  <si>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</si>
  <si>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</si>
  <si>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</si>
  <si>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</si>
  <si>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</si>
  <si>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</si>
  <si>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</si>
  <si>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</si>
  <si>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</si>
  <si>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</si>
  <si>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</si>
  <si>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</si>
  <si>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</si>
  <si>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</si>
  <si>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</si>
  <si>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</si>
  <si>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</si>
  <si>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</si>
  <si>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</si>
  <si>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</si>
  <si>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</si>
  <si>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</si>
  <si>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</si>
  <si>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</si>
  <si>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</si>
  <si>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</si>
  <si>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</si>
  <si>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</si>
  <si>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</si>
  <si>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</si>
  <si>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</si>
  <si>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</si>
  <si>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</si>
  <si>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</si>
  <si>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</si>
  <si>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</si>
  <si>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</si>
  <si>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</si>
  <si>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</si>
  <si>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</si>
  <si>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</si>
  <si>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</si>
  <si>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</si>
  <si>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</si>
  <si>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</si>
  <si>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</si>
  <si>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</si>
  <si>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</si>
  <si>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</si>
  <si>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</si>
  <si>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</si>
  <si>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</si>
  <si>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</si>
  <si>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</si>
  <si>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</si>
  <si>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</si>
  <si>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</si>
  <si>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</si>
  <si>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</si>
  <si>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</si>
  <si>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</si>
  <si>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</si>
  <si>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</si>
  <si>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</si>
  <si>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</si>
  <si>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</si>
  <si>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</si>
  <si>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</si>
  <si>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</si>
  <si>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</si>
  <si>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</si>
  <si>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</si>
  <si>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</si>
  <si>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</si>
  <si>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</si>
  <si>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</si>
  <si>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</si>
  <si>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</si>
  <si>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</si>
  <si>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</si>
  <si>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</si>
  <si>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</si>
  <si>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</si>
  <si>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</si>
  <si>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</si>
  <si>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</si>
  <si>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</si>
  <si>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</si>
  <si>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</si>
  <si>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</si>
  <si>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</si>
  <si>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</si>
  <si>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</si>
  <si>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</si>
  <si>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</si>
  <si>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</si>
  <si>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</si>
  <si>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</si>
  <si>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</si>
  <si>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</si>
  <si>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</si>
  <si>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</si>
  <si>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</si>
  <si>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</si>
  <si>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</si>
  <si>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</si>
  <si>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</si>
  <si>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</si>
  <si>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</si>
  <si>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</si>
  <si>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</si>
  <si>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</si>
  <si>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</si>
  <si>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</si>
  <si>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</si>
  <si>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</si>
  <si>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</si>
  <si>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</si>
  <si>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</si>
  <si>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</si>
  <si>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</si>
  <si>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</si>
  <si>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</si>
  <si>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</si>
  <si>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</si>
  <si>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</si>
  <si>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</si>
  <si>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</si>
  <si>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</si>
  <si>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</si>
  <si>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</si>
  <si>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</si>
  <si>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</si>
  <si>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</si>
  <si>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</si>
  <si>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</si>
  <si>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</si>
  <si>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</si>
  <si>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</si>
  <si>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</si>
  <si>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</si>
  <si>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</si>
  <si>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</si>
  <si>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</si>
  <si>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</si>
  <si>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</si>
  <si>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</si>
  <si>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</si>
  <si>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</si>
  <si>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</si>
  <si>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</si>
  <si>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</si>
  <si>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</si>
  <si>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</si>
  <si>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</si>
  <si>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</si>
  <si>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</si>
  <si>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</si>
  <si>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</si>
  <si>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</si>
  <si>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</si>
  <si>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</si>
  <si>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</si>
  <si>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</si>
  <si>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</si>
  <si>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</si>
  <si>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</si>
  <si>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</si>
  <si>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</si>
  <si>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</si>
  <si>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</si>
  <si>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</si>
  <si>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</si>
  <si>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</si>
  <si>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</si>
  <si>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</si>
  <si>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</si>
  <si>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</si>
  <si>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</si>
  <si>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</si>
  <si>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</si>
  <si>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</si>
  <si>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</si>
  <si>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</si>
  <si>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</si>
  <si>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</si>
  <si>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</si>
  <si>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</si>
  <si>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</si>
  <si>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</si>
  <si>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</si>
  <si>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</si>
  <si>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</si>
  <si>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</si>
  <si>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</si>
  <si>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</si>
  <si>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</si>
  <si>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</si>
  <si>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</si>
  <si>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</si>
  <si>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</si>
  <si>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</si>
  <si>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</si>
  <si>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</si>
  <si>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</si>
  <si>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</si>
  <si>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</si>
  <si>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</si>
  <si>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</si>
  <si>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</si>
  <si>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</si>
  <si>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</si>
  <si>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</si>
  <si>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</si>
  <si>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</si>
  <si>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</si>
  <si>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</si>
  <si>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</si>
  <si>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</si>
  <si>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</si>
  <si>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</si>
  <si>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</si>
  <si>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</si>
  <si>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</si>
  <si>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</si>
  <si>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</si>
  <si>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</si>
  <si>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</si>
  <si>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</si>
  <si>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</si>
  <si>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</si>
  <si>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</si>
  <si>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</si>
  <si>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</si>
  <si>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</si>
  <si>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</si>
  <si>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</si>
  <si>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</si>
  <si>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</si>
  <si>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</si>
  <si>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</si>
  <si>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</si>
  <si>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</si>
  <si>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</si>
  <si>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</si>
  <si>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</si>
  <si>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</si>
  <si>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</si>
  <si>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</si>
  <si>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</si>
  <si>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</si>
  <si>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</si>
  <si>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</si>
  <si>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</si>
  <si>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</si>
  <si>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</si>
  <si>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</si>
  <si>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</si>
  <si>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</si>
  <si>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</si>
  <si>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</si>
  <si>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</si>
  <si>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</si>
  <si>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</si>
  <si>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</si>
  <si>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</si>
  <si>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</si>
  <si>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</si>
  <si>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</si>
  <si>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</si>
  <si>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</si>
  <si>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</si>
  <si>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</si>
  <si>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</si>
  <si>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</si>
  <si>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</si>
  <si>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</si>
  <si>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</si>
  <si>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</si>
  <si>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</si>
  <si>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</si>
  <si>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</si>
  <si>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</si>
  <si>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</si>
  <si>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</si>
  <si>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</si>
  <si>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</si>
  <si>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</si>
  <si>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</si>
  <si>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</si>
  <si>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</si>
  <si>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</si>
  <si>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</si>
  <si>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</si>
  <si>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</si>
  <si>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</si>
  <si>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</si>
  <si>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</si>
  <si>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</si>
  <si>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</si>
  <si>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</si>
  <si>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</si>
  <si>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</si>
  <si>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</si>
  <si>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</si>
  <si>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</si>
  <si>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</si>
  <si>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</si>
  <si>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</si>
  <si>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</si>
  <si>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</si>
  <si>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</si>
  <si>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</si>
  <si>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</si>
  <si>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</si>
  <si>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</si>
  <si>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</si>
  <si>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</si>
  <si>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</si>
  <si>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</si>
  <si>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</si>
  <si>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</si>
  <si>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</si>
  <si>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</si>
  <si>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</si>
  <si>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</si>
  <si>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</si>
  <si>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</si>
  <si>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</si>
  <si>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</si>
  <si>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</si>
  <si>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</si>
  <si>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</si>
  <si>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</si>
  <si>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</si>
  <si>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</si>
  <si>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</si>
  <si>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</si>
  <si>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</si>
  <si>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</si>
  <si>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</si>
  <si>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</si>
  <si>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</si>
  <si>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</si>
  <si>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</si>
  <si>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</si>
  <si>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</si>
  <si>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</si>
  <si>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</si>
  <si>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</si>
  <si>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</si>
  <si>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</si>
  <si>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</si>
  <si>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</si>
  <si>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</si>
  <si>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</si>
  <si>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</si>
  <si>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</si>
  <si>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</si>
  <si>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</si>
  <si>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</si>
  <si>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</si>
  <si>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</si>
  <si>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</si>
  <si>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</si>
  <si>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</si>
  <si>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</si>
  <si>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</si>
  <si>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</si>
  <si>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</si>
  <si>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</si>
  <si>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</si>
  <si>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</si>
  <si>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</si>
  <si>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</si>
  <si>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</si>
  <si>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</si>
  <si>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</si>
  <si>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</si>
  <si>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</si>
  <si>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</si>
  <si>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</si>
  <si>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</si>
  <si>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</si>
  <si>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</si>
  <si>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</si>
  <si>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</si>
  <si>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</si>
  <si>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</si>
  <si>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</si>
  <si>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</si>
  <si>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</si>
  <si>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</si>
  <si>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</si>
  <si>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</si>
  <si>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</si>
  <si>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</si>
  <si>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</si>
  <si>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</si>
  <si>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</si>
  <si>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</si>
  <si>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</si>
  <si>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</si>
  <si>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</si>
  <si>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</si>
  <si>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</si>
  <si>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</si>
  <si>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</si>
  <si>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</si>
  <si>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</si>
  <si>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</si>
  <si>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</si>
  <si>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</si>
  <si>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</si>
  <si>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</si>
  <si>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</si>
  <si>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</si>
  <si>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</si>
  <si>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</si>
  <si>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</si>
  <si>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</si>
  <si>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</si>
  <si>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</si>
  <si>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</si>
  <si>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</si>
  <si>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</si>
  <si>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</si>
  <si>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</si>
  <si>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</si>
  <si>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</si>
  <si>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</si>
  <si>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</si>
  <si>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</si>
  <si>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</si>
  <si>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</si>
  <si>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</si>
  <si>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</si>
  <si>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</si>
  <si>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</si>
  <si>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</si>
  <si>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</si>
  <si>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</si>
  <si>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</si>
  <si>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</si>
  <si>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</si>
  <si>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</si>
  <si>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</si>
  <si>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</si>
  <si>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</si>
  <si>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</si>
  <si>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</si>
  <si>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</si>
  <si>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</si>
  <si>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</si>
  <si>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</si>
  <si>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</si>
  <si>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</si>
  <si>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</si>
  <si>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</si>
  <si>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</si>
  <si>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</si>
  <si>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</si>
  <si>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</si>
  <si>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</si>
  <si>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</si>
  <si>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</si>
  <si>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</si>
  <si>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</si>
  <si>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</si>
  <si>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</si>
  <si>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</si>
  <si>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</si>
  <si>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</si>
  <si>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</si>
  <si>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</si>
  <si>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</si>
  <si>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</si>
  <si>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</si>
  <si>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</si>
  <si>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</si>
  <si>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</si>
  <si>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</si>
  <si>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</si>
  <si>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</si>
  <si>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</si>
  <si>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</si>
  <si>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</si>
  <si>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</si>
  <si>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</si>
  <si>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</si>
  <si>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</si>
  <si>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</si>
  <si>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</si>
  <si>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</si>
  <si>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</si>
  <si>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</si>
  <si>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</si>
  <si>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</si>
  <si>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</si>
  <si>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</si>
  <si>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</si>
  <si>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</si>
  <si>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</si>
  <si>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</si>
  <si>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</si>
  <si>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</si>
  <si>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</si>
  <si>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</si>
  <si>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</si>
  <si>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</si>
  <si>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</si>
  <si>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</si>
  <si>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</si>
  <si>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</si>
  <si>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</si>
  <si>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</si>
  <si>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</si>
  <si>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</si>
  <si>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</si>
  <si>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</si>
  <si>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</si>
  <si>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</si>
  <si>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</si>
  <si>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</si>
  <si>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</si>
  <si>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</si>
  <si>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</si>
  <si>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</si>
  <si>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</si>
  <si>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</si>
  <si>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</si>
  <si>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</si>
  <si>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</si>
  <si>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</si>
  <si>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</si>
  <si>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</si>
  <si>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</si>
  <si>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</si>
  <si>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</si>
  <si>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</si>
  <si>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</si>
  <si>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</si>
  <si>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</si>
  <si>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</si>
  <si>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</si>
  <si>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</si>
  <si>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</si>
  <si>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</si>
  <si>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</si>
  <si>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</si>
  <si>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</si>
  <si>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</si>
  <si>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</si>
  <si>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</si>
  <si>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</si>
  <si>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</si>
  <si>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</si>
  <si>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</si>
  <si>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</si>
  <si>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</si>
  <si>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</si>
  <si>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</si>
  <si>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</si>
  <si>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</si>
  <si>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</si>
  <si>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</si>
  <si>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</si>
  <si>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</si>
  <si>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</si>
  <si>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</si>
  <si>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</si>
  <si>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</si>
  <si>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</si>
  <si>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</si>
  <si>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</si>
  <si>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</si>
  <si>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</si>
  <si>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</si>
  <si>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</si>
  <si>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</si>
  <si>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</si>
  <si>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</si>
  <si>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</si>
  <si>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</si>
  <si>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</si>
  <si>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</si>
  <si>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</si>
  <si>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</si>
  <si>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</si>
  <si>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</si>
  <si>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</si>
  <si>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</si>
  <si>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</si>
  <si>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</si>
  <si>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</si>
  <si>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</si>
  <si>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</si>
  <si>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</si>
  <si>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</si>
  <si>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</si>
  <si>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</si>
  <si>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</si>
  <si>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</si>
  <si>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</si>
  <si>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</si>
  <si>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</si>
  <si>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</si>
  <si>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</si>
  <si>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</si>
  <si>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</si>
  <si>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</si>
  <si>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</si>
  <si>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</si>
  <si>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</si>
  <si>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</si>
  <si>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</si>
  <si>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</si>
  <si>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</si>
  <si>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</si>
  <si>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</si>
  <si>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</si>
  <si>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</si>
  <si>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</si>
  <si>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</si>
  <si>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</si>
  <si>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</si>
  <si>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</si>
  <si>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</si>
  <si>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</si>
  <si>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</si>
  <si>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</si>
  <si>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</si>
  <si>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</si>
  <si>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</si>
  <si>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</si>
  <si>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</si>
  <si>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</si>
  <si>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</si>
  <si>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</si>
  <si>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</si>
  <si>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</si>
  <si>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</si>
  <si>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</si>
  <si>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</si>
  <si>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</si>
  <si>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</si>
  <si>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</si>
  <si>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</si>
  <si>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</si>
  <si>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</si>
  <si>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</si>
  <si>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</si>
  <si>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</si>
  <si>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</si>
  <si>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</si>
  <si>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</si>
  <si>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</si>
  <si>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</si>
  <si>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</si>
  <si>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</si>
  <si>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</si>
  <si>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</si>
  <si>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</si>
  <si>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</si>
  <si>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</si>
  <si>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</si>
  <si>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</si>
  <si>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</si>
  <si>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</si>
  <si>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</si>
  <si>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</si>
  <si>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</si>
  <si>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</si>
  <si>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</si>
  <si>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</si>
  <si>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</si>
  <si>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</si>
  <si>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</si>
  <si>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</si>
  <si>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</si>
  <si>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</si>
  <si>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</si>
  <si>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</si>
  <si>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</si>
  <si>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</si>
  <si>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</si>
  <si>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</si>
  <si>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</si>
  <si>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</si>
  <si>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</si>
  <si>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</si>
  <si>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</si>
  <si>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</si>
  <si>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</si>
  <si>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</si>
  <si>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</si>
  <si>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</si>
  <si>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</si>
  <si>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</si>
  <si>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</si>
  <si>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</si>
  <si>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</si>
  <si>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</si>
  <si>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</si>
  <si>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</si>
  <si>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</si>
  <si>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</si>
  <si>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</si>
  <si>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</si>
  <si>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</si>
  <si>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</si>
  <si>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</si>
  <si>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</si>
  <si>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</si>
  <si>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</si>
  <si>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</si>
  <si>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</si>
  <si>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</si>
  <si>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</si>
  <si>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</si>
  <si>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</si>
  <si>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</si>
  <si>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</si>
  <si>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</si>
  <si>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</si>
  <si>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</si>
  <si>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</si>
  <si>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</si>
  <si>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</si>
  <si>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</si>
  <si>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</si>
  <si>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</si>
  <si>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</si>
  <si>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</si>
  <si>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</si>
  <si>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</si>
  <si>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</si>
  <si>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</si>
  <si>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</si>
  <si>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</si>
  <si>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</si>
  <si>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</si>
  <si>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</si>
  <si>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</si>
  <si>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</si>
  <si>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</si>
  <si>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</si>
  <si>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</si>
  <si>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</si>
  <si>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</si>
  <si>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</si>
  <si>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</si>
  <si>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</si>
  <si>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</si>
  <si>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</si>
  <si>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</si>
  <si>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</si>
  <si>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</si>
  <si>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</si>
  <si>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</si>
  <si>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</si>
  <si>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</si>
  <si>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</si>
  <si>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</si>
  <si>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</si>
  <si>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</si>
  <si>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</si>
  <si>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</si>
  <si>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</si>
  <si>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</si>
  <si>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</si>
  <si>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</si>
  <si>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</si>
  <si>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</si>
  <si>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</si>
  <si>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</si>
  <si>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</si>
  <si>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</si>
  <si>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</si>
  <si>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</si>
  <si>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</si>
  <si>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</si>
  <si>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</si>
  <si>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</si>
  <si>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</si>
  <si>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</si>
  <si>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</si>
  <si>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</si>
  <si>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</si>
  <si>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</si>
  <si>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</si>
  <si>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</si>
  <si>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</si>
  <si>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</si>
  <si>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</si>
  <si>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</si>
  <si>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</si>
  <si>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</si>
  <si>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</si>
  <si>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</si>
  <si>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</si>
  <si>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</si>
  <si>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</si>
  <si>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</si>
  <si>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</si>
  <si>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</si>
  <si>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</si>
  <si>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</si>
  <si>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</si>
  <si>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</si>
  <si>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</si>
  <si>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</si>
  <si>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</si>
  <si>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</si>
  <si>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</si>
  <si>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</si>
  <si>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</si>
  <si>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</si>
  <si>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</si>
  <si>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</si>
  <si>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</si>
  <si>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</si>
  <si>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</si>
  <si>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</si>
  <si>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</si>
  <si>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</si>
  <si>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</si>
  <si>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</si>
  <si>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</si>
  <si>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</si>
  <si>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</si>
  <si>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</si>
  <si>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</si>
  <si>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</si>
  <si>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</si>
  <si>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</si>
  <si>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</si>
  <si>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</si>
  <si>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</si>
  <si>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</si>
  <si>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</si>
  <si>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</si>
  <si>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</si>
  <si>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</si>
  <si>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</si>
  <si>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</si>
  <si>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</si>
  <si>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</si>
  <si>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</si>
  <si>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</si>
  <si>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</si>
  <si>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</si>
  <si>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</si>
  <si>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</si>
  <si>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</si>
  <si>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</si>
  <si>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</si>
  <si>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</si>
  <si>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</si>
  <si>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</si>
  <si>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</si>
  <si>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</si>
  <si>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</si>
  <si>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</si>
  <si>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</si>
  <si>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</si>
  <si>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we p</t>
  </si>
  <si>
    <t>Count of 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</si>
  <si>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</si>
  <si>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</si>
  <si>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</si>
  <si>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</si>
  <si>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</si>
  <si>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</si>
  <si>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</si>
  <si>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</si>
  <si>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</si>
  <si>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</si>
  <si>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</si>
  <si>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</si>
  <si>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</si>
  <si>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</si>
  <si>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</si>
  <si>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</si>
  <si>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</si>
  <si>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</si>
  <si>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</si>
  <si>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</si>
  <si>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</si>
  <si>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Cancelled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</si>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</sst>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1" xfId="1" applyAlignment="1">
      <alignment horizontal="center"/>
    </xf>
    <xf numFmtId="10" fontId="0" fillId="0" borderId="0" xfId="0" applyNumberFormat="1"/>
  </cellXfs>
  <cellStyles count="2">
    <cellStyle name="Heading 3" xfId="1" builtinId="18"/>
    <cellStyle name="Normal" xfId="0" builtinId="0"/>
  </cellStyles>
  <dxfs count="6">
    <dxf>
      <numFmt numFmtId="14" formatCode="0.00%"/>
    </dxf>
    <dxf>
      <numFmt numFmtId="14" formatCode="0.00%"/>
    </dxf>
    <dxf>
      <numFmt numFmtId="14" formatCode="0.00%"/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4BE-B907-F774C1661A4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4BE-B907-F774C1661A4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E7-44BE-B907-F774C1661A4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4BE-B907-F774C1661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863695"/>
        <c:axId val="254873263"/>
      </c:barChart>
      <c:catAx>
        <c:axId val="25486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73263"/>
        <c:crosses val="autoZero"/>
        <c:auto val="1"/>
        <c:lblAlgn val="ctr"/>
        <c:lblOffset val="100"/>
        <c:noMultiLvlLbl val="0"/>
      </c:catAx>
      <c:valAx>
        <c:axId val="25487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C-4CB3-A721-145056102D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BC-4CB3-A721-145056102D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BC-4CB3-A721-145056102D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BC-4CB3-A721-145056102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36031"/>
        <c:axId val="439863071"/>
      </c:lineChart>
      <c:catAx>
        <c:axId val="43983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63071"/>
        <c:crosses val="autoZero"/>
        <c:auto val="1"/>
        <c:lblAlgn val="ctr"/>
        <c:lblOffset val="100"/>
        <c:noMultiLvlLbl val="0"/>
      </c:catAx>
      <c:valAx>
        <c:axId val="43986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3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6D-4E46-9D6D-7B3678D2919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6D-4E46-9D6D-7B3678D2919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6D-4E46-9D6D-7B3678D29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53424"/>
        <c:axId val="171853840"/>
      </c:lineChart>
      <c:catAx>
        <c:axId val="17185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840"/>
        <c:crosses val="autoZero"/>
        <c:auto val="1"/>
        <c:lblAlgn val="ctr"/>
        <c:lblOffset val="100"/>
        <c:noMultiLvlLbl val="0"/>
      </c:catAx>
      <c:valAx>
        <c:axId val="17185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- Outcomes Based on Goals!PivotTable2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 -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Outcomes Based on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- Outcomes Based on Goals'!$B$4:$B$16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0.72307692307692306</c:v>
                </c:pt>
                <c:pt idx="2">
                  <c:v>0.58333333333333337</c:v>
                </c:pt>
                <c:pt idx="3">
                  <c:v>0.59183673469387754</c:v>
                </c:pt>
                <c:pt idx="4">
                  <c:v>0.55000000000000004</c:v>
                </c:pt>
                <c:pt idx="5">
                  <c:v>0.375</c:v>
                </c:pt>
                <c:pt idx="6">
                  <c:v>0.33333333333333331</c:v>
                </c:pt>
                <c:pt idx="7">
                  <c:v>0.22222222222222221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57-46DA-8950-6C8AAD7EE0E7}"/>
            </c:ext>
          </c:extLst>
        </c:ser>
        <c:ser>
          <c:idx val="1"/>
          <c:order val="1"/>
          <c:tx>
            <c:strRef>
              <c:f>'Pivot - Outcomes Based on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- Outcomes Based on Goals'!$C$4:$C$16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0.27692307692307694</c:v>
                </c:pt>
                <c:pt idx="2">
                  <c:v>0.41666666666666669</c:v>
                </c:pt>
                <c:pt idx="3">
                  <c:v>0.40816326530612246</c:v>
                </c:pt>
                <c:pt idx="4">
                  <c:v>0.45</c:v>
                </c:pt>
                <c:pt idx="5">
                  <c:v>0.625</c:v>
                </c:pt>
                <c:pt idx="6">
                  <c:v>0.66666666666666663</c:v>
                </c:pt>
                <c:pt idx="7">
                  <c:v>0.77777777777777779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7-46DA-8950-6C8AAD7EE0E7}"/>
            </c:ext>
          </c:extLst>
        </c:ser>
        <c:ser>
          <c:idx val="2"/>
          <c:order val="2"/>
          <c:tx>
            <c:strRef>
              <c:f>'Pivot - Outcomes Based on Goals'!$D$3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- Outcomes Based on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57-46DA-8950-6C8AAD7EE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349472"/>
        <c:axId val="559344896"/>
      </c:lineChart>
      <c:catAx>
        <c:axId val="55934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44896"/>
        <c:crosses val="autoZero"/>
        <c:auto val="1"/>
        <c:lblAlgn val="ctr"/>
        <c:lblOffset val="100"/>
        <c:noMultiLvlLbl val="0"/>
      </c:catAx>
      <c:valAx>
        <c:axId val="5593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4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142875</xdr:rowOff>
    </xdr:from>
    <xdr:to>
      <xdr:col>18</xdr:col>
      <xdr:colOff>85725</xdr:colOff>
      <xdr:row>22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E66B0-6F57-43E2-9B37-C3C15A113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161925</xdr:rowOff>
    </xdr:from>
    <xdr:to>
      <xdr:col>14</xdr:col>
      <xdr:colOff>285750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A80A6-7DDE-4EE9-864A-2B6428F91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0</xdr:rowOff>
    </xdr:from>
    <xdr:to>
      <xdr:col>14</xdr:col>
      <xdr:colOff>57150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D0DBE-C1E5-4DC9-9F83-72F6A8920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2</xdr:row>
      <xdr:rowOff>133350</xdr:rowOff>
    </xdr:from>
    <xdr:to>
      <xdr:col>15</xdr:col>
      <xdr:colOff>276225</xdr:colOff>
      <xdr:row>22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A9317-065A-4304-B25C-93264A87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ivot"/>
      <sheetName val="Outcomes Based on Launch Date"/>
      <sheetName val="Edinburgh Research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5.865234259261" createdVersion="7" refreshedVersion="7" minRefreshableVersion="3" recordCount="4114" xr:uid="{73C1EDE2-5BB3-4156-9C91-9BC5D6F99CCA}">
  <cacheSource type="worksheet">
    <worksheetSource ref="A1:R4115" sheet="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5.893199189813" createdVersion="7" refreshedVersion="7" minRefreshableVersion="3" recordCount="4114" xr:uid="{ABCF1997-F176-4519-B059-2592976CBF67}">
  <cacheSource type="worksheet">
    <worksheetSource ref="A1:S4115" sheet="Spread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8.410926620367" createdVersion="7" refreshedVersion="7" minRefreshableVersion="3" recordCount="4114" xr:uid="{7F24342E-FF98-45F8-9175-AA774BA5D3A9}">
  <cacheSource type="worksheet">
    <worksheetSource ref="A1:T4115" sheet="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8.461268055558" createdVersion="7" refreshedVersion="7" minRefreshableVersion="3" recordCount="12" xr:uid="{0B9972B9-45B5-4459-B96E-D28AADE62B18}">
  <cacheSource type="worksheet">
    <worksheetSource ref="A1:H13" sheet="Outcomes Based on Goals"/>
  </cacheSource>
  <cacheFields count="8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s v="15000 19999" u="1"/>
      </sharedItems>
    </cacheField>
    <cacheField name="Number Successful" numFmtId="0">
      <sharedItems containsSemiMixedTypes="0" containsString="0" containsNumber="1" containsInteger="1" minValue="0" maxValue="141"/>
    </cacheField>
    <cacheField name="Number Failed" numFmtId="0">
      <sharedItems containsSemiMixedTypes="0" containsString="0" containsNumber="1" containsInteger="1" minValue="1" maxValue="45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186"/>
    </cacheField>
    <cacheField name="Percentage Successful" numFmtId="10">
      <sharedItems containsSemiMixedTypes="0" containsString="0" containsNumber="1" minValue="0" maxValue="0.8"/>
    </cacheField>
    <cacheField name="Percentage Failed" numFmtId="10">
      <sharedItems containsSemiMixedTypes="0" containsString="0" containsNumber="1" minValue="0.2" maxValue="1"/>
    </cacheField>
    <cacheField name="Percentage Cancel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we p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47"/>
    <n v="18"/>
    <n v="0"/>
    <n v="65"/>
    <n v="0.72307692307692306"/>
    <n v="0.27692307692307694"/>
    <n v="0"/>
  </r>
  <r>
    <x v="2"/>
    <n v="49"/>
    <n v="35"/>
    <n v="0"/>
    <n v="84"/>
    <n v="0.58333333333333337"/>
    <n v="0.41666666666666669"/>
    <n v="0"/>
  </r>
  <r>
    <x v="3"/>
    <n v="29"/>
    <n v="20"/>
    <n v="0"/>
    <n v="49"/>
    <n v="0.59183673469387754"/>
    <n v="0.40816326530612246"/>
    <n v="0"/>
  </r>
  <r>
    <x v="4"/>
    <n v="11"/>
    <n v="9"/>
    <n v="0"/>
    <n v="20"/>
    <n v="0.55000000000000004"/>
    <n v="0.45"/>
    <n v="0"/>
  </r>
  <r>
    <x v="5"/>
    <n v="6"/>
    <n v="10"/>
    <n v="0"/>
    <n v="16"/>
    <n v="0.375"/>
    <n v="0.625"/>
    <n v="0"/>
  </r>
  <r>
    <x v="6"/>
    <n v="1"/>
    <n v="2"/>
    <n v="0"/>
    <n v="3"/>
    <n v="0.33333333333333331"/>
    <n v="0.66666666666666663"/>
    <n v="0"/>
  </r>
  <r>
    <x v="7"/>
    <n v="2"/>
    <n v="7"/>
    <n v="0"/>
    <n v="9"/>
    <n v="0.22222222222222221"/>
    <n v="0.77777777777777779"/>
    <n v="0"/>
  </r>
  <r>
    <x v="8"/>
    <n v="4"/>
    <n v="1"/>
    <n v="0"/>
    <n v="5"/>
    <n v="0.8"/>
    <n v="0.2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0FA6D-4FCD-4897-A151-7EB0D37336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9AECF-E7CF-461A-9FBF-1F366093B0B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E4BA7-ABAB-4CE1-A2DB-8B723B33425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19" hier="-1"/>
  </pageFields>
  <dataFields count="1">
    <dataField name="Count of Date Created Conversion" fld="18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D10F-96FE-41F6-8FF1-A98D8510745C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D16" firstHeaderRow="0" firstDataRow="1" firstDataCol="1"/>
  <pivotFields count="8">
    <pivotField axis="axisRow" showAll="0">
      <items count="14">
        <item x="0"/>
        <item x="1"/>
        <item x="2"/>
        <item x="3"/>
        <item m="1" x="12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 numFmtId="10"/>
    <dataField name="Sum of Percentage Cancelled" fld="7" baseField="0" baseItem="0"/>
  </dataFields>
  <formats count="3">
    <format dxfId="2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F626" sqref="F62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140625" customWidth="1"/>
    <col min="16" max="16" width="20.42578125" customWidth="1"/>
    <col min="17" max="17" width="41.140625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8379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 2), 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 2), 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 2), 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 2), 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 2), 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 2), 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 2), 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 2), 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 2), 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 2), 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 2), 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 2), 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 2), 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 2), 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 2), 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 2), 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 2), 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 2), 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 2), 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 2), 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 2), 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 2), 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 2), 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 2), 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 2), 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 2), 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 2), 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 2), 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 2), 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 2), 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 2), 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 2), 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 2), 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 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 2), 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 2), 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 2), 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 2), 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 2), 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 2), 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 2), 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 2), 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 2), 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 2), 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 2), 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 2), 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 2), 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 2), 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 2), 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 2), 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 2), 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 2), 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 2), 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 2), 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 2), 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 2), 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 2), 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 2), 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 2), 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 2), 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 2), 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 2), 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 2), 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 2), 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>
        <f t="shared" si="259"/>
        <v>2015</v>
      </c>
    </row>
  </sheetData>
  <sortState xmlns:xlrd2="http://schemas.microsoft.com/office/spreadsheetml/2017/richdata2" ref="A2:N4116">
    <sortCondition ref="A1:A4116"/>
  </sortState>
  <conditionalFormatting sqref="F1:F1048576">
    <cfRule type="cellIs" dxfId="5" priority="2" operator="equal">
      <formula>"successful"</formula>
    </cfRule>
    <cfRule type="cellIs" dxfId="4" priority="3" operator="equal">
      <formula>"canceled"</formula>
    </cfRule>
    <cfRule type="cellIs" dxfId="3" priority="4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D194-E3F1-4B4D-B62F-0FC9D85390A3}">
  <dimension ref="A1:F46"/>
  <sheetViews>
    <sheetView workbookViewId="0">
      <selection activeCell="M27" sqref="M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8314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8342</v>
      </c>
      <c r="B6" s="13">
        <v>20</v>
      </c>
      <c r="C6" s="13"/>
      <c r="D6" s="13"/>
      <c r="E6" s="13"/>
      <c r="F6" s="13">
        <v>20</v>
      </c>
    </row>
    <row r="7" spans="1:6" x14ac:dyDescent="0.25">
      <c r="A7" s="12" t="s">
        <v>8330</v>
      </c>
      <c r="B7" s="13">
        <v>24</v>
      </c>
      <c r="C7" s="13"/>
      <c r="D7" s="13"/>
      <c r="E7" s="13"/>
      <c r="F7" s="13">
        <v>24</v>
      </c>
    </row>
    <row r="8" spans="1:6" x14ac:dyDescent="0.25">
      <c r="A8" s="12" t="s">
        <v>8356</v>
      </c>
      <c r="B8" s="13"/>
      <c r="C8" s="13">
        <v>40</v>
      </c>
      <c r="D8" s="13"/>
      <c r="E8" s="13"/>
      <c r="F8" s="13">
        <v>40</v>
      </c>
    </row>
    <row r="9" spans="1:6" x14ac:dyDescent="0.25">
      <c r="A9" s="12" t="s">
        <v>8352</v>
      </c>
      <c r="B9" s="13"/>
      <c r="C9" s="13"/>
      <c r="D9" s="13"/>
      <c r="E9" s="13">
        <v>40</v>
      </c>
      <c r="F9" s="13">
        <v>40</v>
      </c>
    </row>
    <row r="10" spans="1:6" x14ac:dyDescent="0.25">
      <c r="A10" s="12" t="s">
        <v>8313</v>
      </c>
      <c r="B10" s="13"/>
      <c r="C10" s="13"/>
      <c r="D10" s="13"/>
      <c r="E10" s="13">
        <v>180</v>
      </c>
      <c r="F10" s="13">
        <v>180</v>
      </c>
    </row>
    <row r="11" spans="1:6" x14ac:dyDescent="0.25">
      <c r="A11" s="12" t="s">
        <v>8312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2" t="s">
        <v>8328</v>
      </c>
      <c r="B12" s="13"/>
      <c r="C12" s="13"/>
      <c r="D12" s="13"/>
      <c r="E12" s="13">
        <v>40</v>
      </c>
      <c r="F12" s="13">
        <v>40</v>
      </c>
    </row>
    <row r="13" spans="1:6" x14ac:dyDescent="0.25">
      <c r="A13" s="12" t="s">
        <v>8345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5">
      <c r="A14" s="12" t="s">
        <v>8322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8335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5">
      <c r="A16" s="12" t="s">
        <v>8346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8347</v>
      </c>
      <c r="B17" s="13"/>
      <c r="C17" s="13"/>
      <c r="D17" s="13"/>
      <c r="E17" s="13">
        <v>140</v>
      </c>
      <c r="F17" s="13">
        <v>140</v>
      </c>
    </row>
    <row r="18" spans="1:6" x14ac:dyDescent="0.25">
      <c r="A18" s="12" t="s">
        <v>8327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5">
      <c r="A19" s="12" t="s">
        <v>8326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8354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5">
      <c r="A21" s="12" t="s">
        <v>8325</v>
      </c>
      <c r="B21" s="13"/>
      <c r="C21" s="13"/>
      <c r="D21" s="13"/>
      <c r="E21" s="13">
        <v>20</v>
      </c>
      <c r="F21" s="13">
        <v>20</v>
      </c>
    </row>
    <row r="22" spans="1:6" x14ac:dyDescent="0.25">
      <c r="A22" s="12" t="s">
        <v>8333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2" t="s">
        <v>8357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5">
      <c r="A24" s="12" t="s">
        <v>8341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8321</v>
      </c>
      <c r="B25" s="13"/>
      <c r="C25" s="13"/>
      <c r="D25" s="13"/>
      <c r="E25" s="13">
        <v>60</v>
      </c>
      <c r="F25" s="13">
        <v>60</v>
      </c>
    </row>
    <row r="26" spans="1:6" x14ac:dyDescent="0.25">
      <c r="A26" s="12" t="s">
        <v>8348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8337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5">
      <c r="A28" s="12" t="s">
        <v>8343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8316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5">
      <c r="A30" s="12" t="s">
        <v>8344</v>
      </c>
      <c r="B30" s="13"/>
      <c r="C30" s="13"/>
      <c r="D30" s="13"/>
      <c r="E30" s="13">
        <v>40</v>
      </c>
      <c r="F30" s="13">
        <v>40</v>
      </c>
    </row>
    <row r="31" spans="1:6" x14ac:dyDescent="0.25">
      <c r="A31" s="12" t="s">
        <v>8340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2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2" t="s">
        <v>8324</v>
      </c>
      <c r="B33" s="13"/>
      <c r="C33" s="13"/>
      <c r="D33" s="13"/>
      <c r="E33" s="13">
        <v>260</v>
      </c>
      <c r="F33" s="13">
        <v>260</v>
      </c>
    </row>
    <row r="34" spans="1:6" x14ac:dyDescent="0.25">
      <c r="A34" s="12" t="s">
        <v>8311</v>
      </c>
      <c r="B34" s="13">
        <v>40</v>
      </c>
      <c r="C34" s="13"/>
      <c r="D34" s="13"/>
      <c r="E34" s="13"/>
      <c r="F34" s="13">
        <v>40</v>
      </c>
    </row>
    <row r="35" spans="1:6" x14ac:dyDescent="0.25">
      <c r="A35" s="12" t="s">
        <v>8310</v>
      </c>
      <c r="B35" s="13"/>
      <c r="C35" s="13"/>
      <c r="D35" s="13"/>
      <c r="E35" s="13">
        <v>60</v>
      </c>
      <c r="F35" s="13">
        <v>60</v>
      </c>
    </row>
    <row r="36" spans="1:6" x14ac:dyDescent="0.25">
      <c r="A36" s="12" t="s">
        <v>8350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5">
      <c r="A37" s="12" t="s">
        <v>8353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5">
      <c r="A38" s="12" t="s">
        <v>8355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5">
      <c r="A39" s="12" t="s">
        <v>8349</v>
      </c>
      <c r="B39" s="13"/>
      <c r="C39" s="13"/>
      <c r="D39" s="13"/>
      <c r="E39" s="13">
        <v>80</v>
      </c>
      <c r="F39" s="13">
        <v>80</v>
      </c>
    </row>
    <row r="40" spans="1:6" x14ac:dyDescent="0.25">
      <c r="A40" s="12" t="s">
        <v>8309</v>
      </c>
      <c r="B40" s="13"/>
      <c r="C40" s="13"/>
      <c r="D40" s="13"/>
      <c r="E40" s="13">
        <v>60</v>
      </c>
      <c r="F40" s="13">
        <v>60</v>
      </c>
    </row>
    <row r="41" spans="1:6" x14ac:dyDescent="0.25">
      <c r="A41" s="12" t="s">
        <v>8339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5">
      <c r="A42" s="12" t="s">
        <v>8332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2" t="s">
        <v>8319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5">
      <c r="A44" s="12" t="s">
        <v>8318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5">
      <c r="A45" s="12" t="s">
        <v>8338</v>
      </c>
      <c r="B45" s="13">
        <v>20</v>
      </c>
      <c r="C45" s="13"/>
      <c r="D45" s="13"/>
      <c r="E45" s="13"/>
      <c r="F45" s="13">
        <v>20</v>
      </c>
    </row>
    <row r="46" spans="1:6" x14ac:dyDescent="0.25">
      <c r="A46" s="12" t="s">
        <v>8361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6CCE-629F-43E1-94C4-28376E02899D}">
  <dimension ref="A2:F18"/>
  <sheetViews>
    <sheetView workbookViewId="0">
      <selection activeCell="R12" sqref="R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961BA-02DC-41F5-987A-D3393A33F532}">
  <dimension ref="A1:H6"/>
  <sheetViews>
    <sheetView topLeftCell="C1" workbookViewId="0">
      <selection activeCell="E24" sqref="E24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2.85546875" customWidth="1"/>
    <col min="4" max="4" width="11.85546875" customWidth="1"/>
    <col min="5" max="5" width="17" bestFit="1" customWidth="1"/>
    <col min="6" max="6" width="15.28515625" bestFit="1" customWidth="1"/>
    <col min="7" max="7" width="11.85546875" bestFit="1" customWidth="1"/>
    <col min="8" max="8" width="23.42578125" bestFit="1" customWidth="1"/>
    <col min="9" max="9" width="11.85546875" bestFit="1" customWidth="1"/>
    <col min="10" max="10" width="9.5703125" bestFit="1" customWidth="1"/>
    <col min="11" max="11" width="13.85546875" bestFit="1" customWidth="1"/>
    <col min="12" max="12" width="8.85546875" bestFit="1" customWidth="1"/>
    <col min="13" max="13" width="24.28515625" bestFit="1" customWidth="1"/>
    <col min="14" max="14" width="18.42578125" bestFit="1" customWidth="1"/>
    <col min="15" max="15" width="17" bestFit="1" customWidth="1"/>
    <col min="16" max="16" width="15.28515625" bestFit="1" customWidth="1"/>
    <col min="17" max="17" width="11.85546875" bestFit="1" customWidth="1"/>
    <col min="18" max="18" width="23.42578125" bestFit="1" customWidth="1"/>
  </cols>
  <sheetData>
    <row r="1" spans="1:8" x14ac:dyDescent="0.2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8307</v>
      </c>
      <c r="F1" s="9" t="s">
        <v>8261</v>
      </c>
      <c r="G1" s="1"/>
      <c r="H1" s="1"/>
    </row>
    <row r="2" spans="1:8" x14ac:dyDescent="0.25">
      <c r="A2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Spreadsheet!B:E, 3, FALSE)</f>
        <v>2000</v>
      </c>
      <c r="D2">
        <f>VLOOKUP(A2, Spreadsheet!B:E, 4, FALSE)</f>
        <v>2020</v>
      </c>
      <c r="E2">
        <f>VLOOKUP(A2, Spreadsheet!B:P, 15, FALSE)</f>
        <v>51.79</v>
      </c>
      <c r="F2">
        <f>VLOOKUP(A2, Spreadsheet!B:L, 11, FALSE)</f>
        <v>39</v>
      </c>
    </row>
    <row r="3" spans="1:8" x14ac:dyDescent="0.25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Spreadsheet!B:E, 3, FALSE)</f>
        <v>2000</v>
      </c>
      <c r="D3">
        <f>VLOOKUP(A3, Spreadsheet!B:E, 4, FALSE)</f>
        <v>2020</v>
      </c>
      <c r="E3">
        <f>VLOOKUP(A3, Spreadsheet!B:P, 15, FALSE)</f>
        <v>36.07</v>
      </c>
      <c r="F3">
        <f>VLOOKUP(A3, Spreadsheet!B:L, 11, FALSE)</f>
        <v>56</v>
      </c>
    </row>
    <row r="4" spans="1:8" x14ac:dyDescent="0.25">
      <c r="A4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Spreadsheet!B:E, 3, FALSE)</f>
        <v>1500</v>
      </c>
      <c r="D4">
        <f>VLOOKUP(A4, Spreadsheet!B:E, 4, FALSE)</f>
        <v>2576</v>
      </c>
      <c r="E4">
        <f>VLOOKUP(A4, Spreadsheet!B:P, 15, FALSE)</f>
        <v>33.03</v>
      </c>
      <c r="F4">
        <f>VLOOKUP(A4, Spreadsheet!B:L, 11, FALSE)</f>
        <v>78</v>
      </c>
    </row>
    <row r="5" spans="1:8" x14ac:dyDescent="0.25">
      <c r="A5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VLOOKUP(A5, Spreadsheet!B:E, 3, FALSE)</f>
        <v>1000</v>
      </c>
      <c r="D5">
        <f>VLOOKUP(A5, Spreadsheet!B:E, 4, FALSE)</f>
        <v>1168</v>
      </c>
      <c r="E5">
        <f>VLOOKUP(A5, Spreadsheet!B:P, 15, FALSE)</f>
        <v>44.92</v>
      </c>
      <c r="F5">
        <f>VLOOKUP(A5, Spreadsheet!B:L, 11, FALSE)</f>
        <v>26</v>
      </c>
    </row>
    <row r="6" spans="1:8" x14ac:dyDescent="0.25">
      <c r="A6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Spreadsheet!B:E, 3, FALSE)</f>
        <v>4000</v>
      </c>
      <c r="D6">
        <f>VLOOKUP(A6, Spreadsheet!B:E, 4, FALSE)</f>
        <v>4137</v>
      </c>
      <c r="E6">
        <f>VLOOKUP(A6, Spreadsheet!B:P, 15, FALSE)</f>
        <v>36.61</v>
      </c>
      <c r="F6">
        <f>VLOOKUP(A6, Spreadsheet!B:L, 11, FALSE)</f>
        <v>113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E869-45CE-4650-8CF7-FF0DFDDC0C80}">
  <dimension ref="A1:E18"/>
  <sheetViews>
    <sheetView workbookViewId="0">
      <selection activeCell="B15" sqref="B15"/>
    </sheetView>
  </sheetViews>
  <sheetFormatPr defaultRowHeight="15" x14ac:dyDescent="0.25"/>
  <cols>
    <col min="1" max="1" width="31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8378</v>
      </c>
      <c r="B2" t="s">
        <v>8364</v>
      </c>
    </row>
    <row r="4" spans="1:5" x14ac:dyDescent="0.25">
      <c r="A4" s="11" t="s">
        <v>8380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4CDF-929A-4525-B4B6-11C0AA74ADAF}">
  <dimension ref="A1:H13"/>
  <sheetViews>
    <sheetView tabSelected="1" workbookViewId="0">
      <selection activeCell="D3" sqref="D3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ht="15.75" thickBot="1" x14ac:dyDescent="0.3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5">
      <c r="A2" t="s">
        <v>8389</v>
      </c>
      <c r="B2">
        <f>COUNTIFS(Spreadsheet!F:F, "successful", Spreadsheet!D:D, "&lt;1000", Spreadsheet!R:R, "plays")</f>
        <v>141</v>
      </c>
      <c r="C2">
        <f>COUNTIFS(Spreadsheet!F:F, "failed", Spreadsheet!D:D, "&lt;1000", Spreadsheet!R:R, "plays")</f>
        <v>45</v>
      </c>
      <c r="D2">
        <f>COUNTIFS(Spreadsheet!F:F, "canceled", Spreadsheet!D:D, "&lt;1000", Spreadsheet!R:R,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8390</v>
      </c>
      <c r="B3">
        <f>COUNTIFS(Spreadsheet!F:F, "successful", Spreadsheet!D:D, "=1000", Spreadsheet!R:R, "plays", Spreadsheet!D:D, "&lt;5000" )</f>
        <v>47</v>
      </c>
      <c r="C3">
        <f>COUNTIFS(Spreadsheet!F:F, "failed",  Spreadsheet!D:D, "=1000", Spreadsheet!R:R, "plays", Spreadsheet!D:D, "&lt;5000" )</f>
        <v>18</v>
      </c>
      <c r="D3">
        <f>COUNTIFS(Spreadsheet!F:F, "canceled",  Spreadsheet!D:D, "=1000", Spreadsheet!R:R, "plays", Spreadsheet!D:D, "&lt;5000" )</f>
        <v>0</v>
      </c>
      <c r="E3">
        <f t="shared" ref="E3:E13" si="0">SUM(B3:D3)</f>
        <v>65</v>
      </c>
      <c r="F3" s="17">
        <f t="shared" ref="F3:F13" si="1">B3/E3</f>
        <v>0.72307692307692306</v>
      </c>
      <c r="G3" s="17">
        <f t="shared" ref="G3:G13" si="2">C3/E3</f>
        <v>0.27692307692307694</v>
      </c>
      <c r="H3" s="17">
        <f t="shared" ref="H3:H13" si="3">D3/E3</f>
        <v>0</v>
      </c>
    </row>
    <row r="4" spans="1:8" x14ac:dyDescent="0.25">
      <c r="A4" t="s">
        <v>8391</v>
      </c>
      <c r="B4">
        <f>COUNTIFS(Spreadsheet!F:F, "successful", Spreadsheet!D:D, "=5000", Spreadsheet!R:R, "plays", Spreadsheet!D:D, "&lt;10000" )</f>
        <v>49</v>
      </c>
      <c r="C4">
        <f>COUNTIFS(Spreadsheet!F:F, "failed", Spreadsheet!D:D, "=5000", Spreadsheet!R:R, "plays", Spreadsheet!D:D, "&lt;10000" )</f>
        <v>35</v>
      </c>
      <c r="D4">
        <f>COUNTIFS(Spreadsheet!F:F, "canceled",  Spreadsheet!D:D, "=5000", Spreadsheet!R:R, "plays", Spreadsheet!D:D, "&lt;10000" )</f>
        <v>0</v>
      </c>
      <c r="E4">
        <f t="shared" si="0"/>
        <v>84</v>
      </c>
      <c r="F4" s="17">
        <f t="shared" si="1"/>
        <v>0.58333333333333337</v>
      </c>
      <c r="G4" s="17">
        <f t="shared" si="2"/>
        <v>0.41666666666666669</v>
      </c>
      <c r="H4" s="17">
        <f t="shared" si="3"/>
        <v>0</v>
      </c>
    </row>
    <row r="5" spans="1:8" x14ac:dyDescent="0.25">
      <c r="A5" t="s">
        <v>8392</v>
      </c>
      <c r="B5">
        <f>COUNTIFS(Spreadsheet!F:F, "successful", Spreadsheet!D:D, "=10000", Spreadsheet!R:R, "plays", Spreadsheet!D:D, "&lt;15000" )</f>
        <v>29</v>
      </c>
      <c r="C5">
        <f>COUNTIFS(Spreadsheet!F:F, "failed",Spreadsheet!D:D, "=10000", Spreadsheet!R:R, "plays", Spreadsheet!D:D, "&lt;15000" )</f>
        <v>20</v>
      </c>
      <c r="D5">
        <f>COUNTIFS(Spreadsheet!F:F, "canceled", Spreadsheet!D:D, "=10000", Spreadsheet!R:R, "plays", Spreadsheet!D:D, "&lt;15000" )</f>
        <v>0</v>
      </c>
      <c r="E5">
        <f t="shared" si="0"/>
        <v>49</v>
      </c>
      <c r="F5" s="17">
        <f t="shared" si="1"/>
        <v>0.59183673469387754</v>
      </c>
      <c r="G5" s="17">
        <f t="shared" si="2"/>
        <v>0.40816326530612246</v>
      </c>
      <c r="H5" s="17">
        <f t="shared" si="3"/>
        <v>0</v>
      </c>
    </row>
    <row r="6" spans="1:8" x14ac:dyDescent="0.25">
      <c r="A6" t="s">
        <v>8403</v>
      </c>
      <c r="B6">
        <f>COUNTIFS(Spreadsheet!F:F, "successful", Spreadsheet!D:D, "=15000", Spreadsheet!R:R, "plays", Spreadsheet!D:D, "&lt;20000" )</f>
        <v>11</v>
      </c>
      <c r="C6">
        <f>COUNTIFS(Spreadsheet!F:F, "failed", Spreadsheet!D:D, "=15000", Spreadsheet!R:R, "plays", Spreadsheet!D:D, "&lt;20000" )</f>
        <v>9</v>
      </c>
      <c r="D6">
        <f>COUNTIFS(Spreadsheet!F:F, "canceled",  Spreadsheet!D:D, "=15000", Spreadsheet!R:R, "plays", Spreadsheet!D:D, "&lt;20000" )</f>
        <v>0</v>
      </c>
      <c r="E6">
        <f t="shared" si="0"/>
        <v>20</v>
      </c>
      <c r="F6" s="17">
        <f t="shared" si="1"/>
        <v>0.55000000000000004</v>
      </c>
      <c r="G6" s="17">
        <f t="shared" si="2"/>
        <v>0.45</v>
      </c>
      <c r="H6" s="17">
        <f t="shared" si="3"/>
        <v>0</v>
      </c>
    </row>
    <row r="7" spans="1:8" x14ac:dyDescent="0.25">
      <c r="A7" t="s">
        <v>8393</v>
      </c>
      <c r="B7">
        <f>COUNTIFS(Spreadsheet!F:F, "successful", Spreadsheet!D:D, "=20000", Spreadsheet!R:R, "plays", Spreadsheet!D:D, "&lt;25000" )</f>
        <v>6</v>
      </c>
      <c r="C7">
        <f>COUNTIFS(Spreadsheet!F:F, "failed", Spreadsheet!D:D, "=20000", Spreadsheet!R:R, "plays", Spreadsheet!D:D, "&lt;25000" )</f>
        <v>10</v>
      </c>
      <c r="D7">
        <f>COUNTIFS(Spreadsheet!F:F, "canceled",  Spreadsheet!D:D, "=20000", Spreadsheet!R:R, "plays", Spreadsheet!D:D, "&lt;25000" )</f>
        <v>0</v>
      </c>
      <c r="E7">
        <f t="shared" si="0"/>
        <v>16</v>
      </c>
      <c r="F7" s="17">
        <f t="shared" si="1"/>
        <v>0.375</v>
      </c>
      <c r="G7" s="17">
        <f t="shared" si="2"/>
        <v>0.625</v>
      </c>
      <c r="H7" s="17">
        <f t="shared" si="3"/>
        <v>0</v>
      </c>
    </row>
    <row r="8" spans="1:8" x14ac:dyDescent="0.25">
      <c r="A8" t="s">
        <v>8394</v>
      </c>
      <c r="B8">
        <f>COUNTIFS(Spreadsheet!F:F, "successful", Spreadsheet!D:D, "=25000", Spreadsheet!R:R, "plays", Spreadsheet!D:D, "&lt;30000" )</f>
        <v>1</v>
      </c>
      <c r="C8">
        <f>COUNTIFS(Spreadsheet!F:F, "failed", Spreadsheet!D:D, "=25000", Spreadsheet!R:R, "plays", Spreadsheet!D:D, "&lt;30000" )</f>
        <v>2</v>
      </c>
      <c r="D8">
        <f>COUNTIFS(Spreadsheet!F:F, "canceled", Spreadsheet!D:D, "=25000", Spreadsheet!R:R, "plays", Spreadsheet!D:D, "&lt;30000" )</f>
        <v>0</v>
      </c>
      <c r="E8">
        <f t="shared" si="0"/>
        <v>3</v>
      </c>
      <c r="F8" s="17">
        <f t="shared" si="1"/>
        <v>0.33333333333333331</v>
      </c>
      <c r="G8" s="17">
        <f t="shared" si="2"/>
        <v>0.66666666666666663</v>
      </c>
      <c r="H8" s="17">
        <f t="shared" si="3"/>
        <v>0</v>
      </c>
    </row>
    <row r="9" spans="1:8" x14ac:dyDescent="0.25">
      <c r="A9" t="s">
        <v>8395</v>
      </c>
      <c r="B9">
        <f>COUNTIFS(Spreadsheet!F:F, "successful", Spreadsheet!D:D, "=30000", Spreadsheet!R:R, "plays", Spreadsheet!D:D, "&lt;35000" )</f>
        <v>2</v>
      </c>
      <c r="C9">
        <f>COUNTIFS(Spreadsheet!F:F, "failed",  Spreadsheet!D:D, "=30000", Spreadsheet!R:R, "plays", Spreadsheet!D:D, "&lt;35000" )</f>
        <v>7</v>
      </c>
      <c r="D9">
        <f>COUNTIFS(Spreadsheet!F:F, "canceled",  Spreadsheet!D:D, "=30000", Spreadsheet!R:R, "plays", Spreadsheet!D:D, "&lt;35000" )</f>
        <v>0</v>
      </c>
      <c r="E9">
        <f t="shared" si="0"/>
        <v>9</v>
      </c>
      <c r="F9" s="17">
        <f t="shared" si="1"/>
        <v>0.22222222222222221</v>
      </c>
      <c r="G9" s="17">
        <f t="shared" si="2"/>
        <v>0.77777777777777779</v>
      </c>
      <c r="H9" s="17">
        <f t="shared" si="3"/>
        <v>0</v>
      </c>
    </row>
    <row r="10" spans="1:8" x14ac:dyDescent="0.25">
      <c r="A10" t="s">
        <v>8396</v>
      </c>
      <c r="B10">
        <f>COUNTIFS(Spreadsheet!F:F, "successful", Spreadsheet!D:D, "=35000", Spreadsheet!R:R, "plays", Spreadsheet!D:D, "&lt;40000" )</f>
        <v>4</v>
      </c>
      <c r="C10">
        <f>COUNTIFS(Spreadsheet!F:F, "failed", Spreadsheet!D:D, "=35000", Spreadsheet!R:R, "plays", Spreadsheet!D:D, "&lt;40000" )</f>
        <v>1</v>
      </c>
      <c r="D10">
        <f>COUNTIFS(Spreadsheet!F:F, "canceled", Spreadsheet!D:D, "=35000", Spreadsheet!R:R, "plays", Spreadsheet!D:D, "&lt;40000" )</f>
        <v>0</v>
      </c>
      <c r="E10">
        <f t="shared" si="0"/>
        <v>5</v>
      </c>
      <c r="F10" s="17">
        <f t="shared" si="1"/>
        <v>0.8</v>
      </c>
      <c r="G10" s="17">
        <f t="shared" si="2"/>
        <v>0.2</v>
      </c>
      <c r="H10" s="17">
        <f t="shared" si="3"/>
        <v>0</v>
      </c>
    </row>
    <row r="11" spans="1:8" x14ac:dyDescent="0.25">
      <c r="A11" t="s">
        <v>8397</v>
      </c>
      <c r="B11">
        <f>COUNTIFS(Spreadsheet!F:F, "successful", Spreadsheet!D:D, "=40000", Spreadsheet!R:R, "plays", Spreadsheet!D:D, "&lt;45000" )</f>
        <v>2</v>
      </c>
      <c r="C11">
        <f>COUNTIFS(Spreadsheet!F:F, "failed",  Spreadsheet!D:D, "=40000", Spreadsheet!R:R, "plays", Spreadsheet!D:D, "&lt;45000" )</f>
        <v>1</v>
      </c>
      <c r="D11">
        <f>COUNTIFS(Spreadsheet!F:F, "canceled",  Spreadsheet!D:D, "=40000", Spreadsheet!R:R, "plays", Spreadsheet!D:D, "&lt;45000" 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8398</v>
      </c>
      <c r="B12">
        <f>COUNTIFS(Spreadsheet!F:F, "successful", Spreadsheet!D:D, "=45000", Spreadsheet!R:R, "plays", Spreadsheet!D:D, "&lt;50000" )</f>
        <v>0</v>
      </c>
      <c r="C12">
        <f>COUNTIFS(Spreadsheet!F:F, "failed",  Spreadsheet!D:D, "=45000", Spreadsheet!R:R, "plays", Spreadsheet!D:D, "&lt;50000" )</f>
        <v>1</v>
      </c>
      <c r="D12">
        <f>COUNTIFS(Spreadsheet!F:F, "canceled",  Spreadsheet!D:D, "=45000", Spreadsheet!R:R, "plays", Spreadsheet!D:D, "&lt;50000" 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8399</v>
      </c>
      <c r="B13">
        <f>COUNTIFS(Spreadsheet!F:F, "successful", Spreadsheet!D:D, "&gt;50000", Spreadsheet!R:R, "plays")</f>
        <v>2</v>
      </c>
      <c r="C13">
        <f>COUNTIFS(Spreadsheet!F:F, "failed", Spreadsheet!D:D, "&gt;50000", Spreadsheet!R:R, "plays")</f>
        <v>10</v>
      </c>
      <c r="D13">
        <f>COUNTIFS(Spreadsheet!F:F, "canceled",  Spreadsheet!D:D, "&gt;50000", Spreadsheet!R:R, 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E5603-E469-4F34-88A7-AAAF57D77F94}">
  <dimension ref="A3:D16"/>
  <sheetViews>
    <sheetView workbookViewId="0">
      <selection activeCell="D16" sqref="D16"/>
    </sheetView>
  </sheetViews>
  <sheetFormatPr defaultRowHeight="15" x14ac:dyDescent="0.25"/>
  <cols>
    <col min="1" max="1" width="13.85546875" bestFit="1" customWidth="1"/>
    <col min="2" max="2" width="27.7109375" bestFit="1" customWidth="1"/>
    <col min="3" max="3" width="23.85546875" bestFit="1" customWidth="1"/>
    <col min="4" max="4" width="27.28515625" bestFit="1" customWidth="1"/>
  </cols>
  <sheetData>
    <row r="3" spans="1:4" x14ac:dyDescent="0.25">
      <c r="A3" s="11" t="s">
        <v>8362</v>
      </c>
      <c r="B3" t="s">
        <v>8400</v>
      </c>
      <c r="C3" t="s">
        <v>8401</v>
      </c>
      <c r="D3" t="s">
        <v>8402</v>
      </c>
    </row>
    <row r="4" spans="1:4" x14ac:dyDescent="0.25">
      <c r="A4" s="12" t="s">
        <v>8389</v>
      </c>
      <c r="B4" s="17">
        <v>0.75806451612903225</v>
      </c>
      <c r="C4" s="17">
        <v>0.24193548387096775</v>
      </c>
      <c r="D4" s="13">
        <v>0</v>
      </c>
    </row>
    <row r="5" spans="1:4" x14ac:dyDescent="0.25">
      <c r="A5" s="12" t="s">
        <v>8390</v>
      </c>
      <c r="B5" s="17">
        <v>0.72307692307692306</v>
      </c>
      <c r="C5" s="17">
        <v>0.27692307692307694</v>
      </c>
      <c r="D5" s="13">
        <v>0</v>
      </c>
    </row>
    <row r="6" spans="1:4" x14ac:dyDescent="0.25">
      <c r="A6" s="12" t="s">
        <v>8391</v>
      </c>
      <c r="B6" s="17">
        <v>0.58333333333333337</v>
      </c>
      <c r="C6" s="17">
        <v>0.41666666666666669</v>
      </c>
      <c r="D6" s="13">
        <v>0</v>
      </c>
    </row>
    <row r="7" spans="1:4" x14ac:dyDescent="0.25">
      <c r="A7" s="12" t="s">
        <v>8392</v>
      </c>
      <c r="B7" s="17">
        <v>0.59183673469387754</v>
      </c>
      <c r="C7" s="17">
        <v>0.40816326530612246</v>
      </c>
      <c r="D7" s="13">
        <v>0</v>
      </c>
    </row>
    <row r="8" spans="1:4" x14ac:dyDescent="0.25">
      <c r="A8" s="12" t="s">
        <v>8403</v>
      </c>
      <c r="B8" s="17">
        <v>0.55000000000000004</v>
      </c>
      <c r="C8" s="17">
        <v>0.45</v>
      </c>
      <c r="D8" s="13">
        <v>0</v>
      </c>
    </row>
    <row r="9" spans="1:4" x14ac:dyDescent="0.25">
      <c r="A9" s="12" t="s">
        <v>8393</v>
      </c>
      <c r="B9" s="17">
        <v>0.375</v>
      </c>
      <c r="C9" s="17">
        <v>0.625</v>
      </c>
      <c r="D9" s="13">
        <v>0</v>
      </c>
    </row>
    <row r="10" spans="1:4" x14ac:dyDescent="0.25">
      <c r="A10" s="12" t="s">
        <v>8394</v>
      </c>
      <c r="B10" s="17">
        <v>0.33333333333333331</v>
      </c>
      <c r="C10" s="17">
        <v>0.66666666666666663</v>
      </c>
      <c r="D10" s="13">
        <v>0</v>
      </c>
    </row>
    <row r="11" spans="1:4" x14ac:dyDescent="0.25">
      <c r="A11" s="12" t="s">
        <v>8395</v>
      </c>
      <c r="B11" s="17">
        <v>0.22222222222222221</v>
      </c>
      <c r="C11" s="17">
        <v>0.77777777777777779</v>
      </c>
      <c r="D11" s="13">
        <v>0</v>
      </c>
    </row>
    <row r="12" spans="1:4" x14ac:dyDescent="0.25">
      <c r="A12" s="12" t="s">
        <v>8396</v>
      </c>
      <c r="B12" s="17">
        <v>0.8</v>
      </c>
      <c r="C12" s="17">
        <v>0.2</v>
      </c>
      <c r="D12" s="13">
        <v>0</v>
      </c>
    </row>
    <row r="13" spans="1:4" x14ac:dyDescent="0.25">
      <c r="A13" s="12" t="s">
        <v>8397</v>
      </c>
      <c r="B13" s="17">
        <v>0.66666666666666663</v>
      </c>
      <c r="C13" s="17">
        <v>0.33333333333333331</v>
      </c>
      <c r="D13" s="13">
        <v>0</v>
      </c>
    </row>
    <row r="14" spans="1:4" x14ac:dyDescent="0.25">
      <c r="A14" s="12" t="s">
        <v>8398</v>
      </c>
      <c r="B14" s="17">
        <v>0</v>
      </c>
      <c r="C14" s="17">
        <v>1</v>
      </c>
      <c r="D14" s="13">
        <v>0</v>
      </c>
    </row>
    <row r="15" spans="1:4" x14ac:dyDescent="0.25">
      <c r="A15" s="12" t="s">
        <v>8399</v>
      </c>
      <c r="B15" s="17">
        <v>0.16666666666666666</v>
      </c>
      <c r="C15" s="17">
        <v>0.83333333333333337</v>
      </c>
      <c r="D15" s="13">
        <v>0</v>
      </c>
    </row>
    <row r="16" spans="1:4" x14ac:dyDescent="0.25">
      <c r="A16" s="12" t="s">
        <v>8361</v>
      </c>
      <c r="B16" s="17">
        <v>5.7702003961220552</v>
      </c>
      <c r="C16" s="17">
        <v>6.229799603877944</v>
      </c>
      <c r="D16" s="13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Spreadsheet</vt:lpstr>
      <vt:lpstr>Pivot1</vt:lpstr>
      <vt:lpstr>Outcomes Based on Launch Date</vt:lpstr>
      <vt:lpstr>Edinburgh Research</vt:lpstr>
      <vt:lpstr>Theater Outcomes by Launch Date</vt:lpstr>
      <vt:lpstr>Outcomes Based on Goals</vt:lpstr>
      <vt:lpstr>Pivot - 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Parker Jones</cp:lastModifiedBy>
  <dcterms:created xsi:type="dcterms:W3CDTF">2017-04-20T15:17:24Z</dcterms:created>
  <dcterms:modified xsi:type="dcterms:W3CDTF">2022-04-17T20:42:58Z</dcterms:modified>
</cp:coreProperties>
</file>