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Sayel Cortes\Dropbox\MLED\"/>
    </mc:Choice>
  </mc:AlternateContent>
  <bookViews>
    <workbookView xWindow="0" yWindow="465" windowWidth="15360" windowHeight="7155" tabRatio="789" activeTab="4"/>
  </bookViews>
  <sheets>
    <sheet name="Portada" sheetId="5" r:id="rId1"/>
    <sheet name="Captura de Datos" sheetId="4" r:id="rId2"/>
    <sheet name="Resultados" sheetId="10" r:id="rId3"/>
    <sheet name="Cálculos Línea Base" sheetId="6" r:id="rId4"/>
    <sheet name="Cálculos Zona DOT" sheetId="8" r:id="rId5"/>
    <sheet name="Escenarios" sheetId="9" r:id="rId6"/>
    <sheet name="Constantes" sheetId="2" r:id="rId7"/>
    <sheet name="Cálculos auxiliares" sheetId="11" r:id="rId8"/>
  </sheets>
  <calcPr calcId="17102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J28" i="6" l="1"/>
  <c r="J27" i="6"/>
  <c r="Q27" i="6" l="1"/>
  <c r="C21" i="11" l="1"/>
  <c r="F51" i="4"/>
  <c r="M27" i="6" l="1"/>
  <c r="B5" i="6" l="1"/>
  <c r="C5" i="6"/>
  <c r="B6" i="6"/>
  <c r="C6" i="6"/>
  <c r="B9" i="6"/>
  <c r="C9" i="6"/>
  <c r="B10" i="6"/>
  <c r="C10" i="6"/>
  <c r="D53" i="2"/>
  <c r="E45" i="2"/>
  <c r="D46" i="2"/>
  <c r="D45" i="2"/>
  <c r="D52" i="2"/>
  <c r="D47" i="2"/>
  <c r="E41" i="4"/>
  <c r="E42" i="4"/>
  <c r="E43" i="4"/>
  <c r="E44" i="4"/>
  <c r="E45" i="4"/>
  <c r="E46" i="4"/>
  <c r="E47" i="4"/>
  <c r="E48" i="4"/>
  <c r="E49" i="4"/>
  <c r="E50" i="4"/>
  <c r="D9" i="11" l="1"/>
  <c r="E18" i="11"/>
  <c r="H38" i="4"/>
  <c r="J38" i="4" s="1"/>
  <c r="H46" i="4" l="1"/>
  <c r="I46" i="4" s="1"/>
  <c r="H50" i="4"/>
  <c r="H48" i="4"/>
  <c r="I48" i="4" s="1"/>
  <c r="H43" i="4"/>
  <c r="I43" i="4" s="1"/>
  <c r="H41" i="4"/>
  <c r="H44" i="4"/>
  <c r="I44" i="4" s="1"/>
  <c r="H47" i="4"/>
  <c r="I47" i="4" s="1"/>
  <c r="H45" i="4"/>
  <c r="I45" i="4" s="1"/>
  <c r="H42" i="4"/>
  <c r="I42" i="4" s="1"/>
  <c r="H49" i="4"/>
  <c r="I49" i="4" s="1"/>
  <c r="D8" i="9"/>
  <c r="D80" i="10" s="1"/>
  <c r="C8" i="9"/>
  <c r="C5" i="8"/>
  <c r="C11" i="8"/>
  <c r="D11" i="8"/>
  <c r="B45" i="2"/>
  <c r="B46" i="2"/>
  <c r="B47" i="2"/>
  <c r="B51" i="2"/>
  <c r="B52" i="2"/>
  <c r="B53" i="2"/>
  <c r="F12" i="8"/>
  <c r="C12" i="8"/>
  <c r="D12" i="8"/>
  <c r="E13" i="8"/>
  <c r="G13" i="8"/>
  <c r="E14" i="8"/>
  <c r="G14" i="8" s="1"/>
  <c r="E15" i="8"/>
  <c r="G15" i="8"/>
  <c r="E16" i="8"/>
  <c r="G16" i="8" s="1"/>
  <c r="E47" i="2"/>
  <c r="E53" i="2"/>
  <c r="I13" i="8"/>
  <c r="I14" i="8"/>
  <c r="I15" i="8"/>
  <c r="I16" i="8"/>
  <c r="E19" i="6"/>
  <c r="F19" i="6"/>
  <c r="G19" i="6"/>
  <c r="E20" i="6"/>
  <c r="E41" i="8" s="1"/>
  <c r="F20" i="6"/>
  <c r="F41" i="8" s="1"/>
  <c r="G20" i="6"/>
  <c r="E21" i="6"/>
  <c r="E42" i="8" s="1"/>
  <c r="F21" i="6"/>
  <c r="F42" i="8" s="1"/>
  <c r="G21" i="6"/>
  <c r="E22" i="6"/>
  <c r="E43" i="8" s="1"/>
  <c r="F22" i="6"/>
  <c r="G22" i="6"/>
  <c r="E23" i="6"/>
  <c r="E44" i="8" s="1"/>
  <c r="F23" i="6"/>
  <c r="G23" i="6"/>
  <c r="E24" i="6"/>
  <c r="E45" i="8" s="1"/>
  <c r="F24" i="6"/>
  <c r="F45" i="8" s="1"/>
  <c r="G24" i="6"/>
  <c r="E25" i="6"/>
  <c r="E48" i="8" s="1"/>
  <c r="F25" i="6"/>
  <c r="G25" i="6"/>
  <c r="E27" i="6"/>
  <c r="F27" i="6"/>
  <c r="G27" i="6"/>
  <c r="E28" i="6"/>
  <c r="E51" i="8" s="1"/>
  <c r="F28" i="6"/>
  <c r="G28" i="6"/>
  <c r="E30" i="6"/>
  <c r="E53" i="8" s="1"/>
  <c r="F30" i="6"/>
  <c r="F53" i="8" s="1"/>
  <c r="G30" i="6"/>
  <c r="D19" i="6"/>
  <c r="D40" i="8" s="1"/>
  <c r="C19" i="6"/>
  <c r="C40" i="8" s="1"/>
  <c r="D20" i="6"/>
  <c r="D41" i="8" s="1"/>
  <c r="C20" i="6"/>
  <c r="C41" i="8"/>
  <c r="D21" i="6"/>
  <c r="D42" i="8" s="1"/>
  <c r="C21" i="6"/>
  <c r="C42" i="8" s="1"/>
  <c r="D22" i="6"/>
  <c r="D43" i="8" s="1"/>
  <c r="C22" i="6"/>
  <c r="C43" i="8" s="1"/>
  <c r="D23" i="6"/>
  <c r="D44" i="8"/>
  <c r="C23" i="6"/>
  <c r="C44" i="8" s="1"/>
  <c r="D24" i="6"/>
  <c r="D45" i="8" s="1"/>
  <c r="C24" i="6"/>
  <c r="C45" i="8" s="1"/>
  <c r="D25" i="6"/>
  <c r="D48" i="8" s="1"/>
  <c r="L48" i="8" s="1"/>
  <c r="D27" i="6"/>
  <c r="D28" i="6"/>
  <c r="C25" i="6"/>
  <c r="C32" i="8" s="1"/>
  <c r="D3" i="9"/>
  <c r="C27" i="6"/>
  <c r="C33" i="8" s="1"/>
  <c r="B27" i="6"/>
  <c r="B50" i="8" s="1"/>
  <c r="E50" i="8"/>
  <c r="E46" i="2"/>
  <c r="E52" i="2"/>
  <c r="H12" i="8" s="1"/>
  <c r="D51" i="2"/>
  <c r="E51" i="2"/>
  <c r="K59" i="2"/>
  <c r="L59" i="2"/>
  <c r="K60" i="2"/>
  <c r="L60" i="2"/>
  <c r="K61" i="2"/>
  <c r="L61" i="2"/>
  <c r="K68" i="2"/>
  <c r="L68" i="2"/>
  <c r="K69" i="2"/>
  <c r="L69" i="2"/>
  <c r="K70" i="2"/>
  <c r="L70" i="2"/>
  <c r="D5" i="11"/>
  <c r="E5" i="11"/>
  <c r="B16" i="11"/>
  <c r="B15" i="11"/>
  <c r="E9" i="11"/>
  <c r="F9" i="11"/>
  <c r="E14" i="11"/>
  <c r="E19" i="11"/>
  <c r="B66" i="10"/>
  <c r="B65" i="10"/>
  <c r="E20" i="11"/>
  <c r="E17" i="11"/>
  <c r="E16" i="11"/>
  <c r="E15" i="11"/>
  <c r="E13" i="11"/>
  <c r="E12" i="11"/>
  <c r="E11" i="11"/>
  <c r="B20" i="11"/>
  <c r="B12" i="11"/>
  <c r="B13" i="11"/>
  <c r="B14" i="11"/>
  <c r="B17" i="11"/>
  <c r="B19" i="11"/>
  <c r="B11" i="11"/>
  <c r="C14" i="2"/>
  <c r="C13" i="2"/>
  <c r="B69" i="10"/>
  <c r="C6" i="8"/>
  <c r="D30" i="6"/>
  <c r="D53" i="8" s="1"/>
  <c r="C30" i="6"/>
  <c r="C53" i="8" s="1"/>
  <c r="B30" i="6"/>
  <c r="B35" i="8" s="1"/>
  <c r="B28" i="6"/>
  <c r="B51" i="8" s="1"/>
  <c r="B12" i="8"/>
  <c r="B11" i="8"/>
  <c r="B8" i="9"/>
  <c r="B27" i="9" s="1"/>
  <c r="L40" i="4"/>
  <c r="B9" i="9" s="1"/>
  <c r="C50" i="10"/>
  <c r="D50" i="10"/>
  <c r="B61" i="10"/>
  <c r="B62" i="10"/>
  <c r="B63" i="10"/>
  <c r="B64" i="10"/>
  <c r="B67" i="10"/>
  <c r="B68" i="10"/>
  <c r="C51" i="10"/>
  <c r="D51" i="10"/>
  <c r="B51" i="10"/>
  <c r="B50" i="10"/>
  <c r="B39" i="4"/>
  <c r="B38" i="4"/>
  <c r="B23" i="6"/>
  <c r="B44" i="8" s="1"/>
  <c r="C28" i="6"/>
  <c r="C51" i="8" s="1"/>
  <c r="B25" i="6"/>
  <c r="B48" i="8" s="1"/>
  <c r="B24" i="6"/>
  <c r="B30" i="8" s="1"/>
  <c r="B22" i="6"/>
  <c r="B29" i="8" s="1"/>
  <c r="C28" i="8"/>
  <c r="B21" i="6"/>
  <c r="B28" i="8" s="1"/>
  <c r="C27" i="8"/>
  <c r="B20" i="6"/>
  <c r="B27" i="8" s="1"/>
  <c r="B19" i="6"/>
  <c r="B40" i="8" s="1"/>
  <c r="C29" i="8"/>
  <c r="C31" i="8"/>
  <c r="B26" i="8"/>
  <c r="H11" i="8" l="1"/>
  <c r="F11" i="8"/>
  <c r="F40" i="8"/>
  <c r="H19" i="6"/>
  <c r="J19" i="6" s="1"/>
  <c r="M19" i="6" s="1"/>
  <c r="N19" i="6" s="1"/>
  <c r="L41" i="4"/>
  <c r="B10" i="9" s="1"/>
  <c r="B29" i="9" s="1"/>
  <c r="B81" i="10"/>
  <c r="B48" i="9"/>
  <c r="B6" i="10"/>
  <c r="B27" i="10"/>
  <c r="B28" i="9"/>
  <c r="H27" i="6"/>
  <c r="H30" i="6"/>
  <c r="K30" i="6" s="1"/>
  <c r="D35" i="8" s="1"/>
  <c r="D9" i="9"/>
  <c r="D81" i="10" s="1"/>
  <c r="H28" i="6"/>
  <c r="E51" i="10"/>
  <c r="E11" i="8"/>
  <c r="I11" i="8" s="1"/>
  <c r="E50" i="10"/>
  <c r="G9" i="11"/>
  <c r="D12" i="11" s="1"/>
  <c r="F12" i="11" s="1"/>
  <c r="D10" i="9"/>
  <c r="D82" i="10" s="1"/>
  <c r="E8" i="9"/>
  <c r="B41" i="8"/>
  <c r="B32" i="8"/>
  <c r="B31" i="8"/>
  <c r="H25" i="6"/>
  <c r="Q25" i="6" s="1"/>
  <c r="C34" i="8"/>
  <c r="C26" i="8"/>
  <c r="C30" i="8"/>
  <c r="B53" i="8"/>
  <c r="E40" i="8"/>
  <c r="H24" i="6"/>
  <c r="Q24" i="6" s="1"/>
  <c r="F5" i="11"/>
  <c r="H51" i="4"/>
  <c r="I50" i="4" s="1"/>
  <c r="I41" i="4"/>
  <c r="H23" i="6"/>
  <c r="Q23" i="6" s="1"/>
  <c r="E12" i="8"/>
  <c r="I12" i="8" s="1"/>
  <c r="C35" i="8"/>
  <c r="C80" i="10"/>
  <c r="E80" i="10" s="1"/>
  <c r="D50" i="8"/>
  <c r="C9" i="9"/>
  <c r="C10" i="9" s="1"/>
  <c r="B42" i="8"/>
  <c r="B34" i="8"/>
  <c r="C50" i="8"/>
  <c r="H21" i="6"/>
  <c r="J21" i="6" s="1"/>
  <c r="M21" i="6" s="1"/>
  <c r="P21" i="6" s="1"/>
  <c r="C48" i="8"/>
  <c r="Q28" i="6"/>
  <c r="R28" i="6"/>
  <c r="H20" i="6"/>
  <c r="G31" i="6"/>
  <c r="F31" i="6"/>
  <c r="D51" i="8"/>
  <c r="M28" i="6"/>
  <c r="F44" i="8"/>
  <c r="B43" i="8"/>
  <c r="B26" i="10"/>
  <c r="B80" i="10"/>
  <c r="B47" i="9"/>
  <c r="B5" i="10"/>
  <c r="H22" i="6"/>
  <c r="F43" i="8"/>
  <c r="B45" i="8"/>
  <c r="B33" i="8"/>
  <c r="R27" i="6"/>
  <c r="Q19" i="6"/>
  <c r="I17" i="8" l="1"/>
  <c r="G11" i="8"/>
  <c r="D19" i="11"/>
  <c r="F19" i="11" s="1"/>
  <c r="K19" i="6"/>
  <c r="D26" i="8" s="1"/>
  <c r="D14" i="11"/>
  <c r="F14" i="11" s="1"/>
  <c r="B82" i="10"/>
  <c r="B28" i="10"/>
  <c r="L42" i="4"/>
  <c r="L43" i="4" s="1"/>
  <c r="B49" i="9"/>
  <c r="B7" i="10"/>
  <c r="D11" i="11"/>
  <c r="F11" i="11" s="1"/>
  <c r="D16" i="11"/>
  <c r="F16" i="11" s="1"/>
  <c r="D18" i="11"/>
  <c r="F18" i="11" s="1"/>
  <c r="L50" i="8"/>
  <c r="Q50" i="8" s="1"/>
  <c r="K28" i="6"/>
  <c r="D34" i="8" s="1"/>
  <c r="L51" i="8"/>
  <c r="R51" i="8" s="1"/>
  <c r="E9" i="9"/>
  <c r="K27" i="6"/>
  <c r="D33" i="8" s="1"/>
  <c r="K24" i="6"/>
  <c r="D30" i="8" s="1"/>
  <c r="J24" i="6"/>
  <c r="M24" i="6" s="1"/>
  <c r="O24" i="6" s="1"/>
  <c r="K21" i="6"/>
  <c r="D28" i="8" s="1"/>
  <c r="C81" i="10"/>
  <c r="E81" i="10" s="1"/>
  <c r="D20" i="11"/>
  <c r="F20" i="11" s="1"/>
  <c r="D11" i="9"/>
  <c r="D83" i="10" s="1"/>
  <c r="G12" i="8"/>
  <c r="J23" i="6"/>
  <c r="M23" i="6" s="1"/>
  <c r="P23" i="6" s="1"/>
  <c r="J25" i="6"/>
  <c r="M25" i="6" s="1"/>
  <c r="N25" i="6" s="1"/>
  <c r="F54" i="8"/>
  <c r="K25" i="6"/>
  <c r="D32" i="8" s="1"/>
  <c r="K23" i="6"/>
  <c r="D31" i="8" s="1"/>
  <c r="M48" i="8"/>
  <c r="N48" i="8" s="1"/>
  <c r="Q48" i="8"/>
  <c r="I51" i="4"/>
  <c r="D15" i="11"/>
  <c r="F15" i="11" s="1"/>
  <c r="D13" i="11"/>
  <c r="F13" i="11" s="1"/>
  <c r="D17" i="11"/>
  <c r="F17" i="11" s="1"/>
  <c r="H31" i="6"/>
  <c r="I24" i="6" s="1"/>
  <c r="Q21" i="6"/>
  <c r="K22" i="6"/>
  <c r="J22" i="6"/>
  <c r="M22" i="6" s="1"/>
  <c r="Q22" i="6"/>
  <c r="N21" i="6"/>
  <c r="O21" i="6"/>
  <c r="O19" i="6"/>
  <c r="P19" i="6"/>
  <c r="E10" i="9"/>
  <c r="C11" i="9"/>
  <c r="C82" i="10"/>
  <c r="E82" i="10" s="1"/>
  <c r="J20" i="6"/>
  <c r="M20" i="6" s="1"/>
  <c r="K20" i="6"/>
  <c r="Q20" i="6"/>
  <c r="B11" i="9" l="1"/>
  <c r="R50" i="8"/>
  <c r="M50" i="8"/>
  <c r="P24" i="6"/>
  <c r="N24" i="6"/>
  <c r="M51" i="8"/>
  <c r="Q51" i="8"/>
  <c r="L44" i="4"/>
  <c r="B12" i="9"/>
  <c r="B30" i="9"/>
  <c r="B50" i="9"/>
  <c r="B8" i="10"/>
  <c r="B83" i="10"/>
  <c r="B29" i="10"/>
  <c r="P25" i="6"/>
  <c r="O25" i="6"/>
  <c r="O23" i="6"/>
  <c r="K31" i="6"/>
  <c r="C34" i="6" s="1"/>
  <c r="C35" i="6" s="1"/>
  <c r="N23" i="6"/>
  <c r="Q31" i="6"/>
  <c r="C38" i="6" s="1"/>
  <c r="C105" i="10" s="1"/>
  <c r="I28" i="6"/>
  <c r="I20" i="6"/>
  <c r="G17" i="8"/>
  <c r="K17" i="8" s="1"/>
  <c r="D12" i="9"/>
  <c r="D84" i="10" s="1"/>
  <c r="I21" i="6"/>
  <c r="I22" i="6"/>
  <c r="I27" i="6"/>
  <c r="I25" i="6"/>
  <c r="I30" i="6"/>
  <c r="I19" i="6"/>
  <c r="P48" i="8"/>
  <c r="O48" i="8"/>
  <c r="I23" i="6"/>
  <c r="O20" i="6"/>
  <c r="N20" i="6"/>
  <c r="P20" i="6"/>
  <c r="R19" i="6"/>
  <c r="R21" i="6"/>
  <c r="D29" i="8"/>
  <c r="E11" i="9"/>
  <c r="C83" i="10"/>
  <c r="E83" i="10" s="1"/>
  <c r="C12" i="9"/>
  <c r="M31" i="6"/>
  <c r="C36" i="6" s="1"/>
  <c r="D27" i="8"/>
  <c r="O22" i="6"/>
  <c r="P22" i="6"/>
  <c r="N22" i="6"/>
  <c r="R24" i="6" l="1"/>
  <c r="R23" i="6"/>
  <c r="B31" i="9"/>
  <c r="B84" i="10"/>
  <c r="B51" i="9"/>
  <c r="B9" i="10"/>
  <c r="B30" i="10"/>
  <c r="L45" i="4"/>
  <c r="B13" i="9"/>
  <c r="R25" i="6"/>
  <c r="L20" i="6"/>
  <c r="E27" i="8" s="1"/>
  <c r="C62" i="10" s="1"/>
  <c r="L22" i="6"/>
  <c r="E29" i="8" s="1"/>
  <c r="F29" i="8" s="1"/>
  <c r="D64" i="10" s="1"/>
  <c r="L24" i="6"/>
  <c r="E30" i="8" s="1"/>
  <c r="F30" i="8" s="1"/>
  <c r="D65" i="10" s="1"/>
  <c r="L28" i="6"/>
  <c r="E34" i="8" s="1"/>
  <c r="F34" i="8" s="1"/>
  <c r="D68" i="10" s="1"/>
  <c r="L23" i="6"/>
  <c r="E31" i="8" s="1"/>
  <c r="C66" i="10" s="1"/>
  <c r="L21" i="6"/>
  <c r="E28" i="8" s="1"/>
  <c r="F28" i="8" s="1"/>
  <c r="D63" i="10" s="1"/>
  <c r="L30" i="6"/>
  <c r="E35" i="8" s="1"/>
  <c r="L25" i="6"/>
  <c r="E32" i="8" s="1"/>
  <c r="F32" i="8" s="1"/>
  <c r="D67" i="10" s="1"/>
  <c r="L27" i="6"/>
  <c r="E33" i="8" s="1"/>
  <c r="L19" i="6"/>
  <c r="E26" i="8" s="1"/>
  <c r="F49" i="9"/>
  <c r="D28" i="10" s="1"/>
  <c r="F50" i="9"/>
  <c r="D29" i="10" s="1"/>
  <c r="F51" i="9"/>
  <c r="D30" i="10" s="1"/>
  <c r="F47" i="9"/>
  <c r="D26" i="10" s="1"/>
  <c r="F48" i="9"/>
  <c r="D27" i="10" s="1"/>
  <c r="P31" i="6"/>
  <c r="F33" i="8"/>
  <c r="D13" i="9"/>
  <c r="D85" i="10" s="1"/>
  <c r="O31" i="6"/>
  <c r="I31" i="6"/>
  <c r="R22" i="6"/>
  <c r="R48" i="8"/>
  <c r="R20" i="6"/>
  <c r="C69" i="8"/>
  <c r="E12" i="9"/>
  <c r="C13" i="9"/>
  <c r="C84" i="10"/>
  <c r="E84" i="10" s="1"/>
  <c r="N31" i="6"/>
  <c r="C20" i="8"/>
  <c r="C21" i="8" s="1"/>
  <c r="C51" i="9"/>
  <c r="C49" i="9"/>
  <c r="C47" i="9"/>
  <c r="C50" i="9"/>
  <c r="C48" i="9"/>
  <c r="E47" i="9"/>
  <c r="E48" i="9"/>
  <c r="E51" i="9"/>
  <c r="E52" i="9"/>
  <c r="E49" i="9"/>
  <c r="C103" i="10"/>
  <c r="E50" i="9"/>
  <c r="R31" i="6" l="1"/>
  <c r="C37" i="6" s="1"/>
  <c r="G50" i="9" s="1"/>
  <c r="C29" i="10" s="1"/>
  <c r="B52" i="9"/>
  <c r="B85" i="10"/>
  <c r="B31" i="10"/>
  <c r="B10" i="10"/>
  <c r="B32" i="9"/>
  <c r="B14" i="9"/>
  <c r="L46" i="4"/>
  <c r="F27" i="8"/>
  <c r="D62" i="10" s="1"/>
  <c r="C63" i="10"/>
  <c r="E63" i="10" s="1"/>
  <c r="C64" i="10"/>
  <c r="E64" i="10" s="1"/>
  <c r="F31" i="8"/>
  <c r="D66" i="10" s="1"/>
  <c r="E66" i="10" s="1"/>
  <c r="C69" i="10"/>
  <c r="F35" i="8"/>
  <c r="D69" i="10" s="1"/>
  <c r="C65" i="10"/>
  <c r="E65" i="10" s="1"/>
  <c r="C67" i="10"/>
  <c r="E67" i="10" s="1"/>
  <c r="C68" i="10"/>
  <c r="E68" i="10" s="1"/>
  <c r="L31" i="6"/>
  <c r="D14" i="9"/>
  <c r="D86" i="10" s="1"/>
  <c r="E62" i="10"/>
  <c r="C61" i="10"/>
  <c r="E13" i="9"/>
  <c r="C14" i="9"/>
  <c r="D53" i="9" s="1"/>
  <c r="C85" i="10"/>
  <c r="E85" i="10" s="1"/>
  <c r="F52" i="9"/>
  <c r="D31" i="10" s="1"/>
  <c r="D52" i="9"/>
  <c r="D47" i="9"/>
  <c r="D51" i="9"/>
  <c r="C102" i="10"/>
  <c r="D49" i="9"/>
  <c r="D48" i="9"/>
  <c r="D50" i="9"/>
  <c r="C52" i="9"/>
  <c r="H51" i="8"/>
  <c r="G33" i="8"/>
  <c r="H48" i="8"/>
  <c r="H50" i="8"/>
  <c r="G29" i="8"/>
  <c r="G32" i="8"/>
  <c r="H43" i="8"/>
  <c r="H45" i="8"/>
  <c r="G30" i="8"/>
  <c r="G28" i="8"/>
  <c r="H42" i="8"/>
  <c r="G34" i="8"/>
  <c r="G48" i="9" l="1"/>
  <c r="C27" i="10" s="1"/>
  <c r="G52" i="9"/>
  <c r="C31" i="10" s="1"/>
  <c r="C104" i="10"/>
  <c r="G51" i="9"/>
  <c r="C30" i="10" s="1"/>
  <c r="G49" i="9"/>
  <c r="C28" i="10" s="1"/>
  <c r="G53" i="9"/>
  <c r="C32" i="10" s="1"/>
  <c r="G47" i="9"/>
  <c r="C26" i="10" s="1"/>
  <c r="E69" i="10"/>
  <c r="G27" i="8"/>
  <c r="H41" i="8"/>
  <c r="L47" i="4"/>
  <c r="B15" i="9"/>
  <c r="B32" i="10"/>
  <c r="B33" i="9"/>
  <c r="B11" i="10"/>
  <c r="B53" i="9"/>
  <c r="B86" i="10"/>
  <c r="H44" i="8"/>
  <c r="J44" i="8" s="1"/>
  <c r="G44" i="8" s="1"/>
  <c r="G31" i="8"/>
  <c r="H53" i="8"/>
  <c r="J53" i="8" s="1"/>
  <c r="G35" i="8"/>
  <c r="D15" i="9"/>
  <c r="D87" i="10" s="1"/>
  <c r="F26" i="8"/>
  <c r="J51" i="4"/>
  <c r="J43" i="8"/>
  <c r="G43" i="8" s="1"/>
  <c r="J41" i="8"/>
  <c r="J42" i="8"/>
  <c r="G42" i="8" s="1"/>
  <c r="E14" i="9"/>
  <c r="C15" i="9"/>
  <c r="C86" i="10"/>
  <c r="E86" i="10" s="1"/>
  <c r="F53" i="9"/>
  <c r="D32" i="10" s="1"/>
  <c r="C53" i="9"/>
  <c r="E53" i="9"/>
  <c r="J45" i="8"/>
  <c r="L45" i="8" l="1"/>
  <c r="M45" i="8" s="1"/>
  <c r="G45" i="8"/>
  <c r="B12" i="10"/>
  <c r="B33" i="10"/>
  <c r="B54" i="9"/>
  <c r="B34" i="9"/>
  <c r="B87" i="10"/>
  <c r="B16" i="9"/>
  <c r="L48" i="4"/>
  <c r="D16" i="9"/>
  <c r="D88" i="10" s="1"/>
  <c r="D61" i="10"/>
  <c r="E61" i="10" s="1"/>
  <c r="H40" i="8"/>
  <c r="G26" i="8"/>
  <c r="D69" i="8" s="1"/>
  <c r="E69" i="8" s="1"/>
  <c r="G41" i="8"/>
  <c r="Q45" i="8"/>
  <c r="L43" i="8"/>
  <c r="M43" i="8" s="1"/>
  <c r="Q43" i="8"/>
  <c r="C16" i="9"/>
  <c r="E15" i="9"/>
  <c r="C87" i="10"/>
  <c r="E87" i="10" s="1"/>
  <c r="F54" i="9"/>
  <c r="D33" i="10" s="1"/>
  <c r="E54" i="9"/>
  <c r="C54" i="9"/>
  <c r="D54" i="9"/>
  <c r="G54" i="9"/>
  <c r="C33" i="10" s="1"/>
  <c r="L42" i="8"/>
  <c r="M42" i="8" s="1"/>
  <c r="Q42" i="8"/>
  <c r="Q41" i="8"/>
  <c r="L41" i="8"/>
  <c r="M41" i="8" s="1"/>
  <c r="L44" i="8"/>
  <c r="M44" i="8" s="1"/>
  <c r="Q44" i="8"/>
  <c r="B17" i="9" l="1"/>
  <c r="L49" i="4"/>
  <c r="B34" i="10"/>
  <c r="B35" i="9"/>
  <c r="B13" i="10"/>
  <c r="B55" i="9"/>
  <c r="B88" i="10"/>
  <c r="D17" i="9"/>
  <c r="D89" i="10" s="1"/>
  <c r="J40" i="8"/>
  <c r="H54" i="8"/>
  <c r="I40" i="8" s="1"/>
  <c r="P44" i="8"/>
  <c r="O44" i="8"/>
  <c r="N44" i="8"/>
  <c r="O42" i="8"/>
  <c r="N42" i="8"/>
  <c r="P42" i="8"/>
  <c r="C17" i="9"/>
  <c r="E16" i="9"/>
  <c r="C88" i="10"/>
  <c r="E88" i="10" s="1"/>
  <c r="F55" i="9"/>
  <c r="D34" i="10" s="1"/>
  <c r="E55" i="9"/>
  <c r="C55" i="9"/>
  <c r="D55" i="9"/>
  <c r="G55" i="9"/>
  <c r="C34" i="10" s="1"/>
  <c r="P45" i="8"/>
  <c r="N45" i="8"/>
  <c r="O45" i="8"/>
  <c r="O43" i="8"/>
  <c r="N43" i="8"/>
  <c r="P43" i="8"/>
  <c r="N41" i="8"/>
  <c r="O41" i="8"/>
  <c r="P41" i="8"/>
  <c r="B18" i="9" l="1"/>
  <c r="L50" i="4"/>
  <c r="B36" i="9"/>
  <c r="B35" i="10"/>
  <c r="B89" i="10"/>
  <c r="B56" i="9"/>
  <c r="B14" i="10"/>
  <c r="D18" i="9"/>
  <c r="D90" i="10" s="1"/>
  <c r="C58" i="8"/>
  <c r="C35" i="9" s="1"/>
  <c r="I48" i="8"/>
  <c r="I42" i="8"/>
  <c r="I50" i="8"/>
  <c r="I53" i="8"/>
  <c r="I51" i="8"/>
  <c r="I45" i="8"/>
  <c r="I43" i="8"/>
  <c r="I44" i="8"/>
  <c r="I41" i="8"/>
  <c r="L40" i="8"/>
  <c r="M40" i="8" s="1"/>
  <c r="G40" i="8"/>
  <c r="G54" i="8" s="1"/>
  <c r="J54" i="8"/>
  <c r="Q40" i="8"/>
  <c r="Q54" i="8" s="1"/>
  <c r="F73" i="8" s="1"/>
  <c r="R44" i="8"/>
  <c r="R41" i="8"/>
  <c r="R45" i="8"/>
  <c r="R42" i="8"/>
  <c r="R43" i="8"/>
  <c r="E17" i="9"/>
  <c r="C18" i="9"/>
  <c r="C89" i="10"/>
  <c r="E89" i="10" s="1"/>
  <c r="F56" i="9"/>
  <c r="D35" i="10" s="1"/>
  <c r="E56" i="9"/>
  <c r="C56" i="9"/>
  <c r="G56" i="9"/>
  <c r="C35" i="10" s="1"/>
  <c r="D56" i="9"/>
  <c r="B19" i="9" l="1"/>
  <c r="L51" i="4"/>
  <c r="B15" i="10"/>
  <c r="B37" i="9"/>
  <c r="B90" i="10"/>
  <c r="B57" i="9"/>
  <c r="B36" i="10"/>
  <c r="D19" i="9"/>
  <c r="D91" i="10" s="1"/>
  <c r="I54" i="8"/>
  <c r="M54" i="8"/>
  <c r="O40" i="8"/>
  <c r="O54" i="8" s="1"/>
  <c r="D73" i="8" s="1"/>
  <c r="N40" i="8"/>
  <c r="P40" i="8"/>
  <c r="P54" i="8" s="1"/>
  <c r="E73" i="8" s="1"/>
  <c r="K40" i="8"/>
  <c r="K53" i="8"/>
  <c r="K43" i="8"/>
  <c r="K45" i="8"/>
  <c r="K48" i="8"/>
  <c r="K42" i="8"/>
  <c r="K51" i="8"/>
  <c r="K41" i="8"/>
  <c r="K50" i="8"/>
  <c r="K44" i="8"/>
  <c r="C62" i="8"/>
  <c r="F36" i="9" s="1"/>
  <c r="F35" i="10" s="1"/>
  <c r="D58" i="8"/>
  <c r="C29" i="9"/>
  <c r="C33" i="9"/>
  <c r="C28" i="9"/>
  <c r="C34" i="9"/>
  <c r="C30" i="9"/>
  <c r="C27" i="9"/>
  <c r="C31" i="9"/>
  <c r="C59" i="8"/>
  <c r="D36" i="9" s="1"/>
  <c r="C32" i="9"/>
  <c r="E18" i="9"/>
  <c r="C19" i="9"/>
  <c r="C90" i="10"/>
  <c r="E90" i="10" s="1"/>
  <c r="F57" i="9"/>
  <c r="D36" i="10" s="1"/>
  <c r="E57" i="9"/>
  <c r="C57" i="9"/>
  <c r="D57" i="9"/>
  <c r="G57" i="9"/>
  <c r="C36" i="10" s="1"/>
  <c r="C36" i="9"/>
  <c r="L52" i="4" l="1"/>
  <c r="B20" i="9"/>
  <c r="B37" i="10"/>
  <c r="B38" i="9"/>
  <c r="B58" i="9"/>
  <c r="B91" i="10"/>
  <c r="B16" i="10"/>
  <c r="C60" i="8"/>
  <c r="E36" i="9" s="1"/>
  <c r="D20" i="9"/>
  <c r="D92" i="10" s="1"/>
  <c r="R40" i="8"/>
  <c r="R54" i="8" s="1"/>
  <c r="C61" i="8" s="1"/>
  <c r="N54" i="8"/>
  <c r="C73" i="8" s="1"/>
  <c r="F35" i="9"/>
  <c r="F34" i="10" s="1"/>
  <c r="F27" i="9"/>
  <c r="F26" i="10" s="1"/>
  <c r="F31" i="9"/>
  <c r="F30" i="10" s="1"/>
  <c r="F34" i="9"/>
  <c r="F33" i="10" s="1"/>
  <c r="D105" i="10"/>
  <c r="F33" i="9"/>
  <c r="F32" i="10" s="1"/>
  <c r="D62" i="8"/>
  <c r="F28" i="9"/>
  <c r="F27" i="10" s="1"/>
  <c r="F32" i="9"/>
  <c r="F31" i="10" s="1"/>
  <c r="F29" i="9"/>
  <c r="F28" i="10" s="1"/>
  <c r="F30" i="9"/>
  <c r="F29" i="10" s="1"/>
  <c r="D30" i="9"/>
  <c r="D29" i="9"/>
  <c r="D102" i="10"/>
  <c r="E102" i="10" s="1"/>
  <c r="D35" i="9"/>
  <c r="D31" i="9"/>
  <c r="D28" i="9"/>
  <c r="D32" i="9"/>
  <c r="D59" i="8"/>
  <c r="D34" i="9"/>
  <c r="D33" i="9"/>
  <c r="D27" i="9"/>
  <c r="C20" i="9"/>
  <c r="E19" i="9"/>
  <c r="C91" i="10"/>
  <c r="E91" i="10" s="1"/>
  <c r="F58" i="9"/>
  <c r="D37" i="10" s="1"/>
  <c r="E58" i="9"/>
  <c r="C58" i="9"/>
  <c r="G58" i="9"/>
  <c r="C37" i="10" s="1"/>
  <c r="D58" i="9"/>
  <c r="F37" i="9"/>
  <c r="F36" i="10" s="1"/>
  <c r="C37" i="9"/>
  <c r="D37" i="9"/>
  <c r="E33" i="9" l="1"/>
  <c r="E37" i="9"/>
  <c r="B92" i="10"/>
  <c r="B39" i="9"/>
  <c r="B17" i="10"/>
  <c r="B59" i="9"/>
  <c r="B38" i="10"/>
  <c r="L53" i="4"/>
  <c r="B21" i="9"/>
  <c r="E105" i="10"/>
  <c r="E5" i="10"/>
  <c r="F5" i="10" s="1"/>
  <c r="E31" i="9"/>
  <c r="E30" i="9"/>
  <c r="E28" i="9"/>
  <c r="D103" i="10"/>
  <c r="E103" i="10" s="1"/>
  <c r="E27" i="9"/>
  <c r="D60" i="8"/>
  <c r="E35" i="9"/>
  <c r="E34" i="9"/>
  <c r="E29" i="9"/>
  <c r="E32" i="9"/>
  <c r="D21" i="9"/>
  <c r="D93" i="10" s="1"/>
  <c r="E18" i="10" s="1"/>
  <c r="G73" i="8"/>
  <c r="E13" i="10"/>
  <c r="E8" i="10"/>
  <c r="E14" i="10"/>
  <c r="E7" i="10"/>
  <c r="E15" i="10"/>
  <c r="E12" i="10"/>
  <c r="E9" i="10"/>
  <c r="E17" i="10"/>
  <c r="E16" i="10"/>
  <c r="E6" i="10"/>
  <c r="E11" i="10"/>
  <c r="E10" i="10"/>
  <c r="D104" i="10"/>
  <c r="C5" i="10" s="1"/>
  <c r="D61" i="8"/>
  <c r="G32" i="9"/>
  <c r="E31" i="10" s="1"/>
  <c r="G27" i="9"/>
  <c r="E26" i="10" s="1"/>
  <c r="G30" i="9"/>
  <c r="E29" i="10" s="1"/>
  <c r="G29" i="9"/>
  <c r="E28" i="10" s="1"/>
  <c r="G28" i="9"/>
  <c r="E27" i="10" s="1"/>
  <c r="G31" i="9"/>
  <c r="E30" i="10" s="1"/>
  <c r="G33" i="9"/>
  <c r="E32" i="10" s="1"/>
  <c r="G34" i="9"/>
  <c r="E33" i="10" s="1"/>
  <c r="G35" i="9"/>
  <c r="E34" i="10" s="1"/>
  <c r="G36" i="9"/>
  <c r="E35" i="10" s="1"/>
  <c r="F38" i="9"/>
  <c r="F37" i="10" s="1"/>
  <c r="E38" i="9"/>
  <c r="C38" i="9"/>
  <c r="G38" i="9"/>
  <c r="E37" i="10" s="1"/>
  <c r="D38" i="9"/>
  <c r="G37" i="9"/>
  <c r="E36" i="10" s="1"/>
  <c r="C21" i="9"/>
  <c r="E20" i="9"/>
  <c r="C92" i="10"/>
  <c r="E92" i="10" s="1"/>
  <c r="F59" i="9"/>
  <c r="D38" i="10" s="1"/>
  <c r="E59" i="9"/>
  <c r="C59" i="9"/>
  <c r="G59" i="9"/>
  <c r="C38" i="10" s="1"/>
  <c r="D59" i="9"/>
  <c r="B40" i="9" l="1"/>
  <c r="B93" i="10"/>
  <c r="B18" i="10"/>
  <c r="B39" i="10"/>
  <c r="B60" i="9"/>
  <c r="L54" i="4"/>
  <c r="B23" i="9" s="1"/>
  <c r="B22" i="9"/>
  <c r="D22" i="9"/>
  <c r="D94" i="10" s="1"/>
  <c r="E19" i="10" s="1"/>
  <c r="D23" i="9"/>
  <c r="D95" i="10" s="1"/>
  <c r="E20" i="10" s="1"/>
  <c r="F6" i="10"/>
  <c r="F7" i="10" s="1"/>
  <c r="F8" i="10" s="1"/>
  <c r="F9" i="10" s="1"/>
  <c r="F10" i="10" s="1"/>
  <c r="F11" i="10" s="1"/>
  <c r="F12" i="10" s="1"/>
  <c r="F13" i="10" s="1"/>
  <c r="F14" i="10" s="1"/>
  <c r="F15" i="10" s="1"/>
  <c r="F16" i="10" s="1"/>
  <c r="F17" i="10" s="1"/>
  <c r="F18" i="10" s="1"/>
  <c r="F39" i="9"/>
  <c r="F38" i="10" s="1"/>
  <c r="C39" i="9"/>
  <c r="E39" i="9"/>
  <c r="D39" i="9"/>
  <c r="G39" i="9"/>
  <c r="E38" i="10" s="1"/>
  <c r="C22" i="9"/>
  <c r="E21" i="9"/>
  <c r="C93" i="10"/>
  <c r="E93" i="10" s="1"/>
  <c r="F60" i="9"/>
  <c r="D39" i="10" s="1"/>
  <c r="C60" i="9"/>
  <c r="E60" i="9"/>
  <c r="G60" i="9"/>
  <c r="C39" i="10" s="1"/>
  <c r="D60" i="9"/>
  <c r="C8" i="10"/>
  <c r="C15" i="10"/>
  <c r="E104" i="10"/>
  <c r="C6" i="10"/>
  <c r="C12" i="10"/>
  <c r="C11" i="10"/>
  <c r="C9" i="10"/>
  <c r="C16" i="10"/>
  <c r="C7" i="10"/>
  <c r="C10" i="10"/>
  <c r="D5" i="10"/>
  <c r="C13" i="10"/>
  <c r="C14" i="10"/>
  <c r="C17" i="10"/>
  <c r="C18" i="10"/>
  <c r="B19" i="10" l="1"/>
  <c r="B40" i="10"/>
  <c r="B94" i="10"/>
  <c r="B41" i="9"/>
  <c r="B61" i="9"/>
  <c r="B62" i="9"/>
  <c r="B42" i="9"/>
  <c r="B95" i="10"/>
  <c r="B20" i="10"/>
  <c r="B41" i="10"/>
  <c r="C19" i="10"/>
  <c r="C20" i="10"/>
  <c r="F19" i="10"/>
  <c r="F20" i="10" s="1"/>
  <c r="D6" i="10"/>
  <c r="D7" i="10" s="1"/>
  <c r="D8" i="10" s="1"/>
  <c r="D9" i="10" s="1"/>
  <c r="D10" i="10" s="1"/>
  <c r="D11" i="10" s="1"/>
  <c r="D12" i="10" s="1"/>
  <c r="D13" i="10" s="1"/>
  <c r="D14" i="10" s="1"/>
  <c r="D15" i="10" s="1"/>
  <c r="D16" i="10" s="1"/>
  <c r="D17" i="10" s="1"/>
  <c r="D18" i="10" s="1"/>
  <c r="F40" i="9"/>
  <c r="F39" i="10" s="1"/>
  <c r="C40" i="9"/>
  <c r="E40" i="9"/>
  <c r="G40" i="9"/>
  <c r="E39" i="10" s="1"/>
  <c r="D40" i="9"/>
  <c r="E22" i="9"/>
  <c r="C23" i="9"/>
  <c r="C94" i="10"/>
  <c r="E94" i="10" s="1"/>
  <c r="F61" i="9"/>
  <c r="D40" i="10" s="1"/>
  <c r="C61" i="9"/>
  <c r="E61" i="9"/>
  <c r="D61" i="9"/>
  <c r="G61" i="9"/>
  <c r="C40" i="10" s="1"/>
  <c r="D19" i="10" l="1"/>
  <c r="D20" i="10" s="1"/>
  <c r="C95" i="10"/>
  <c r="E95" i="10" s="1"/>
  <c r="E23" i="9"/>
  <c r="F62" i="9"/>
  <c r="D41" i="10" s="1"/>
  <c r="C62" i="9"/>
  <c r="E62" i="9"/>
  <c r="G62" i="9"/>
  <c r="C41" i="10" s="1"/>
  <c r="D62" i="9"/>
  <c r="F41" i="9"/>
  <c r="F40" i="10" s="1"/>
  <c r="E41" i="9"/>
  <c r="C41" i="9"/>
  <c r="G41" i="9"/>
  <c r="E40" i="10" s="1"/>
  <c r="D41" i="9"/>
  <c r="F42" i="9" l="1"/>
  <c r="F41" i="10" s="1"/>
  <c r="E42" i="9"/>
  <c r="C42" i="9"/>
  <c r="D42" i="9"/>
  <c r="G42" i="9"/>
  <c r="E41" i="10" s="1"/>
</calcChain>
</file>

<file path=xl/comments1.xml><?xml version="1.0" encoding="utf-8"?>
<comments xmlns="http://schemas.openxmlformats.org/spreadsheetml/2006/main">
  <authors>
    <author>Sayel Cortes</author>
  </authors>
  <commentList>
    <comment ref="F50" authorId="0" shapeId="0">
      <text>
        <r>
          <rPr>
            <b/>
            <sz val="9"/>
            <color indexed="81"/>
            <rFont val="Tahoma"/>
            <family val="2"/>
          </rPr>
          <t>Sayel Cortes:</t>
        </r>
        <r>
          <rPr>
            <sz val="9"/>
            <color indexed="81"/>
            <rFont val="Tahoma"/>
            <family val="2"/>
          </rPr>
          <t xml:space="preserve">
Se asume que la Zona DOT no afecta la programación de viajes del trolebús</t>
        </r>
      </text>
    </comment>
  </commentList>
</comments>
</file>

<file path=xl/sharedStrings.xml><?xml version="1.0" encoding="utf-8"?>
<sst xmlns="http://schemas.openxmlformats.org/spreadsheetml/2006/main" count="498" uniqueCount="340">
  <si>
    <t>Indicadores Urbanos</t>
  </si>
  <si>
    <t>Valor</t>
  </si>
  <si>
    <t>Unidad</t>
  </si>
  <si>
    <t>Fuente</t>
  </si>
  <si>
    <t>Combustible</t>
  </si>
  <si>
    <t>Población total</t>
  </si>
  <si>
    <t>Vehículo</t>
  </si>
  <si>
    <t>Motocicleta</t>
  </si>
  <si>
    <t>Taxi</t>
  </si>
  <si>
    <t>Ocupación Promedio</t>
  </si>
  <si>
    <t>Kilometros-vehículo recorridos</t>
  </si>
  <si>
    <t>Kilómetros recorridos por vehículo (km/año)</t>
  </si>
  <si>
    <t>Cantidad de vehículos</t>
  </si>
  <si>
    <t>Eficiencia (km/l)</t>
  </si>
  <si>
    <t>KgCO2/MJ</t>
  </si>
  <si>
    <t>kgCH4/MJ</t>
  </si>
  <si>
    <t>IPCC06- Cap 3 - Cuadro 3.2.2.</t>
  </si>
  <si>
    <t>kgN2O/MJ</t>
  </si>
  <si>
    <t>Calculado a partir de datos IPCC</t>
  </si>
  <si>
    <t>IPCC06-EFDB-117446, IPCC06-EFDB-117453</t>
  </si>
  <si>
    <t>kg/L</t>
  </si>
  <si>
    <t>Factor de emisión de CO2 de la gasolina</t>
  </si>
  <si>
    <t>Factor de emisión de CH4 de la gasolina</t>
  </si>
  <si>
    <t>Factor de emisión de N2O de la gasolina</t>
  </si>
  <si>
    <t>Factor de emisión de N2O del diesel</t>
  </si>
  <si>
    <t>Factor de emisión de CH4 del diesel</t>
  </si>
  <si>
    <t>Factor de emisión de CO2 del diesel</t>
  </si>
  <si>
    <t>Valor calorífico neto - diesel</t>
  </si>
  <si>
    <t>Valor calorífico neto - gasolina</t>
  </si>
  <si>
    <t>MJ/kg gasolina</t>
  </si>
  <si>
    <t>MJ/kg diesel</t>
  </si>
  <si>
    <t>Densidad - diesel</t>
  </si>
  <si>
    <t>Densidad - gasolina</t>
  </si>
  <si>
    <t>Emisiones totales (tonCO2eq)</t>
  </si>
  <si>
    <t>Distribución Modal en km-persona</t>
  </si>
  <si>
    <t>Distribución Modal en km-vehículo</t>
  </si>
  <si>
    <t>Cambio</t>
  </si>
  <si>
    <t>Número de Viajes</t>
  </si>
  <si>
    <t>Distancia Promedio de Viaje</t>
  </si>
  <si>
    <t>Diferencia</t>
  </si>
  <si>
    <t>Elasticidad</t>
  </si>
  <si>
    <t>Efecto</t>
  </si>
  <si>
    <t>Efecto total</t>
  </si>
  <si>
    <t>del Impacto Urbano en la Movilidad</t>
  </si>
  <si>
    <t>Elasticidad Distancia al Centro sobre Distancia Promedio de Viaje</t>
  </si>
  <si>
    <t>adimensional</t>
  </si>
  <si>
    <t>C2C2 - Análisis Multivariable</t>
  </si>
  <si>
    <t>Elasticidad Densidad Poblacional sobre Distancia Promedio de Viaje</t>
  </si>
  <si>
    <t>Elasticidad Índice de Uso Mixto sobre Distancia Promedio de Viaje</t>
  </si>
  <si>
    <t>Elasticidad Empleos por Vivienda sobre Distancia Promedio de Viaje</t>
  </si>
  <si>
    <t>Elasticidad Densidad Vial sobre Viajes por Persona al Día</t>
  </si>
  <si>
    <t>Elasticidad Densidad Poblacional sobre Viajes por Persona al Día</t>
  </si>
  <si>
    <t>Elasticidad del Balance de Servicios sobre Viajes por Persona al Día</t>
  </si>
  <si>
    <t>Elasticidad Índice de Uso Mixto sobre Viajes por Persona al Día</t>
  </si>
  <si>
    <t>Elasticidad Balance de Empleo y Trabajadores sobre Viajes por Persona al Día</t>
  </si>
  <si>
    <t>Efecto total en kilómetros recorridos por persona</t>
  </si>
  <si>
    <t>Linea Base</t>
  </si>
  <si>
    <t>Promedio de Km-persona por persona al año</t>
  </si>
  <si>
    <t>Calculos de movilidad en km-vehículo</t>
  </si>
  <si>
    <t>Información de los vehículos</t>
  </si>
  <si>
    <t>Emisiones de CO2 (tonCO2)</t>
  </si>
  <si>
    <t>Emisiones de CH4 (tonCH4)</t>
  </si>
  <si>
    <t>Emisiones de N2O (tonN2O)</t>
  </si>
  <si>
    <t>Gasolina</t>
  </si>
  <si>
    <t>Totales</t>
  </si>
  <si>
    <t xml:space="preserve">Impacto de la zona DOT en los kilómetros recorridos </t>
  </si>
  <si>
    <t>Nombre de la Ciudad</t>
  </si>
  <si>
    <t>Calculos de movilidad en km-persona</t>
  </si>
  <si>
    <t>Estimación de Emisiones de Gases de Efecto Invernadero</t>
  </si>
  <si>
    <t>Efectos de la zona DOT</t>
  </si>
  <si>
    <t>Tren Ligero</t>
  </si>
  <si>
    <t>Electricidad</t>
  </si>
  <si>
    <t>Ciudad</t>
  </si>
  <si>
    <t>GWP (potencial de calentamiento global) CH4 en horizonte a 100 años</t>
  </si>
  <si>
    <t>GWP (potencial de calentamiento global) N2O en horizonte a 100 años</t>
  </si>
  <si>
    <t>pasajeros/día</t>
  </si>
  <si>
    <t>kwh/pasajero</t>
  </si>
  <si>
    <t>http://www.siteur.gob.mx/tren-ligero/caracteristicas.html</t>
  </si>
  <si>
    <t>Diagnóstico de la situación energética en el Distrito Federal:
Retos, pendientes y potencialidades. CIDAC. Tabla 2.</t>
  </si>
  <si>
    <t>Kilometros-persona recorridos (km)</t>
  </si>
  <si>
    <t>Factor de Emisión PM2.5 vehículos a gasolina</t>
  </si>
  <si>
    <t>Factor de Emisión PM2.5 vehículos a diésel</t>
  </si>
  <si>
    <t>g/km</t>
  </si>
  <si>
    <t>%</t>
  </si>
  <si>
    <t xml:space="preserve">Temas emergentes en cambio climático: metano y carbono negro, sus posibles co-beneficios y desarrollo de planes de investigación, INE-MEC2, Tabla 10 </t>
  </si>
  <si>
    <t>Potencial de calentamiento global Carbono negro</t>
  </si>
  <si>
    <t>Factor de Emisión PM2.5 centrales eléctricas</t>
  </si>
  <si>
    <t>g/kwh</t>
  </si>
  <si>
    <t>Relación de CN/PM2.5 vehículos</t>
  </si>
  <si>
    <t>Relación de CN/PM2.5 centrales eléctricas</t>
  </si>
  <si>
    <t>Intervención DOT</t>
  </si>
  <si>
    <t>Variable</t>
  </si>
  <si>
    <t>Habitante DOT</t>
  </si>
  <si>
    <t>Habitante promedio</t>
  </si>
  <si>
    <t>Diferencia %</t>
  </si>
  <si>
    <t>Kilómetros recorridos por año</t>
  </si>
  <si>
    <t>Consumo de combustible (l de combustible o kWh)</t>
  </si>
  <si>
    <t>Valores promedio por persona</t>
  </si>
  <si>
    <t>Distribución modal</t>
  </si>
  <si>
    <t>Zona DOT</t>
  </si>
  <si>
    <t>Km-persona recorridos por persona (km)</t>
  </si>
  <si>
    <t>Condiciones Urbanas</t>
  </si>
  <si>
    <t>Consumo de energía (MJ)</t>
  </si>
  <si>
    <t>Factor de conversión de kWh a MJ</t>
  </si>
  <si>
    <t>MJ/kWh</t>
  </si>
  <si>
    <t>http://www.iae.org.ar/equivalencias.pdf</t>
  </si>
  <si>
    <t>Energía consumida (MJ/persona)</t>
  </si>
  <si>
    <t>Nombre del Escenario</t>
  </si>
  <si>
    <t>% de la población de la línea base</t>
  </si>
  <si>
    <t>% de cambio con la línea base</t>
  </si>
  <si>
    <t>Reducción de emisiones al año por persona</t>
  </si>
  <si>
    <t>Valores de Línea Base</t>
  </si>
  <si>
    <t>Construcción de Escenarios en el tiempo</t>
  </si>
  <si>
    <t>Año</t>
  </si>
  <si>
    <t>Población de línea base</t>
  </si>
  <si>
    <t>Población en Zona DOT</t>
  </si>
  <si>
    <t>Factor de crecimiento poblacional</t>
  </si>
  <si>
    <t>Crecimiento poblacional y de la población en zonas DOT</t>
  </si>
  <si>
    <t>Escenario con zona DOT</t>
  </si>
  <si>
    <t>Emisiones de GEI totales (tonCO2e por persona por año)</t>
  </si>
  <si>
    <t>Kilómetros recorridos al año por persona</t>
  </si>
  <si>
    <t>Kilómetros recorridos por día por persona</t>
  </si>
  <si>
    <t>Vehículos de calle</t>
  </si>
  <si>
    <t>Vehículos de vía (metro, tren ligero, etc.)</t>
  </si>
  <si>
    <t>Calculos de Emisiones de Movilidad</t>
  </si>
  <si>
    <t>Valores por Persona para la línea base</t>
  </si>
  <si>
    <t>Comparación entre habitante de zona DOT y habitante promedio de la ciudad</t>
  </si>
  <si>
    <t>Cambio en emisiones</t>
  </si>
  <si>
    <t>Emisiones de carbono negro (tonCO2e por persona por año)</t>
  </si>
  <si>
    <t>Comentarios</t>
  </si>
  <si>
    <t>Diésel</t>
  </si>
  <si>
    <t>PORTADA</t>
  </si>
  <si>
    <t>CÁLCULOS LÍNEA BASE</t>
  </si>
  <si>
    <t>CÁLCULOS ZONA DOT</t>
  </si>
  <si>
    <t>CONSTANTES</t>
  </si>
  <si>
    <t>Habitantes</t>
  </si>
  <si>
    <t>valor</t>
  </si>
  <si>
    <t xml:space="preserve"> </t>
  </si>
  <si>
    <t>CAPTURA DE DATOS</t>
  </si>
  <si>
    <t>Aquí se incorporará la información de la Zona DOT considerada y del alcance de su implementación estimado para los próximos años</t>
  </si>
  <si>
    <t>Población Total (hab)</t>
  </si>
  <si>
    <t>Densidad Poblacional (hab/ha)</t>
  </si>
  <si>
    <t>Indicadores Urbanos Promedio de la Ciudad</t>
  </si>
  <si>
    <t>Indicadores Demográficos</t>
  </si>
  <si>
    <t>Total</t>
  </si>
  <si>
    <t>Población estimada en la ciudad</t>
  </si>
  <si>
    <t>Población en zonas DOT</t>
  </si>
  <si>
    <t>Automóvil particular</t>
  </si>
  <si>
    <t>Kilómetros-persona recorridos al año (en millones)</t>
  </si>
  <si>
    <t>Kilómetros-persona recorridos por día (en millones)</t>
  </si>
  <si>
    <t xml:space="preserve">Emisiones de GEI totales (miles de tonCO2e por año) </t>
  </si>
  <si>
    <t>Energía consumida (miles de MWh/año)</t>
  </si>
  <si>
    <t>De estimación de emisiones</t>
  </si>
  <si>
    <t>Línea base (normalmente promedio en la ciudad)</t>
  </si>
  <si>
    <t>Distribución Modal</t>
  </si>
  <si>
    <t>Uso modal</t>
  </si>
  <si>
    <t xml:space="preserve">Distribución modal en la línea base </t>
  </si>
  <si>
    <t>Distribución modal esperada en Zona DOT</t>
  </si>
  <si>
    <t>Comparación de datos por persona</t>
  </si>
  <si>
    <t>Habitantes en zonas DOT</t>
  </si>
  <si>
    <t>Porcentaje de la población en zona DOT</t>
  </si>
  <si>
    <t xml:space="preserve">Escenario de emisiones </t>
  </si>
  <si>
    <t>Línea Base</t>
  </si>
  <si>
    <t>Escenario con implementación de Zona DOT</t>
  </si>
  <si>
    <t xml:space="preserve">Emisiones de GEI totales implementando Zonas DOT (miles de tonCO2e) </t>
  </si>
  <si>
    <t xml:space="preserve">Emisiones de GEI totales en línea base (miles de tonCO2e) </t>
  </si>
  <si>
    <t>GEI totales reducidos (tonCO2/año)</t>
  </si>
  <si>
    <t>Acumulado de GEI reducidos (tonCO2e/año)</t>
  </si>
  <si>
    <t>Carbono negro reducido (tonCO2e/año)</t>
  </si>
  <si>
    <t>Acumulado de carbono negro reducido (tonCO2e/año)</t>
  </si>
  <si>
    <t>Emisiones de carbono negro (tonCO2e/persona-año)</t>
  </si>
  <si>
    <t>RESULTADOS</t>
  </si>
  <si>
    <t>ESTIMACIÓN DE LÍNEA BASE DE EMISIONES DE CEI EN UN PROYECTO DOT</t>
  </si>
  <si>
    <t>ESTIMACIÓN DEL ESCENARIO DE EMISIONES DE CEI EN UN PROYECTO DOT</t>
  </si>
  <si>
    <t>Energía consumida (kWh/persona)</t>
  </si>
  <si>
    <t>Año de implementación</t>
  </si>
  <si>
    <t>ESCENARIOS</t>
  </si>
  <si>
    <t>Índice de Uso Mixto (adimensional)</t>
  </si>
  <si>
    <t>Emisiones de Carbono Negro en línea base (miles de tonCO2e)</t>
  </si>
  <si>
    <t>Emisiones de Carbono Negro implementando Zonas DOT (miles de tonCO2e)</t>
  </si>
  <si>
    <t>Indicador urbano</t>
  </si>
  <si>
    <t>San Francisco Bay Area, California</t>
  </si>
  <si>
    <t>Kitamura, R., L. Laidet, and P. Mokhtarian. A Micro-Analysis of Land Use and Travel in Five Neighborhoods in the San Francisco Bay Area. Transportation, Vol. 24, 1997, pp. 125–158. (re-analisis by Ewing y Cervero, 2001)</t>
  </si>
  <si>
    <t>Densidad poblacional</t>
  </si>
  <si>
    <t>Kulkarni, A., and M. G. McNally. Assessment of Influence of the Land Use-Transportation System on Travel Behavior. In Transportation Research Record 1607, TRB, National Research Council, Washington, D.C., 1997, pp. 105–115. (re-analisis by Ewing y Cervero, 2001)</t>
  </si>
  <si>
    <t>Condado Orange, California</t>
  </si>
  <si>
    <t>USA (encuesta a nivel nacional de 15,916 hogares)</t>
  </si>
  <si>
    <t>Ewing, R. y Cervero, R. Travel and the Built Environmnet: A Synthesis. In Transportation Research Record 1780, TRB, National Research Council, Washington, D.C., 2001. pp. 87-113</t>
  </si>
  <si>
    <t>Densidad local</t>
  </si>
  <si>
    <t>Usos mixtos (medidad de disimilaridad)</t>
  </si>
  <si>
    <t>Usos mixtos (medidad de entropia)</t>
  </si>
  <si>
    <t>Diversidad local (usos mixtos)</t>
  </si>
  <si>
    <t>Estudio sobre el impacto del entorno construido y la movilidad</t>
  </si>
  <si>
    <t>Impacto en el número de viajes (elasticidad)</t>
  </si>
  <si>
    <t>Impacto en la distancia recorrida por vehículo (elasticidad)</t>
  </si>
  <si>
    <t>Área geográfica donde se realizó el estudio</t>
  </si>
  <si>
    <t>Impacto de la Densidad Poblacional en la movilidad</t>
  </si>
  <si>
    <t>Nombre del efecto</t>
  </si>
  <si>
    <t>Impacto de los usos de suelo mixtos en la movilidad</t>
  </si>
  <si>
    <t>Centro de Transporte Sustentable México, Estudio Hacia Ciudades Competitivas Bajas en Carbono, 2010</t>
  </si>
  <si>
    <t>Condado Orange, California (impacto medio)</t>
  </si>
  <si>
    <t>San Francisco (impacto medio)</t>
  </si>
  <si>
    <t>USA 1996 (impacto medio)</t>
  </si>
  <si>
    <t>Densidad Poblacional</t>
  </si>
  <si>
    <t>Mérida, Yucatán (impacto alto) (default)</t>
  </si>
  <si>
    <t>Usos Mixtos</t>
  </si>
  <si>
    <t>Area metropolitana de Toronto (impacto medio)</t>
  </si>
  <si>
    <t>Indice de usos mixtos (medida de entropia)</t>
  </si>
  <si>
    <t>NA</t>
  </si>
  <si>
    <t>No motorizado</t>
  </si>
  <si>
    <t>Promedio de Km-persona por persona al año en la zona DOT</t>
  </si>
  <si>
    <t>IPCC06 - Vol2 -Tabla 3.2.1</t>
  </si>
  <si>
    <t>Vehiculos sin emisiones extra</t>
  </si>
  <si>
    <t>Se asume que la población de la zona DOT es insuficiente para generar cambios en la frecuencia y cantidad de camiones BRT y de trenes de tren ligero, por lo que la zona DOT no produce cambios en los km vehículo de estos modos (si en los km-persona)</t>
  </si>
  <si>
    <t>Km-persona recorridos</t>
  </si>
  <si>
    <t>% en número de viajes personales por modo de transporte</t>
  </si>
  <si>
    <t>http://www.geimexico.org/image/2015/aviso_factor_de_emision_electrico%202014%20Semarnat.pdf</t>
  </si>
  <si>
    <t>http://www.ecovehiculos.gob.mx/metodologia2008.php</t>
  </si>
  <si>
    <t>2. Información de la Zona DOT por analizar</t>
  </si>
  <si>
    <t xml:space="preserve">Captura de información urbana y de movilidad de la ciudad donde se realizará el análisis. </t>
  </si>
  <si>
    <t>1.1. Información de la Ciudad</t>
  </si>
  <si>
    <t>1.2. Información de Movilidad</t>
  </si>
  <si>
    <t>2.1. Indicadores Urbanos de Zona DOT</t>
  </si>
  <si>
    <t>Emisiones totales (tonCO2e)</t>
  </si>
  <si>
    <t>Factor de emisión de CO2e de la gasolina</t>
  </si>
  <si>
    <t>kgCO2e/MJ</t>
  </si>
  <si>
    <t>Factor de emisión de CO2e del diesel</t>
  </si>
  <si>
    <t>Factor de emisión de CO2e para la electricidad</t>
  </si>
  <si>
    <t>kgCH4/kgCO2e</t>
  </si>
  <si>
    <t>kgN2O/kgCO2e</t>
  </si>
  <si>
    <t>Valor típico en Norteamérica (impacto bajo)</t>
  </si>
  <si>
    <t>Cálculos de Emisiones de Movilidad</t>
  </si>
  <si>
    <t>Cálculos de movilidad en km-vehículo</t>
  </si>
  <si>
    <t>Cálculos de movilidad en km-persona</t>
  </si>
  <si>
    <t>Kilómetros-vehículo recorridos</t>
  </si>
  <si>
    <t>Kilómetros-persona recorridos (km)</t>
  </si>
  <si>
    <t>Emisiones de carbono negro</t>
  </si>
  <si>
    <t>De contar con la información necesaria, pueden agregarse los efectos de más indicadores urbanos utilizando las elasticidades de la sección de "Constantes del Impacto Urbano en la Movilidad". Solo debe tenerse cuidado de que los efectos sean aditivos y todos estén incluidos en la celda "Efecto total en kilómetros recorridos por persona"</t>
  </si>
  <si>
    <t>Emisiones de Carbono Negro (miles de tonCO2e por persona por año)</t>
  </si>
  <si>
    <t>Norteamérica (meta-análisis de otros estudios)</t>
  </si>
  <si>
    <t>Autobús transporte público</t>
  </si>
  <si>
    <t>Camioneta particular</t>
  </si>
  <si>
    <r>
      <t>Cantidad de vehículos</t>
    </r>
    <r>
      <rPr>
        <b/>
        <i/>
        <vertAlign val="superscript"/>
        <sz val="11"/>
        <color theme="1"/>
        <rFont val="Calibri"/>
        <family val="2"/>
        <scheme val="minor"/>
      </rPr>
      <t>1</t>
    </r>
  </si>
  <si>
    <r>
      <t>Kilómetros recorridos por vehículo (km/año)</t>
    </r>
    <r>
      <rPr>
        <b/>
        <i/>
        <vertAlign val="superscript"/>
        <sz val="11"/>
        <color theme="1"/>
        <rFont val="Calibri"/>
        <family val="2"/>
        <scheme val="minor"/>
      </rPr>
      <t>1</t>
    </r>
  </si>
  <si>
    <t>Fuentes de información</t>
  </si>
  <si>
    <r>
      <t>Ocupación Promedio</t>
    </r>
    <r>
      <rPr>
        <b/>
        <i/>
        <vertAlign val="superscript"/>
        <sz val="11"/>
        <color theme="1"/>
        <rFont val="Calibri"/>
        <family val="2"/>
        <scheme val="minor"/>
      </rPr>
      <t>3</t>
    </r>
  </si>
  <si>
    <t>Transporte no motorizado (peatón y bicicleta)</t>
  </si>
  <si>
    <t>Proporciona información general sobre la herramienta.</t>
  </si>
  <si>
    <t>En esta hoja se proyecta en el tiempo el escenario de implementación de las zonas DOT a partir de los cálculos de las otras hojas.</t>
  </si>
  <si>
    <t>Contiene las constantes usadas para los cálculos de emisiones de CEI de manera agrupada.</t>
  </si>
  <si>
    <t>En todas las hojas se cuenta con ayudas visuales en las celdas, con los siguientes colores de acuerdo al tipo de información que contienen.</t>
  </si>
  <si>
    <t>Cálculo de Índice de Uso Mixto</t>
  </si>
  <si>
    <t>Viviendas habitadas</t>
  </si>
  <si>
    <t>Unidades de servicios</t>
  </si>
  <si>
    <t>Número de viajes por persona</t>
  </si>
  <si>
    <t>Distancia recorrida al año por persona</t>
  </si>
  <si>
    <t>Ocupación</t>
  </si>
  <si>
    <t>CÁLCULOS AUXILIARES</t>
  </si>
  <si>
    <t>Poblacion total</t>
  </si>
  <si>
    <t>Km-persona recorridos totales</t>
  </si>
  <si>
    <t>Km-persona recorridos al año en cada vehículo</t>
  </si>
  <si>
    <t>Km-vehículo recorridos al año</t>
  </si>
  <si>
    <t>Población</t>
  </si>
  <si>
    <t>Viajes totales por año</t>
  </si>
  <si>
    <t>Número de viajes por persona por dia promedio</t>
  </si>
  <si>
    <t>Distribución modal en km-persona calculado a partir de viajes</t>
  </si>
  <si>
    <t>% de uso en km-persona (capturar o copiar del valor calculado a partir de los viajes)</t>
  </si>
  <si>
    <t>Promedios</t>
  </si>
  <si>
    <t>Impacto bajo</t>
  </si>
  <si>
    <t>Impacto medio</t>
  </si>
  <si>
    <t>Impacto alto</t>
  </si>
  <si>
    <t>kgCO2e/kWh</t>
  </si>
  <si>
    <t>Diferencia (pp)</t>
  </si>
  <si>
    <t>Mérida, Yucatán</t>
  </si>
  <si>
    <t>Área metropolitana de Toronto, Ontario</t>
  </si>
  <si>
    <t>Área metropolitana de Portland, Oregon</t>
  </si>
  <si>
    <t xml:space="preserve">Escenario de línea Base </t>
  </si>
  <si>
    <t>Emisiones de carbono negro (miles de tonCO2e por persona por año)</t>
  </si>
  <si>
    <t>Valores por persona para la zona DOT</t>
  </si>
  <si>
    <t>HERRAMIENTA PARA LA ESTIMACIÓN DE EMISIONES DE COMPUESTOS DE EFECTO INVERNADERO EN PROYECTOS DE DESARROLLO ORIENTADO AL TRANSPORTE</t>
  </si>
  <si>
    <t>Además de esta secuencia de efectos, la escala de los impactos depende de la cantidad de personas que sean afectadas por el entorno urbano, ya que serán éstas las que definan la escala del transporte utilizado y, por lo tanto, la de las emisiones. Por esto, esta herramienta utiliza como unidad de magnitud a una persona que representa al conjunto de personas que se rigen bajo un determinado entorno urbano. Esta persona modelo es un promedio de los patrones de movilidad de los habitantes de una zona y facilita ajustar la escala de los impactos urbanos; así como comparar los efectos de un entorno urbano con los de otros, o con una combinación de éstos. Siguiendo esta lógica se construye la estructura fundamental del modelo en cuestión.</t>
  </si>
  <si>
    <t>Esta herramienta parte del supuesto de que el ambiente construido influye en la forma en que las personas que viven en ese ambiente se transportan. Con base en este supuesto, puede afirmarse que incorporar determinados criterios urbanos puede afectar las decisiones de movilidad de las personas para generar patrones de movilidad más sustentables, que a su vez derivan en menores emisiones de compuestos de efecto invernadero (CEI) a la atmósfera. Se reconoce también que existen otras variables que afectan las decisiones de movilidad de las personas (factores económicos, demográficos, entre otros); sin embargo, bajo el alcance actual este modelo se diseña para considerar solo los factores construidos, y la incorporación de factores socio-económicos queda como una sugerencia para la futura expansión del modelo. En síntesis, la secuencia de efectos sigue la siguiente dirección.</t>
  </si>
  <si>
    <t>Entorno Urbano -&gt; Patrón de Movilidad -&gt; Emisiones de compuestos de efecto invernadero (CEI)</t>
  </si>
  <si>
    <t>Esta herramienta de estimación de emisiones de compuestos de efecto invernadero (CEI) en la implementación de un proyecto de Desarrollo Orientado al Transporte (DOT) consta de 8 hojas:</t>
  </si>
  <si>
    <t>De manera general, esta hoja es la única que se debe intervenir; es decir, donde se captura la información necesaria para hacer la estimación.</t>
  </si>
  <si>
    <t>Aquí se presentan, de manera tabulada y gráfica, algunos datos comparativos y resultados de las emisiones en la línea base y en una proyección de un escenario a 15 años.</t>
  </si>
  <si>
    <r>
      <t>En esta hoja se realizan, de manera automática, los cálculos para estimar las emisiones de la línea base bajo un escenario '</t>
    </r>
    <r>
      <rPr>
        <i/>
        <sz val="11"/>
        <color theme="1"/>
        <rFont val="Calibri"/>
        <family val="2"/>
        <scheme val="minor"/>
      </rPr>
      <t xml:space="preserve">Business as usual' </t>
    </r>
    <r>
      <rPr>
        <sz val="11"/>
        <color theme="1"/>
        <rFont val="Calibri"/>
        <family val="2"/>
        <scheme val="minor"/>
      </rPr>
      <t>(BAU)</t>
    </r>
    <r>
      <rPr>
        <sz val="11"/>
        <color theme="1"/>
        <rFont val="Calibri"/>
        <family val="2"/>
        <scheme val="minor"/>
      </rPr>
      <t>.</t>
    </r>
  </si>
  <si>
    <t>Aquí se realizan, de manera automática, los cálculos para estimar las emisiones del escenario de implementación del DOT.</t>
  </si>
  <si>
    <t>Datos informativos</t>
  </si>
  <si>
    <t>Datos de captura (a modificar)</t>
  </si>
  <si>
    <t>La información contenida en estas celdas consiste de fórmulas o referencias a otras celdas que no se deben modificar</t>
  </si>
  <si>
    <t>Celdas que contienen información que se puede usar en caso de no contar con información más precisa</t>
  </si>
  <si>
    <t>2.3. Distribución modal en la zona DOT</t>
  </si>
  <si>
    <t>En caso de contar con los datos adicionales, permite el cálculo del índice de Uso Mixto y la conversión de número de viajes, distancia promedio por viaje, y distribución modal a km-vehículo recorridos.</t>
  </si>
  <si>
    <t>Distancia promedio por viaje (km)</t>
  </si>
  <si>
    <t>Nota. Si se deja la distribución modal en blanco, se asume que no hay cambio de distribución modal en la zona DOT con respecto a la ciudad.</t>
  </si>
  <si>
    <t>Reducción del potencial de emisiones con respecto a la línea base por año</t>
  </si>
  <si>
    <t>Indicadores</t>
  </si>
  <si>
    <t>Habitantes esperados en zonas DOT</t>
  </si>
  <si>
    <t>Emisiones de GEI (tonCO2e/persona-año)</t>
  </si>
  <si>
    <t>Impacto de la zona DOT en indicadores urbanos</t>
  </si>
  <si>
    <t>Distancia Promedio por Viaje (km)</t>
  </si>
  <si>
    <t>Distancia recorrida al día por persona (km)</t>
  </si>
  <si>
    <t>Distribución modal (%)</t>
  </si>
  <si>
    <t>Conversión de número de viajes, distancia promedio por viaje, y distribución modal a km-vehículo recorridos por modo de transporte</t>
  </si>
  <si>
    <t>Proporción vivienda</t>
  </si>
  <si>
    <t>Proporción unidades servicio</t>
  </si>
  <si>
    <t>Índice de uso mixto</t>
  </si>
  <si>
    <t>Estos valores de kilómetros-vehículo recorridos por año y por modo de transporte pueden copiarse a las celdas correspondientes en las hojas de ‘Captura de datos’ y ‘Cálculo de línea base’, si desea usarse como información inicial en lugar del número de vehículos y los kilómetros por vehículo.</t>
  </si>
  <si>
    <t>Este valor de índice de uso mixto puede copiarse a la celda correspondiente en la hoja 'Captura de datos'.</t>
  </si>
  <si>
    <t>Pasajeros del tren ligero</t>
  </si>
  <si>
    <t>Consumo energético transporte eléctrico</t>
  </si>
  <si>
    <t>Nivel de efecto del indicador urbano en la movilidad</t>
  </si>
  <si>
    <t>Microbús transporte público</t>
  </si>
  <si>
    <t>Tasa de crecimiento poblacional esperada</t>
  </si>
  <si>
    <t>Emisiones de carbono negro (tonCO2e)</t>
  </si>
  <si>
    <t>kgCO2e/kgCN</t>
  </si>
  <si>
    <t>Calculado a partir de la base de datos del Inventario Nacional de Emisiones 2013, INECC</t>
  </si>
  <si>
    <t>Calculado de: Emisiones Atmosféricas en Centrales Eléctricas en América del Norte, CCA, 2011, cuadro 2.18</t>
  </si>
  <si>
    <t>Valor típico en Norteamerica (impacto bajo)</t>
  </si>
  <si>
    <t>1. Datos de la ciudad donde se implementará la zona DOT</t>
  </si>
  <si>
    <t>Parsons Brinckerhoff Quade Douglas. Building Orientation—A Supplement to “The Pedestrian Environment.” 1000 Friends of Oregon, Portland, 1994, pp. 9–14 (citado por Ewing y Cervero, 2001)</t>
  </si>
  <si>
    <t>Schimek, P. Household Motor Vehicle Ownership and Use: How Much Does Residential Density Matter? In Transportation Research Record 1552, TRB, National Research Council, Washington, D.C., 1996, pp. 120–125. (citado por Ewing y Cervero, 2001)</t>
  </si>
  <si>
    <t>Kockelman, K. M. Travel Behavior as a Function of Accessibility, Land  Use Mixing, and Land Use Balance: Evidence from San Francisco Bay Area. In Transportation Research Record 1607, TRB, National Research Council, Washington, D.C., 1997, pp. 116–125. (citado por Ewing y Cervero, 2001)</t>
  </si>
  <si>
    <t>Pushkar, A. O., B. J. Hollingworth, and E. J. Miller. A Multivariate Regression Model for Estimating Greenhouse Gas Emissions from Alternative Neighborhood Designs. Presented at 79th Annual Meeting of the Transportation Research Board, Washington, D.C., 2000 (citado por Ewing y Cervero, 2001)</t>
  </si>
  <si>
    <t>Portland, Oregon (impacto bajo)</t>
  </si>
  <si>
    <t>Trolebús</t>
  </si>
  <si>
    <t>Pasajeros del trolebús</t>
  </si>
  <si>
    <t>http://www.siteur.gob.mx/noticias/item/troleb%C3%BAs-se-suma-a-la-red-de-transporte-del-siteur.html</t>
  </si>
  <si>
    <t>DIARIO OFICIAL 14 de agosto de 2015 (Tercera Sección) “ACUERDO que establece los gases o compuestos de efecto invernadero que se agrupan para efectos de reporte de emisiones, así como sus potenciales de calentamiento”</t>
  </si>
  <si>
    <t>Nota: Esta población depende del plan de desarrollo de zonas DOT, así que no necesariamente siguen una tasa constante . Por ejemplo, se puede agregar una nueva zona cada determinado periodo.</t>
  </si>
  <si>
    <t>Eficiencia (km/l), (kWh/pasajero)</t>
  </si>
  <si>
    <t>Los niveles del impacto de los indicadores urbanos en la movilidad te permiten analizar diferentes escenarios en función de qué tanto la población cambia sus patrones de movilidad ante cambios en el entorno construido</t>
  </si>
  <si>
    <t>Sistema articulado (BRT)</t>
  </si>
  <si>
    <t>0,64 y 0,85</t>
  </si>
  <si>
    <t>Eficiencia (km/l o kWh/pasajero)</t>
  </si>
  <si>
    <t>Cantidad de vehículos por kilómetros teóricos ahorrados</t>
  </si>
  <si>
    <t>2.2. Nivel de efecto del indicador urbano en la movilidad (seleccionar uno)</t>
  </si>
  <si>
    <t>Nota: Se recomienda considerar los principales tipos de vehículos que pueden ser afectados en la implementación de un DOT, en general estos son los más comunes.</t>
  </si>
  <si>
    <t>Pasajeros recorridos por día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</si>
</sst>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3" formatCode="_-* #,##0.00_-;\-* #,##0.00_-;_-* &quot;-&quot;??_-;_-@_-"/>
    <numFmt numFmtId="164" formatCode="0.000"/>
    <numFmt numFmtId="165" formatCode="0.0000"/>
    <numFmt numFmtId="166" formatCode="_-* #,##0.0_-;\-* #,##0.0_-;_-* &quot;-&quot;??_-;_-@_-"/>
    <numFmt numFmtId="167" formatCode="_-* #,##0_-;\-* #,##0_-;_-* &quot;-&quot;??_-;_-@_-"/>
    <numFmt numFmtId="168" formatCode="0.0%"/>
    <numFmt numFmtId="169" formatCode="0.0"/>
    <numFmt numFmtId="170" formatCode="0.000%"/>
    <numFmt numFmtId="171" formatCode="_-* #,##0.000_-;\-* #,##0.000_-;_-* &quot;-&quot;??_-;_-@_-"/>
    <numFmt numFmtId="172" formatCode="#,##0.0"/>
    <numFmt numFmtId="173" formatCode="#,##0.0000"/>
    <numFmt numFmtId="174" formatCode="_-* #,##0\ _€_-;\-* #,##0\ _€_-;_-* &quot;-&quot;?\ _€_-;_-@_-"/>
    <numFmt numFmtId="175" formatCode="_-* #,##0.00000_-;\-* #,##0.00000_-;_-* &quot;-&quot;??_-;_-@_-"/>
  </numFmts>
  <fonts count="31" x14ac:knownFonts="1">
    <font>
      <sz val="11"/>
      <color theme="1"/>
      <name val="Calibri"/>
      <family val="2"/>
      <scheme val="minor"/>
    </font>
    <font>
      <b/>
      <sz val="11"/>
      <color theme="1"/>
      <name val="Calibri"/>
      <family val="2"/>
      <scheme val="minor"/>
    </font>
    <font>
      <b/>
      <i/>
      <sz val="11"/>
      <color theme="1"/>
      <name val="Calibri"/>
      <family val="2"/>
      <scheme val="minor"/>
    </font>
    <font>
      <sz val="11"/>
      <color theme="1"/>
      <name val="Calibri"/>
      <family val="2"/>
      <scheme val="minor"/>
    </font>
    <font>
      <b/>
      <sz val="14"/>
      <color theme="1"/>
      <name val="Calibri"/>
      <family val="2"/>
      <scheme val="minor"/>
    </font>
    <font>
      <u/>
      <sz val="11"/>
      <color theme="10"/>
      <name val="Calibri"/>
      <family val="2"/>
      <scheme val="minor"/>
    </font>
    <font>
      <i/>
      <sz val="11"/>
      <color theme="1"/>
      <name val="Calibri"/>
      <family val="2"/>
      <scheme val="minor"/>
    </font>
    <font>
      <sz val="8"/>
      <color theme="1"/>
      <name val="Calibri"/>
      <family val="2"/>
      <scheme val="minor"/>
    </font>
    <font>
      <b/>
      <sz val="20"/>
      <color theme="1"/>
      <name val="Calibri"/>
      <family val="2"/>
      <scheme val="minor"/>
    </font>
    <font>
      <b/>
      <i/>
      <sz val="12"/>
      <color theme="1"/>
      <name val="Calibri"/>
      <family val="2"/>
      <scheme val="minor"/>
    </font>
    <font>
      <sz val="11"/>
      <name val="Calibri"/>
      <family val="2"/>
      <scheme val="minor"/>
    </font>
    <font>
      <sz val="11"/>
      <color theme="4"/>
      <name val="Calibri"/>
      <family val="2"/>
      <scheme val="minor"/>
    </font>
    <font>
      <b/>
      <u/>
      <sz val="11"/>
      <color theme="4"/>
      <name val="Calibri"/>
      <family val="2"/>
      <scheme val="minor"/>
    </font>
    <font>
      <sz val="7"/>
      <color rgb="FF000000"/>
      <name val="Arial"/>
      <family val="2"/>
    </font>
    <font>
      <sz val="11"/>
      <color theme="8"/>
      <name val="Calibri"/>
      <family val="2"/>
      <scheme val="minor"/>
    </font>
    <font>
      <sz val="12"/>
      <color theme="1"/>
      <name val="Calibri"/>
      <family val="2"/>
      <scheme val="minor"/>
    </font>
    <font>
      <b/>
      <sz val="11"/>
      <color rgb="FFC00000"/>
      <name val="Calibri"/>
      <family val="2"/>
      <scheme val="minor"/>
    </font>
    <font>
      <sz val="11"/>
      <color rgb="FFFF0000"/>
      <name val="Calibri"/>
      <family val="2"/>
      <scheme val="minor"/>
    </font>
    <font>
      <b/>
      <sz val="20"/>
      <color theme="0"/>
      <name val="Calibri"/>
      <family val="2"/>
      <scheme val="minor"/>
    </font>
    <font>
      <b/>
      <i/>
      <sz val="11"/>
      <name val="Calibri"/>
      <family val="2"/>
      <scheme val="minor"/>
    </font>
    <font>
      <b/>
      <sz val="12"/>
      <color theme="1"/>
      <name val="Calibri"/>
      <family val="2"/>
      <scheme val="minor"/>
    </font>
    <font>
      <b/>
      <sz val="16"/>
      <color theme="0"/>
      <name val="Calibri"/>
      <family val="2"/>
      <scheme val="minor"/>
    </font>
    <font>
      <b/>
      <i/>
      <vertAlign val="superscript"/>
      <sz val="11"/>
      <color theme="1"/>
      <name val="Calibri"/>
      <family val="2"/>
      <scheme val="minor"/>
    </font>
    <font>
      <b/>
      <i/>
      <sz val="18"/>
      <color theme="0"/>
      <name val="Calibri"/>
      <family val="2"/>
      <scheme val="minor"/>
    </font>
    <font>
      <sz val="9"/>
      <color indexed="81"/>
      <name val="Tahoma"/>
      <family val="2"/>
    </font>
    <font>
      <b/>
      <sz val="9"/>
      <color indexed="81"/>
      <name val="Tahoma"/>
      <family val="2"/>
    </font>
    <font>
      <sz val="10.5"/>
      <color theme="1"/>
      <name val="Calibri"/>
      <family val="2"/>
      <scheme val="minor"/>
    </font>
    <font>
      <sz val="11"/>
      <color theme="0"/>
      <name val="Calibri"/>
      <family val="2"/>
      <scheme val="minor"/>
    </font>
    <font>
      <sz val="11"/>
      <color theme="0" tint="-0.14999847407452621"/>
      <name val="Calibri"/>
      <family val="2"/>
      <scheme val="minor"/>
    </font>
    <font>
      <b/>
      <sz val="11"/>
      <name val="Calibri"/>
      <family val="2"/>
      <scheme val="minor"/>
    </font>
    <font>
      <sz val="7"/>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70C0"/>
        <bgColor indexed="64"/>
      </patternFill>
    </fill>
    <fill>
      <patternFill patternType="solid">
        <fgColor theme="0" tint="-0.14999847407452621"/>
        <bgColor indexed="64"/>
      </patternFill>
    </fill>
    <fill>
      <patternFill patternType="solid">
        <fgColor rgb="FF00B050"/>
        <bgColor indexed="64"/>
      </patternFill>
    </fill>
    <fill>
      <patternFill patternType="solid">
        <fgColor theme="1"/>
        <bgColor indexed="64"/>
      </patternFill>
    </fill>
    <fill>
      <patternFill patternType="solid">
        <fgColor theme="7"/>
        <bgColor indexed="64"/>
      </patternFill>
    </fill>
    <fill>
      <patternFill patternType="solid">
        <fgColor theme="9" tint="0.39997558519241921"/>
        <bgColor indexed="64"/>
      </patternFill>
    </fill>
  </fills>
  <borders count="4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medium">
        <color auto="1"/>
      </top>
      <bottom/>
      <diagonal/>
    </border>
    <border>
      <left style="thin">
        <color auto="1"/>
      </left>
      <right/>
      <top/>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medium">
        <color auto="1"/>
      </left>
      <right style="thin">
        <color auto="1"/>
      </right>
      <top/>
      <bottom style="medium">
        <color auto="1"/>
      </bottom>
      <diagonal/>
    </border>
    <border>
      <left style="medium">
        <color auto="1"/>
      </left>
      <right style="thin">
        <color auto="1"/>
      </right>
      <top style="thin">
        <color auto="1"/>
      </top>
      <bottom/>
      <diagonal/>
    </border>
    <border>
      <left style="medium">
        <color auto="1"/>
      </left>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s>
  <cellStyleXfs count="4">
    <xf numFmtId="0" fontId="0" fillId="0" borderId="0"/>
    <xf numFmtId="43" fontId="3" fillId="0" borderId="0" applyFont="0" applyFill="0" applyBorder="0" applyAlignment="0" applyProtection="0"/>
    <xf numFmtId="9" fontId="3" fillId="0" borderId="0" applyFont="0" applyFill="0" applyBorder="0" applyAlignment="0" applyProtection="0"/>
    <xf numFmtId="0" fontId="5" fillId="0" borderId="0" applyNumberFormat="0" applyFill="0" applyBorder="0" applyAlignment="0" applyProtection="0"/>
  </cellStyleXfs>
  <cellXfs count="587">
    <xf numFmtId="0" fontId="0" fillId="0" borderId="0" xfId="0"/>
    <xf numFmtId="0" fontId="1" fillId="0" borderId="0" xfId="0" applyFont="1"/>
    <xf numFmtId="0" fontId="0" fillId="0" borderId="0" xfId="0" applyFont="1"/>
    <xf numFmtId="0" fontId="0" fillId="0" borderId="0" xfId="0" applyAlignment="1">
      <alignment wrapText="1"/>
    </xf>
    <xf numFmtId="0" fontId="5" fillId="0" borderId="0" xfId="3"/>
    <xf numFmtId="10" fontId="0" fillId="0" borderId="0" xfId="2" applyNumberFormat="1" applyFont="1" applyBorder="1"/>
    <xf numFmtId="0" fontId="0" fillId="0" borderId="0" xfId="0" applyBorder="1"/>
    <xf numFmtId="43" fontId="0" fillId="0" borderId="5" xfId="1" applyFont="1" applyBorder="1"/>
    <xf numFmtId="43" fontId="0" fillId="0" borderId="0" xfId="1" applyFont="1" applyBorder="1"/>
    <xf numFmtId="10" fontId="0" fillId="0" borderId="5" xfId="2" applyNumberFormat="1" applyFont="1" applyBorder="1"/>
    <xf numFmtId="0" fontId="2" fillId="0" borderId="0" xfId="0" applyFont="1" applyAlignment="1">
      <alignment wrapText="1"/>
    </xf>
    <xf numFmtId="0" fontId="2" fillId="0" borderId="4" xfId="0" applyFont="1" applyBorder="1" applyAlignment="1">
      <alignment wrapText="1"/>
    </xf>
    <xf numFmtId="0" fontId="2" fillId="0" borderId="0" xfId="0" applyFont="1" applyBorder="1" applyAlignment="1">
      <alignment wrapText="1"/>
    </xf>
    <xf numFmtId="43" fontId="0" fillId="0" borderId="0" xfId="0" applyNumberFormat="1"/>
    <xf numFmtId="0" fontId="7" fillId="0" borderId="0" xfId="0" applyFont="1" applyFill="1" applyAlignment="1">
      <alignment wrapText="1"/>
    </xf>
    <xf numFmtId="43" fontId="0" fillId="0" borderId="0" xfId="0" applyNumberFormat="1" applyBorder="1"/>
    <xf numFmtId="43" fontId="1" fillId="0" borderId="0" xfId="0" applyNumberFormat="1" applyFont="1"/>
    <xf numFmtId="43" fontId="7" fillId="0" borderId="0" xfId="0" applyNumberFormat="1" applyFont="1" applyFill="1" applyAlignment="1">
      <alignment wrapText="1"/>
    </xf>
    <xf numFmtId="0" fontId="0" fillId="0" borderId="0" xfId="0" applyFill="1"/>
    <xf numFmtId="43" fontId="0" fillId="0" borderId="5" xfId="0" applyNumberFormat="1" applyBorder="1"/>
    <xf numFmtId="0" fontId="0" fillId="0" borderId="0" xfId="0" applyBorder="1" applyAlignment="1">
      <alignment wrapText="1"/>
    </xf>
    <xf numFmtId="0" fontId="1" fillId="0" borderId="0" xfId="0" applyFont="1" applyBorder="1"/>
    <xf numFmtId="9" fontId="1" fillId="0" borderId="0" xfId="2" applyFont="1"/>
    <xf numFmtId="43" fontId="1" fillId="0" borderId="0" xfId="1" applyFont="1"/>
    <xf numFmtId="43" fontId="1" fillId="0" borderId="0" xfId="0" applyNumberFormat="1" applyFont="1" applyBorder="1"/>
    <xf numFmtId="0" fontId="12" fillId="0" borderId="0" xfId="0" applyFont="1"/>
    <xf numFmtId="0" fontId="0" fillId="0" borderId="0" xfId="0" applyFill="1" applyBorder="1"/>
    <xf numFmtId="43" fontId="0" fillId="0" borderId="4" xfId="1" applyFont="1" applyBorder="1"/>
    <xf numFmtId="0" fontId="0" fillId="0" borderId="0" xfId="0" applyAlignment="1">
      <alignment horizontal="center"/>
    </xf>
    <xf numFmtId="165" fontId="0" fillId="0" borderId="0" xfId="0" applyNumberFormat="1"/>
    <xf numFmtId="0" fontId="13" fillId="0" borderId="0" xfId="0" applyFont="1" applyBorder="1" applyAlignment="1">
      <alignment vertical="center" wrapText="1"/>
    </xf>
    <xf numFmtId="0" fontId="15" fillId="0" borderId="0" xfId="0" applyFont="1" applyFill="1"/>
    <xf numFmtId="0" fontId="14" fillId="0" borderId="0" xfId="0" applyFont="1" applyFill="1" applyBorder="1" applyAlignment="1">
      <alignment horizontal="left" wrapText="1"/>
    </xf>
    <xf numFmtId="0" fontId="8" fillId="0" borderId="0" xfId="0" applyFont="1" applyFill="1"/>
    <xf numFmtId="0" fontId="0" fillId="0" borderId="0" xfId="0" applyFont="1" applyBorder="1" applyAlignment="1">
      <alignment horizontal="left" vertical="center" wrapText="1"/>
    </xf>
    <xf numFmtId="0" fontId="0" fillId="0" borderId="15" xfId="0" applyBorder="1"/>
    <xf numFmtId="0" fontId="0" fillId="3" borderId="12" xfId="0" applyFill="1" applyBorder="1"/>
    <xf numFmtId="0" fontId="10" fillId="3" borderId="12" xfId="0" applyFont="1" applyFill="1" applyBorder="1"/>
    <xf numFmtId="0" fontId="0" fillId="3" borderId="18" xfId="0" applyFill="1" applyBorder="1"/>
    <xf numFmtId="0" fontId="0" fillId="0" borderId="0" xfId="0" applyAlignment="1"/>
    <xf numFmtId="0" fontId="0" fillId="7" borderId="1" xfId="0" applyFont="1" applyFill="1" applyBorder="1" applyAlignment="1">
      <alignment horizontal="center" vertical="center" wrapText="1"/>
    </xf>
    <xf numFmtId="0" fontId="1" fillId="7" borderId="12" xfId="0" applyFont="1" applyFill="1" applyBorder="1"/>
    <xf numFmtId="0" fontId="0" fillId="7" borderId="2" xfId="0" applyFill="1" applyBorder="1"/>
    <xf numFmtId="0" fontId="2" fillId="7" borderId="4" xfId="0" applyFont="1" applyFill="1" applyBorder="1" applyAlignment="1">
      <alignment wrapText="1"/>
    </xf>
    <xf numFmtId="0" fontId="2" fillId="7" borderId="0" xfId="0" applyFont="1" applyFill="1" applyBorder="1" applyAlignment="1">
      <alignment wrapText="1"/>
    </xf>
    <xf numFmtId="0" fontId="2" fillId="7" borderId="5" xfId="0" applyFont="1" applyFill="1" applyBorder="1" applyAlignment="1">
      <alignment wrapText="1"/>
    </xf>
    <xf numFmtId="0" fontId="2" fillId="7" borderId="12" xfId="0" applyFont="1" applyFill="1" applyBorder="1" applyAlignment="1">
      <alignment wrapText="1"/>
    </xf>
    <xf numFmtId="0" fontId="0" fillId="5" borderId="4" xfId="0" applyFill="1" applyBorder="1"/>
    <xf numFmtId="0" fontId="10" fillId="5" borderId="6" xfId="0" applyFont="1" applyFill="1" applyBorder="1"/>
    <xf numFmtId="0" fontId="0" fillId="5" borderId="0" xfId="0" applyFill="1" applyBorder="1"/>
    <xf numFmtId="0" fontId="0" fillId="5" borderId="7" xfId="0" applyFill="1" applyBorder="1"/>
    <xf numFmtId="10" fontId="0" fillId="5" borderId="0" xfId="2" applyNumberFormat="1" applyFont="1" applyFill="1" applyBorder="1"/>
    <xf numFmtId="10" fontId="0" fillId="5" borderId="5" xfId="2" applyNumberFormat="1" applyFont="1" applyFill="1" applyBorder="1"/>
    <xf numFmtId="43" fontId="0" fillId="5" borderId="4" xfId="0" applyNumberFormat="1" applyFill="1" applyBorder="1"/>
    <xf numFmtId="43" fontId="0" fillId="5" borderId="0" xfId="0" applyNumberFormat="1" applyFill="1" applyBorder="1"/>
    <xf numFmtId="166" fontId="0" fillId="5" borderId="4" xfId="1" applyNumberFormat="1" applyFont="1" applyFill="1" applyBorder="1"/>
    <xf numFmtId="166" fontId="0" fillId="5" borderId="6" xfId="1" applyNumberFormat="1" applyFont="1" applyFill="1" applyBorder="1"/>
    <xf numFmtId="43" fontId="10" fillId="5" borderId="8" xfId="1" applyFont="1" applyFill="1" applyBorder="1"/>
    <xf numFmtId="43" fontId="10" fillId="5" borderId="7" xfId="1" applyFont="1" applyFill="1" applyBorder="1"/>
    <xf numFmtId="43" fontId="0" fillId="5" borderId="7" xfId="1" applyFont="1" applyFill="1" applyBorder="1"/>
    <xf numFmtId="43" fontId="0" fillId="5" borderId="8" xfId="0" applyNumberFormat="1" applyFill="1" applyBorder="1"/>
    <xf numFmtId="0" fontId="1" fillId="5" borderId="0" xfId="0" applyFont="1" applyFill="1"/>
    <xf numFmtId="43" fontId="1" fillId="5" borderId="0" xfId="1" applyFont="1" applyFill="1"/>
    <xf numFmtId="0" fontId="0" fillId="7" borderId="1" xfId="0" applyFont="1" applyFill="1" applyBorder="1"/>
    <xf numFmtId="0" fontId="0" fillId="7" borderId="4" xfId="0" applyFont="1" applyFill="1" applyBorder="1"/>
    <xf numFmtId="0" fontId="0" fillId="7" borderId="6" xfId="0" applyFont="1" applyFill="1" applyBorder="1"/>
    <xf numFmtId="43" fontId="0" fillId="5" borderId="3" xfId="0" applyNumberFormat="1" applyFont="1" applyFill="1" applyBorder="1"/>
    <xf numFmtId="43" fontId="0" fillId="5" borderId="5" xfId="0" applyNumberFormat="1" applyFont="1" applyFill="1" applyBorder="1"/>
    <xf numFmtId="0" fontId="1" fillId="7" borderId="0"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7" borderId="0"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1" fillId="7" borderId="0" xfId="0" applyFont="1" applyFill="1" applyAlignment="1">
      <alignment wrapText="1"/>
    </xf>
    <xf numFmtId="0" fontId="2" fillId="7" borderId="1" xfId="0" applyFont="1" applyFill="1" applyBorder="1" applyAlignment="1">
      <alignment wrapText="1"/>
    </xf>
    <xf numFmtId="0" fontId="2" fillId="7" borderId="2" xfId="0" applyFont="1" applyFill="1" applyBorder="1" applyAlignment="1">
      <alignment wrapText="1"/>
    </xf>
    <xf numFmtId="0" fontId="0" fillId="7" borderId="1" xfId="0" applyFill="1" applyBorder="1" applyAlignment="1">
      <alignment wrapText="1"/>
    </xf>
    <xf numFmtId="0" fontId="0" fillId="7" borderId="6" xfId="0" applyFill="1" applyBorder="1" applyAlignment="1">
      <alignment wrapText="1"/>
    </xf>
    <xf numFmtId="0" fontId="2" fillId="7" borderId="1" xfId="0" applyFont="1" applyFill="1" applyBorder="1" applyAlignment="1"/>
    <xf numFmtId="0" fontId="2" fillId="7" borderId="2" xfId="0" applyFont="1" applyFill="1" applyBorder="1" applyAlignment="1"/>
    <xf numFmtId="0" fontId="2" fillId="7" borderId="3" xfId="0" applyFont="1" applyFill="1" applyBorder="1" applyAlignment="1"/>
    <xf numFmtId="0" fontId="9" fillId="7" borderId="1" xfId="0" applyFont="1" applyFill="1" applyBorder="1"/>
    <xf numFmtId="0" fontId="9" fillId="7" borderId="4" xfId="0" applyFont="1" applyFill="1" applyBorder="1"/>
    <xf numFmtId="0" fontId="0" fillId="7" borderId="1" xfId="0" applyFill="1" applyBorder="1"/>
    <xf numFmtId="0" fontId="0" fillId="7" borderId="6" xfId="0" applyFill="1" applyBorder="1"/>
    <xf numFmtId="164" fontId="0" fillId="5" borderId="0" xfId="0" applyNumberFormat="1" applyFill="1" applyBorder="1"/>
    <xf numFmtId="164" fontId="0" fillId="5" borderId="10" xfId="0" applyNumberFormat="1" applyFill="1" applyBorder="1"/>
    <xf numFmtId="164" fontId="0" fillId="5" borderId="0" xfId="0" applyNumberFormat="1" applyFill="1" applyBorder="1" applyAlignment="1">
      <alignment wrapText="1"/>
    </xf>
    <xf numFmtId="0" fontId="0" fillId="5" borderId="6" xfId="0" applyFill="1" applyBorder="1"/>
    <xf numFmtId="0" fontId="1" fillId="5" borderId="7" xfId="0" applyFont="1" applyFill="1" applyBorder="1"/>
    <xf numFmtId="0" fontId="1" fillId="5" borderId="11" xfId="0" applyFont="1" applyFill="1" applyBorder="1"/>
    <xf numFmtId="0" fontId="12" fillId="0" borderId="0" xfId="0" applyFont="1" applyBorder="1" applyAlignment="1">
      <alignment horizontal="left"/>
    </xf>
    <xf numFmtId="0" fontId="0" fillId="5" borderId="4" xfId="0" applyFill="1" applyBorder="1" applyAlignment="1">
      <alignment wrapText="1"/>
    </xf>
    <xf numFmtId="0" fontId="0" fillId="5" borderId="0" xfId="0" applyFill="1" applyBorder="1" applyAlignment="1">
      <alignment wrapText="1"/>
    </xf>
    <xf numFmtId="0" fontId="0" fillId="5" borderId="6" xfId="0" applyFill="1" applyBorder="1" applyAlignment="1">
      <alignment wrapText="1"/>
    </xf>
    <xf numFmtId="0" fontId="0" fillId="5" borderId="7" xfId="0" applyFill="1" applyBorder="1" applyAlignment="1">
      <alignment wrapText="1"/>
    </xf>
    <xf numFmtId="10" fontId="0" fillId="5" borderId="8" xfId="2" applyNumberFormat="1" applyFont="1" applyFill="1" applyBorder="1"/>
    <xf numFmtId="0" fontId="0" fillId="7" borderId="1" xfId="0" applyFont="1" applyFill="1" applyBorder="1" applyAlignment="1">
      <alignment wrapText="1"/>
    </xf>
    <xf numFmtId="0" fontId="0" fillId="7" borderId="4" xfId="0" applyFont="1" applyFill="1" applyBorder="1" applyAlignment="1">
      <alignment wrapText="1"/>
    </xf>
    <xf numFmtId="0" fontId="0" fillId="7" borderId="6" xfId="0" applyFont="1" applyFill="1" applyBorder="1" applyAlignment="1">
      <alignment wrapText="1"/>
    </xf>
    <xf numFmtId="0" fontId="0" fillId="7" borderId="4" xfId="0" applyFill="1" applyBorder="1" applyAlignment="1">
      <alignment wrapText="1"/>
    </xf>
    <xf numFmtId="0" fontId="0" fillId="3" borderId="2" xfId="0" applyFill="1" applyBorder="1" applyAlignment="1">
      <alignment wrapText="1"/>
    </xf>
    <xf numFmtId="0" fontId="0" fillId="3" borderId="0" xfId="0" applyFill="1" applyBorder="1" applyAlignment="1">
      <alignment wrapText="1"/>
    </xf>
    <xf numFmtId="9" fontId="0" fillId="3" borderId="0" xfId="2" applyFont="1" applyFill="1" applyBorder="1" applyAlignment="1">
      <alignment wrapText="1"/>
    </xf>
    <xf numFmtId="0" fontId="0" fillId="3" borderId="7" xfId="0" applyFill="1" applyBorder="1" applyAlignment="1">
      <alignment wrapText="1"/>
    </xf>
    <xf numFmtId="0" fontId="0" fillId="3" borderId="0" xfId="0" applyFill="1" applyBorder="1"/>
    <xf numFmtId="0" fontId="0" fillId="3" borderId="7" xfId="0" applyFill="1" applyBorder="1"/>
    <xf numFmtId="0" fontId="2" fillId="7" borderId="13" xfId="0" applyFont="1" applyFill="1" applyBorder="1" applyAlignment="1">
      <alignment horizontal="center" vertical="center" wrapText="1"/>
    </xf>
    <xf numFmtId="0" fontId="2" fillId="7" borderId="14" xfId="0" applyFont="1" applyFill="1" applyBorder="1"/>
    <xf numFmtId="0" fontId="0" fillId="7" borderId="15" xfId="0" applyFill="1" applyBorder="1"/>
    <xf numFmtId="10" fontId="0" fillId="5" borderId="3" xfId="2" applyNumberFormat="1" applyFont="1" applyFill="1" applyBorder="1"/>
    <xf numFmtId="43" fontId="0" fillId="5" borderId="7" xfId="0" applyNumberFormat="1" applyFont="1" applyFill="1" applyBorder="1"/>
    <xf numFmtId="171" fontId="0" fillId="5" borderId="5" xfId="0" applyNumberFormat="1" applyFont="1" applyFill="1" applyBorder="1"/>
    <xf numFmtId="171" fontId="0" fillId="5" borderId="8" xfId="0" applyNumberFormat="1" applyFont="1" applyFill="1" applyBorder="1"/>
    <xf numFmtId="0" fontId="1" fillId="7" borderId="12" xfId="0" applyFont="1" applyFill="1" applyBorder="1" applyAlignment="1">
      <alignment wrapText="1"/>
    </xf>
    <xf numFmtId="0" fontId="0" fillId="0" borderId="0" xfId="0" applyBorder="1" applyAlignment="1">
      <alignment horizontal="left"/>
    </xf>
    <xf numFmtId="170" fontId="0" fillId="0" borderId="0" xfId="2" applyNumberFormat="1" applyFont="1" applyBorder="1"/>
    <xf numFmtId="0" fontId="0" fillId="8" borderId="12" xfId="0" applyFill="1" applyBorder="1"/>
    <xf numFmtId="0" fontId="2" fillId="7" borderId="0" xfId="0" applyFont="1" applyFill="1" applyBorder="1" applyAlignment="1">
      <alignment horizontal="center"/>
    </xf>
    <xf numFmtId="166" fontId="0" fillId="5" borderId="5" xfId="0" applyNumberFormat="1" applyFill="1" applyBorder="1"/>
    <xf numFmtId="166" fontId="0" fillId="5" borderId="3" xfId="0" applyNumberFormat="1" applyFill="1" applyBorder="1"/>
    <xf numFmtId="166" fontId="0" fillId="5" borderId="8" xfId="0" applyNumberFormat="1" applyFill="1" applyBorder="1"/>
    <xf numFmtId="169" fontId="0" fillId="5" borderId="5" xfId="0" applyNumberFormat="1" applyFill="1" applyBorder="1" applyAlignment="1">
      <alignment wrapText="1"/>
    </xf>
    <xf numFmtId="169" fontId="0" fillId="5" borderId="8" xfId="0" applyNumberFormat="1" applyFill="1" applyBorder="1" applyAlignment="1">
      <alignment wrapText="1"/>
    </xf>
    <xf numFmtId="166" fontId="0" fillId="5" borderId="0" xfId="1" applyNumberFormat="1" applyFont="1" applyFill="1" applyBorder="1"/>
    <xf numFmtId="166" fontId="0" fillId="5" borderId="5" xfId="1" applyNumberFormat="1" applyFont="1" applyFill="1" applyBorder="1"/>
    <xf numFmtId="166" fontId="0" fillId="5" borderId="0" xfId="0" applyNumberFormat="1" applyFill="1" applyBorder="1"/>
    <xf numFmtId="166" fontId="0" fillId="5" borderId="2" xfId="0" applyNumberFormat="1" applyFont="1" applyFill="1" applyBorder="1"/>
    <xf numFmtId="166" fontId="0" fillId="5" borderId="0" xfId="0" applyNumberFormat="1" applyFont="1" applyFill="1" applyBorder="1"/>
    <xf numFmtId="0" fontId="0" fillId="8" borderId="15" xfId="0" applyFill="1" applyBorder="1"/>
    <xf numFmtId="0" fontId="0" fillId="8" borderId="18" xfId="0" applyFill="1" applyBorder="1"/>
    <xf numFmtId="2" fontId="0" fillId="5" borderId="12" xfId="0" applyNumberFormat="1" applyFill="1" applyBorder="1"/>
    <xf numFmtId="1" fontId="0" fillId="5" borderId="12" xfId="0" applyNumberFormat="1" applyFill="1" applyBorder="1"/>
    <xf numFmtId="168" fontId="0" fillId="5" borderId="12" xfId="2" applyNumberFormat="1" applyFont="1" applyFill="1" applyBorder="1"/>
    <xf numFmtId="0" fontId="0" fillId="5" borderId="12" xfId="0" applyFill="1" applyBorder="1"/>
    <xf numFmtId="164" fontId="0" fillId="5" borderId="12" xfId="0" applyNumberFormat="1" applyFill="1" applyBorder="1"/>
    <xf numFmtId="10" fontId="0" fillId="5" borderId="12" xfId="2" applyNumberFormat="1" applyFont="1" applyFill="1" applyBorder="1"/>
    <xf numFmtId="166" fontId="0" fillId="5" borderId="12" xfId="0" applyNumberFormat="1" applyFill="1" applyBorder="1"/>
    <xf numFmtId="167" fontId="0" fillId="5" borderId="12" xfId="1" applyNumberFormat="1" applyFont="1" applyFill="1" applyBorder="1"/>
    <xf numFmtId="0" fontId="0" fillId="0" borderId="0" xfId="0" applyAlignment="1">
      <alignment vertical="center"/>
    </xf>
    <xf numFmtId="0" fontId="0" fillId="0" borderId="0" xfId="0" applyAlignment="1">
      <alignment horizontal="center" vertical="center"/>
    </xf>
    <xf numFmtId="0" fontId="0" fillId="10" borderId="4" xfId="0" applyFill="1" applyBorder="1"/>
    <xf numFmtId="0" fontId="0" fillId="10" borderId="6" xfId="0" applyFill="1" applyBorder="1"/>
    <xf numFmtId="0" fontId="0" fillId="2" borderId="0" xfId="0" applyFill="1" applyBorder="1" applyAlignment="1">
      <alignment wrapText="1"/>
    </xf>
    <xf numFmtId="0" fontId="0" fillId="3" borderId="2" xfId="0" applyFill="1" applyBorder="1" applyAlignment="1">
      <alignment horizontal="center" wrapText="1"/>
    </xf>
    <xf numFmtId="0" fontId="0" fillId="3" borderId="7" xfId="0" applyFill="1" applyBorder="1" applyAlignment="1">
      <alignment horizontal="center" wrapText="1"/>
    </xf>
    <xf numFmtId="166" fontId="0" fillId="0" borderId="0" xfId="1" applyNumberFormat="1" applyFont="1" applyFill="1" applyBorder="1"/>
    <xf numFmtId="10" fontId="10" fillId="0" borderId="0" xfId="2" applyNumberFormat="1" applyFont="1" applyFill="1" applyBorder="1"/>
    <xf numFmtId="0" fontId="11" fillId="0" borderId="0" xfId="0" applyFont="1" applyFill="1" applyBorder="1"/>
    <xf numFmtId="43" fontId="0" fillId="0" borderId="0" xfId="1" applyFont="1" applyFill="1" applyBorder="1"/>
    <xf numFmtId="0" fontId="2" fillId="2" borderId="1" xfId="0" applyFont="1" applyFill="1" applyBorder="1" applyAlignment="1">
      <alignment wrapText="1"/>
    </xf>
    <xf numFmtId="0" fontId="0" fillId="2" borderId="2" xfId="0" applyFill="1" applyBorder="1"/>
    <xf numFmtId="0" fontId="0" fillId="0" borderId="2" xfId="0" applyBorder="1"/>
    <xf numFmtId="43" fontId="10" fillId="0" borderId="4" xfId="1" applyFont="1" applyFill="1" applyBorder="1"/>
    <xf numFmtId="10" fontId="10" fillId="0" borderId="5" xfId="2" applyNumberFormat="1" applyFont="1" applyFill="1" applyBorder="1"/>
    <xf numFmtId="166" fontId="0" fillId="0" borderId="1" xfId="1" applyNumberFormat="1" applyFont="1" applyBorder="1"/>
    <xf numFmtId="166" fontId="0" fillId="0" borderId="4" xfId="1" applyNumberFormat="1" applyFont="1" applyFill="1" applyBorder="1"/>
    <xf numFmtId="43" fontId="10" fillId="0" borderId="5" xfId="1" applyFont="1" applyFill="1" applyBorder="1"/>
    <xf numFmtId="0" fontId="11" fillId="0" borderId="4" xfId="0" applyFont="1" applyFill="1" applyBorder="1"/>
    <xf numFmtId="43" fontId="0" fillId="0" borderId="5" xfId="0" applyNumberFormat="1" applyFill="1" applyBorder="1"/>
    <xf numFmtId="0" fontId="19" fillId="0" borderId="4" xfId="0" applyFont="1" applyFill="1" applyBorder="1"/>
    <xf numFmtId="10" fontId="3" fillId="5" borderId="5" xfId="2" applyNumberFormat="1" applyFont="1" applyFill="1" applyBorder="1"/>
    <xf numFmtId="10" fontId="3" fillId="5" borderId="0" xfId="2" applyNumberFormat="1" applyFont="1" applyFill="1" applyBorder="1"/>
    <xf numFmtId="10" fontId="0" fillId="0" borderId="0" xfId="2" applyNumberFormat="1" applyFont="1" applyFill="1" applyBorder="1"/>
    <xf numFmtId="166" fontId="0" fillId="0" borderId="0" xfId="0" applyNumberFormat="1" applyFill="1" applyBorder="1"/>
    <xf numFmtId="10" fontId="0" fillId="10" borderId="12" xfId="2" applyNumberFormat="1" applyFont="1" applyFill="1" applyBorder="1"/>
    <xf numFmtId="0" fontId="0" fillId="0" borderId="4" xfId="0" applyFill="1" applyBorder="1"/>
    <xf numFmtId="166" fontId="0" fillId="0" borderId="5" xfId="0" applyNumberFormat="1" applyFill="1" applyBorder="1"/>
    <xf numFmtId="10" fontId="0" fillId="0" borderId="5" xfId="2" applyNumberFormat="1" applyFont="1" applyFill="1" applyBorder="1"/>
    <xf numFmtId="166" fontId="0" fillId="0" borderId="5" xfId="1" applyNumberFormat="1" applyFont="1" applyFill="1" applyBorder="1"/>
    <xf numFmtId="0" fontId="16" fillId="0" borderId="0" xfId="0" applyFont="1" applyBorder="1" applyAlignment="1">
      <alignment horizontal="left" vertical="center" wrapText="1"/>
    </xf>
    <xf numFmtId="0" fontId="0" fillId="4" borderId="12" xfId="0" applyFill="1" applyBorder="1"/>
    <xf numFmtId="0" fontId="0" fillId="6" borderId="12" xfId="0" applyFill="1" applyBorder="1"/>
    <xf numFmtId="0" fontId="2" fillId="7" borderId="26" xfId="0" applyFont="1" applyFill="1" applyBorder="1" applyAlignment="1">
      <alignment horizontal="center" vertical="center" wrapText="1"/>
    </xf>
    <xf numFmtId="0" fontId="2" fillId="7" borderId="27" xfId="0" applyFont="1" applyFill="1" applyBorder="1" applyAlignment="1">
      <alignment horizontal="center" vertical="center" wrapText="1"/>
    </xf>
    <xf numFmtId="0" fontId="0" fillId="5" borderId="18" xfId="0" applyFill="1" applyBorder="1"/>
    <xf numFmtId="0" fontId="0" fillId="11" borderId="12" xfId="0" applyFill="1" applyBorder="1"/>
    <xf numFmtId="0" fontId="2" fillId="7" borderId="23" xfId="0" applyFont="1" applyFill="1" applyBorder="1" applyAlignment="1">
      <alignment wrapText="1"/>
    </xf>
    <xf numFmtId="0" fontId="9" fillId="7" borderId="23" xfId="0" applyFont="1" applyFill="1" applyBorder="1" applyAlignment="1">
      <alignment horizontal="center" vertical="center"/>
    </xf>
    <xf numFmtId="0" fontId="1" fillId="7" borderId="24" xfId="0" applyFont="1" applyFill="1" applyBorder="1" applyAlignment="1">
      <alignment horizontal="center" vertical="center"/>
    </xf>
    <xf numFmtId="0" fontId="1" fillId="7" borderId="25" xfId="0" applyFont="1" applyFill="1" applyBorder="1" applyAlignment="1">
      <alignment horizontal="center" vertical="center" wrapText="1"/>
    </xf>
    <xf numFmtId="0" fontId="2" fillId="7" borderId="23" xfId="0" applyFont="1" applyFill="1" applyBorder="1" applyAlignment="1">
      <alignment horizontal="center" vertical="center" wrapText="1"/>
    </xf>
    <xf numFmtId="0" fontId="2" fillId="7" borderId="24" xfId="0" applyFont="1" applyFill="1" applyBorder="1" applyAlignment="1">
      <alignment horizontal="center" vertical="center" wrapText="1"/>
    </xf>
    <xf numFmtId="0" fontId="2" fillId="7" borderId="25" xfId="0" applyFont="1" applyFill="1" applyBorder="1" applyAlignment="1">
      <alignment horizontal="center" vertical="center" wrapText="1"/>
    </xf>
    <xf numFmtId="0" fontId="2" fillId="7" borderId="23" xfId="0" applyFont="1" applyFill="1" applyBorder="1" applyAlignment="1">
      <alignment horizontal="center" vertical="center"/>
    </xf>
    <xf numFmtId="0" fontId="0" fillId="0" borderId="12" xfId="0" applyBorder="1" applyAlignment="1">
      <alignment horizontal="left"/>
    </xf>
    <xf numFmtId="0" fontId="2" fillId="7" borderId="2" xfId="0" applyFont="1" applyFill="1" applyBorder="1" applyAlignment="1">
      <alignment horizontal="center" wrapText="1"/>
    </xf>
    <xf numFmtId="0" fontId="2" fillId="7" borderId="3" xfId="0" applyFont="1" applyFill="1" applyBorder="1" applyAlignment="1">
      <alignment horizontal="center" wrapText="1"/>
    </xf>
    <xf numFmtId="0" fontId="1" fillId="7" borderId="0" xfId="0" applyFont="1" applyFill="1" applyBorder="1" applyAlignment="1">
      <alignment horizontal="center" wrapText="1"/>
    </xf>
    <xf numFmtId="164" fontId="0" fillId="3" borderId="0" xfId="0" applyNumberFormat="1" applyFill="1" applyBorder="1" applyAlignment="1">
      <alignment horizontal="center" wrapText="1"/>
    </xf>
    <xf numFmtId="3" fontId="0" fillId="8" borderId="12" xfId="0" applyNumberFormat="1" applyFill="1" applyBorder="1"/>
    <xf numFmtId="3" fontId="10" fillId="8" borderId="12" xfId="0" applyNumberFormat="1" applyFont="1" applyFill="1" applyBorder="1"/>
    <xf numFmtId="3" fontId="0" fillId="8" borderId="18" xfId="0" applyNumberFormat="1" applyFill="1" applyBorder="1"/>
    <xf numFmtId="3" fontId="0" fillId="10" borderId="12" xfId="1" applyNumberFormat="1" applyFont="1" applyFill="1" applyBorder="1"/>
    <xf numFmtId="3" fontId="1" fillId="5" borderId="12" xfId="1" applyNumberFormat="1" applyFont="1" applyFill="1" applyBorder="1"/>
    <xf numFmtId="3" fontId="0" fillId="5" borderId="12" xfId="0" applyNumberFormat="1" applyFill="1" applyBorder="1"/>
    <xf numFmtId="3" fontId="0" fillId="5" borderId="0" xfId="0" applyNumberFormat="1" applyFill="1" applyBorder="1"/>
    <xf numFmtId="2" fontId="0" fillId="5" borderId="16" xfId="0" applyNumberFormat="1" applyFill="1" applyBorder="1"/>
    <xf numFmtId="9" fontId="1" fillId="5" borderId="0" xfId="2" applyFont="1" applyFill="1"/>
    <xf numFmtId="4" fontId="0" fillId="5" borderId="0" xfId="0" applyNumberFormat="1" applyFill="1" applyBorder="1"/>
    <xf numFmtId="4" fontId="0" fillId="5" borderId="5" xfId="0" applyNumberFormat="1" applyFill="1" applyBorder="1"/>
    <xf numFmtId="4" fontId="0" fillId="0" borderId="0" xfId="0" applyNumberFormat="1" applyFill="1" applyBorder="1"/>
    <xf numFmtId="4" fontId="0" fillId="0" borderId="5" xfId="0" applyNumberFormat="1" applyFill="1" applyBorder="1"/>
    <xf numFmtId="4" fontId="0" fillId="0" borderId="0" xfId="0" applyNumberFormat="1" applyBorder="1"/>
    <xf numFmtId="4" fontId="0" fillId="0" borderId="5" xfId="0" applyNumberFormat="1" applyBorder="1"/>
    <xf numFmtId="4" fontId="0" fillId="5" borderId="7" xfId="0" applyNumberFormat="1" applyFill="1" applyBorder="1"/>
    <xf numFmtId="4" fontId="0" fillId="5" borderId="8" xfId="0" applyNumberFormat="1" applyFill="1" applyBorder="1"/>
    <xf numFmtId="10" fontId="0" fillId="5" borderId="7" xfId="2" applyNumberFormat="1" applyFont="1" applyFill="1" applyBorder="1"/>
    <xf numFmtId="0" fontId="0" fillId="7" borderId="2" xfId="0" applyFill="1" applyBorder="1" applyAlignment="1">
      <alignment horizontal="center"/>
    </xf>
    <xf numFmtId="0" fontId="0" fillId="7" borderId="3" xfId="0" applyFill="1" applyBorder="1" applyAlignment="1">
      <alignment horizontal="center"/>
    </xf>
    <xf numFmtId="0" fontId="2" fillId="7" borderId="0" xfId="0" applyFont="1" applyFill="1" applyBorder="1" applyAlignment="1">
      <alignment horizontal="center" wrapText="1"/>
    </xf>
    <xf numFmtId="0" fontId="2" fillId="7" borderId="5" xfId="0" applyFont="1" applyFill="1" applyBorder="1" applyAlignment="1">
      <alignment horizontal="center"/>
    </xf>
    <xf numFmtId="10" fontId="0" fillId="5" borderId="8" xfId="2" applyNumberFormat="1" applyFont="1" applyFill="1" applyBorder="1" applyAlignment="1">
      <alignment horizontal="center"/>
    </xf>
    <xf numFmtId="172" fontId="0" fillId="5" borderId="7" xfId="0" applyNumberFormat="1" applyFill="1" applyBorder="1" applyAlignment="1">
      <alignment horizontal="center"/>
    </xf>
    <xf numFmtId="3" fontId="0" fillId="10" borderId="0" xfId="1" applyNumberFormat="1" applyFont="1" applyFill="1" applyBorder="1" applyAlignment="1">
      <alignment horizontal="center"/>
    </xf>
    <xf numFmtId="3" fontId="0" fillId="10" borderId="5" xfId="0" applyNumberFormat="1" applyFill="1" applyBorder="1" applyAlignment="1">
      <alignment horizontal="center"/>
    </xf>
    <xf numFmtId="3" fontId="0" fillId="10" borderId="7" xfId="1" applyNumberFormat="1" applyFont="1" applyFill="1" applyBorder="1" applyAlignment="1">
      <alignment horizontal="center"/>
    </xf>
    <xf numFmtId="3" fontId="0" fillId="10" borderId="8" xfId="0" applyNumberFormat="1" applyFill="1" applyBorder="1" applyAlignment="1">
      <alignment horizontal="center"/>
    </xf>
    <xf numFmtId="4" fontId="0" fillId="10" borderId="0" xfId="1" applyNumberFormat="1" applyFont="1" applyFill="1" applyBorder="1" applyAlignment="1">
      <alignment horizontal="center"/>
    </xf>
    <xf numFmtId="4" fontId="0" fillId="10" borderId="0" xfId="0" applyNumberFormat="1" applyFill="1" applyBorder="1" applyAlignment="1">
      <alignment horizontal="center"/>
    </xf>
    <xf numFmtId="4" fontId="0" fillId="10" borderId="5" xfId="0" applyNumberFormat="1" applyFill="1" applyBorder="1" applyAlignment="1">
      <alignment horizontal="center"/>
    </xf>
    <xf numFmtId="4" fontId="0" fillId="10" borderId="7" xfId="1" applyNumberFormat="1" applyFont="1" applyFill="1" applyBorder="1" applyAlignment="1">
      <alignment horizontal="center"/>
    </xf>
    <xf numFmtId="4" fontId="0" fillId="10" borderId="7" xfId="0" applyNumberFormat="1" applyFill="1" applyBorder="1" applyAlignment="1">
      <alignment horizontal="center"/>
    </xf>
    <xf numFmtId="4" fontId="0" fillId="10" borderId="8" xfId="0" applyNumberFormat="1" applyFill="1" applyBorder="1" applyAlignment="1">
      <alignment horizontal="center"/>
    </xf>
    <xf numFmtId="0" fontId="0" fillId="0" borderId="0" xfId="0" applyAlignment="1">
      <alignment horizontal="left"/>
    </xf>
    <xf numFmtId="0" fontId="0" fillId="0" borderId="0" xfId="0" applyAlignment="1">
      <alignment horizontal="center" vertical="center" wrapText="1"/>
    </xf>
    <xf numFmtId="0" fontId="1" fillId="7" borderId="0" xfId="0" applyFont="1" applyFill="1" applyAlignment="1">
      <alignment horizontal="center" vertical="center" wrapText="1"/>
    </xf>
    <xf numFmtId="0" fontId="0" fillId="3" borderId="2" xfId="0" applyFill="1" applyBorder="1" applyAlignment="1">
      <alignment horizontal="center" vertical="center" wrapText="1"/>
    </xf>
    <xf numFmtId="0" fontId="0" fillId="7" borderId="2" xfId="0" applyFill="1" applyBorder="1" applyAlignment="1">
      <alignment horizontal="center" vertical="center" wrapText="1"/>
    </xf>
    <xf numFmtId="0" fontId="0" fillId="3" borderId="0" xfId="0" applyFill="1" applyBorder="1" applyAlignment="1">
      <alignment horizontal="center" vertical="center" wrapText="1"/>
    </xf>
    <xf numFmtId="0" fontId="0" fillId="7" borderId="0" xfId="0" applyFill="1" applyBorder="1" applyAlignment="1">
      <alignment horizontal="center" vertical="center" wrapText="1"/>
    </xf>
    <xf numFmtId="0" fontId="2" fillId="7" borderId="30" xfId="0" applyFont="1" applyFill="1" applyBorder="1" applyAlignment="1">
      <alignment horizontal="center" vertical="center" wrapText="1"/>
    </xf>
    <xf numFmtId="166" fontId="0" fillId="5" borderId="18" xfId="0" applyNumberFormat="1" applyFill="1" applyBorder="1"/>
    <xf numFmtId="0" fontId="1" fillId="7" borderId="4" xfId="0" applyFont="1" applyFill="1" applyBorder="1" applyAlignment="1">
      <alignment horizontal="center" wrapText="1"/>
    </xf>
    <xf numFmtId="0" fontId="1" fillId="7" borderId="5" xfId="0" applyFont="1" applyFill="1" applyBorder="1" applyAlignment="1">
      <alignment horizontal="center" wrapText="1"/>
    </xf>
    <xf numFmtId="0" fontId="0" fillId="3" borderId="1" xfId="0" applyFill="1" applyBorder="1" applyAlignment="1">
      <alignment horizontal="center" wrapText="1"/>
    </xf>
    <xf numFmtId="164" fontId="0" fillId="3" borderId="3" xfId="0" applyNumberFormat="1" applyFill="1" applyBorder="1" applyAlignment="1">
      <alignment horizontal="center" wrapText="1"/>
    </xf>
    <xf numFmtId="0" fontId="0" fillId="3" borderId="4" xfId="0" applyFill="1" applyBorder="1" applyAlignment="1">
      <alignment horizontal="center" wrapText="1"/>
    </xf>
    <xf numFmtId="164" fontId="0" fillId="3" borderId="5" xfId="0" applyNumberFormat="1" applyFill="1" applyBorder="1" applyAlignment="1">
      <alignment horizontal="center" wrapText="1"/>
    </xf>
    <xf numFmtId="0" fontId="0" fillId="3" borderId="6" xfId="0" applyFill="1" applyBorder="1" applyAlignment="1">
      <alignment horizontal="center" wrapText="1"/>
    </xf>
    <xf numFmtId="0" fontId="0" fillId="3" borderId="8" xfId="0" applyFill="1" applyBorder="1" applyAlignment="1">
      <alignment horizontal="center" wrapText="1"/>
    </xf>
    <xf numFmtId="0" fontId="0" fillId="3" borderId="1" xfId="0" applyFont="1" applyFill="1" applyBorder="1" applyAlignment="1">
      <alignment horizontal="center" wrapText="1"/>
    </xf>
    <xf numFmtId="0" fontId="0" fillId="0" borderId="0" xfId="0" applyFill="1" applyBorder="1" applyAlignment="1">
      <alignment wrapText="1"/>
    </xf>
    <xf numFmtId="0" fontId="0" fillId="3" borderId="3" xfId="0" applyFill="1" applyBorder="1" applyAlignment="1">
      <alignment horizontal="left" vertical="center" wrapText="1"/>
    </xf>
    <xf numFmtId="0" fontId="0" fillId="3" borderId="5" xfId="0" applyFill="1" applyBorder="1" applyAlignment="1">
      <alignment horizontal="left" vertical="center" wrapText="1"/>
    </xf>
    <xf numFmtId="0" fontId="0" fillId="3" borderId="7" xfId="0" applyFill="1" applyBorder="1" applyAlignment="1">
      <alignment horizontal="center" vertical="center" wrapText="1"/>
    </xf>
    <xf numFmtId="0" fontId="0" fillId="7" borderId="7" xfId="0" applyFill="1" applyBorder="1" applyAlignment="1">
      <alignment horizontal="center" vertical="center" wrapText="1"/>
    </xf>
    <xf numFmtId="0" fontId="0" fillId="3" borderId="8" xfId="0" applyFill="1" applyBorder="1" applyAlignment="1">
      <alignment horizontal="left" vertical="center" wrapText="1"/>
    </xf>
    <xf numFmtId="0" fontId="1" fillId="7" borderId="4"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0" fillId="3" borderId="4" xfId="0" applyFill="1" applyBorder="1" applyAlignment="1">
      <alignment horizontal="center" vertical="center" wrapText="1"/>
    </xf>
    <xf numFmtId="0" fontId="0" fillId="3" borderId="6" xfId="0" applyFill="1" applyBorder="1" applyAlignment="1">
      <alignment horizontal="center" vertical="center" wrapText="1"/>
    </xf>
    <xf numFmtId="0" fontId="0" fillId="3"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5" xfId="0" applyFill="1" applyBorder="1" applyAlignment="1">
      <alignment horizontal="center" vertical="center" wrapText="1"/>
    </xf>
    <xf numFmtId="0" fontId="0" fillId="3" borderId="8" xfId="0" applyFill="1" applyBorder="1" applyAlignment="1">
      <alignment horizontal="center" vertical="center" wrapText="1"/>
    </xf>
    <xf numFmtId="0" fontId="0" fillId="10" borderId="4" xfId="0" applyFill="1" applyBorder="1" applyAlignment="1">
      <alignment horizontal="center"/>
    </xf>
    <xf numFmtId="0" fontId="0" fillId="10" borderId="6" xfId="0" applyFill="1" applyBorder="1" applyAlignment="1">
      <alignment horizontal="center"/>
    </xf>
    <xf numFmtId="0" fontId="0" fillId="7" borderId="23" xfId="0" applyFill="1" applyBorder="1" applyAlignment="1">
      <alignment wrapText="1"/>
    </xf>
    <xf numFmtId="10" fontId="0" fillId="5" borderId="29" xfId="0" applyNumberFormat="1" applyFill="1" applyBorder="1" applyAlignment="1">
      <alignment horizontal="center" vertical="center"/>
    </xf>
    <xf numFmtId="164" fontId="0" fillId="5" borderId="0" xfId="0" applyNumberFormat="1" applyFill="1" applyBorder="1" applyAlignment="1">
      <alignment horizontal="center"/>
    </xf>
    <xf numFmtId="10" fontId="3" fillId="5" borderId="5" xfId="2" applyNumberFormat="1" applyFont="1" applyFill="1" applyBorder="1" applyAlignment="1">
      <alignment horizontal="center"/>
    </xf>
    <xf numFmtId="164" fontId="0" fillId="5" borderId="4" xfId="0" applyNumberFormat="1" applyFill="1"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10" fontId="3" fillId="5" borderId="8" xfId="2" applyNumberFormat="1" applyFont="1" applyFill="1" applyBorder="1" applyAlignment="1">
      <alignment horizontal="center"/>
    </xf>
    <xf numFmtId="0" fontId="1" fillId="7" borderId="32" xfId="0" applyFont="1" applyFill="1" applyBorder="1" applyAlignment="1">
      <alignment horizontal="center" vertical="center" wrapText="1"/>
    </xf>
    <xf numFmtId="0" fontId="2" fillId="7" borderId="31" xfId="0" applyFont="1" applyFill="1" applyBorder="1" applyAlignment="1">
      <alignment horizontal="center" vertical="center" wrapText="1"/>
    </xf>
    <xf numFmtId="0" fontId="0" fillId="7" borderId="31" xfId="0" applyFill="1" applyBorder="1" applyAlignment="1">
      <alignment horizontal="center"/>
    </xf>
    <xf numFmtId="0" fontId="0" fillId="7" borderId="31" xfId="0" applyFill="1" applyBorder="1"/>
    <xf numFmtId="0" fontId="0" fillId="7" borderId="33" xfId="0" applyFill="1" applyBorder="1"/>
    <xf numFmtId="0" fontId="2" fillId="7" borderId="29" xfId="0" applyFont="1" applyFill="1" applyBorder="1" applyAlignment="1">
      <alignment wrapText="1"/>
    </xf>
    <xf numFmtId="165" fontId="0" fillId="5" borderId="7" xfId="2" applyNumberFormat="1" applyFont="1" applyFill="1" applyBorder="1" applyAlignment="1">
      <alignment horizontal="center"/>
    </xf>
    <xf numFmtId="166" fontId="0" fillId="5" borderId="8" xfId="1" applyNumberFormat="1" applyFont="1" applyFill="1" applyBorder="1"/>
    <xf numFmtId="166" fontId="10" fillId="5" borderId="5" xfId="1" applyNumberFormat="1" applyFont="1" applyFill="1" applyBorder="1"/>
    <xf numFmtId="166" fontId="0" fillId="0" borderId="1" xfId="1" applyNumberFormat="1" applyFont="1" applyFill="1" applyBorder="1"/>
    <xf numFmtId="10" fontId="0" fillId="0" borderId="3" xfId="2" applyNumberFormat="1" applyFont="1" applyFill="1" applyBorder="1"/>
    <xf numFmtId="10" fontId="10" fillId="0" borderId="2" xfId="2" applyNumberFormat="1" applyFont="1" applyFill="1" applyBorder="1"/>
    <xf numFmtId="166" fontId="10" fillId="0" borderId="3" xfId="1" applyNumberFormat="1" applyFont="1" applyFill="1" applyBorder="1"/>
    <xf numFmtId="43" fontId="10" fillId="0" borderId="2" xfId="1" applyFont="1" applyFill="1" applyBorder="1"/>
    <xf numFmtId="0" fontId="11" fillId="0" borderId="2" xfId="0" applyFont="1" applyFill="1" applyBorder="1"/>
    <xf numFmtId="166" fontId="0" fillId="0" borderId="2" xfId="1" applyNumberFormat="1" applyFont="1" applyFill="1" applyBorder="1"/>
    <xf numFmtId="166" fontId="0" fillId="0" borderId="3" xfId="0" applyNumberFormat="1" applyFill="1" applyBorder="1"/>
    <xf numFmtId="0" fontId="11" fillId="0" borderId="1" xfId="0" applyFont="1" applyFill="1" applyBorder="1"/>
    <xf numFmtId="43" fontId="0" fillId="5" borderId="6" xfId="1" applyFont="1" applyFill="1" applyBorder="1"/>
    <xf numFmtId="0" fontId="0" fillId="7" borderId="32" xfId="0" applyFill="1" applyBorder="1"/>
    <xf numFmtId="0" fontId="2" fillId="7" borderId="31" xfId="0" applyFont="1" applyFill="1" applyBorder="1" applyAlignment="1">
      <alignment wrapText="1"/>
    </xf>
    <xf numFmtId="166" fontId="0" fillId="0" borderId="31" xfId="1" applyNumberFormat="1" applyFont="1" applyFill="1" applyBorder="1"/>
    <xf numFmtId="43" fontId="0" fillId="0" borderId="31" xfId="1" applyFont="1" applyBorder="1"/>
    <xf numFmtId="43" fontId="10" fillId="5" borderId="33" xfId="1" applyFont="1" applyFill="1" applyBorder="1"/>
    <xf numFmtId="0" fontId="9" fillId="7" borderId="29" xfId="0" applyFont="1" applyFill="1" applyBorder="1"/>
    <xf numFmtId="0" fontId="4" fillId="7" borderId="29" xfId="0" applyFont="1" applyFill="1" applyBorder="1"/>
    <xf numFmtId="0" fontId="2" fillId="7" borderId="20" xfId="0" applyFont="1" applyFill="1" applyBorder="1" applyAlignment="1">
      <alignment wrapText="1"/>
    </xf>
    <xf numFmtId="0" fontId="2" fillId="7" borderId="15" xfId="0" applyFont="1" applyFill="1" applyBorder="1" applyAlignment="1">
      <alignment wrapText="1"/>
    </xf>
    <xf numFmtId="0" fontId="2" fillId="7" borderId="16" xfId="0" applyFont="1" applyFill="1" applyBorder="1" applyAlignment="1">
      <alignment wrapText="1"/>
    </xf>
    <xf numFmtId="43" fontId="0" fillId="5" borderId="8" xfId="1" applyFont="1" applyFill="1" applyBorder="1"/>
    <xf numFmtId="0" fontId="2" fillId="7" borderId="34" xfId="0" applyFont="1" applyFill="1" applyBorder="1" applyAlignment="1">
      <alignment wrapText="1"/>
    </xf>
    <xf numFmtId="0" fontId="2" fillId="7" borderId="35" xfId="0" applyFont="1" applyFill="1" applyBorder="1" applyAlignment="1">
      <alignment wrapText="1"/>
    </xf>
    <xf numFmtId="0" fontId="2" fillId="7" borderId="28" xfId="0" applyFont="1" applyFill="1" applyBorder="1" applyAlignment="1">
      <alignment wrapText="1"/>
    </xf>
    <xf numFmtId="0" fontId="0" fillId="7" borderId="6" xfId="0" applyFont="1" applyFill="1" applyBorder="1" applyAlignment="1">
      <alignment horizontal="center" vertical="center" wrapText="1"/>
    </xf>
    <xf numFmtId="0" fontId="0" fillId="7" borderId="17" xfId="0" applyFill="1" applyBorder="1"/>
    <xf numFmtId="2" fontId="0" fillId="5" borderId="19" xfId="0" applyNumberFormat="1" applyFill="1" applyBorder="1"/>
    <xf numFmtId="0" fontId="2" fillId="7" borderId="12" xfId="0" applyFont="1" applyFill="1" applyBorder="1" applyAlignment="1">
      <alignment horizontal="left" wrapText="1"/>
    </xf>
    <xf numFmtId="0" fontId="0" fillId="5" borderId="12" xfId="0" applyFill="1" applyBorder="1" applyAlignment="1">
      <alignment horizontal="left"/>
    </xf>
    <xf numFmtId="0" fontId="1" fillId="0" borderId="0" xfId="0" applyFont="1" applyAlignment="1">
      <alignment horizontal="left"/>
    </xf>
    <xf numFmtId="0" fontId="1" fillId="7" borderId="12" xfId="0" applyFont="1" applyFill="1" applyBorder="1" applyAlignment="1">
      <alignment horizontal="left" wrapText="1"/>
    </xf>
    <xf numFmtId="0" fontId="0" fillId="5" borderId="12" xfId="0" applyFill="1" applyBorder="1" applyAlignment="1">
      <alignment horizontal="left" wrapText="1"/>
    </xf>
    <xf numFmtId="0" fontId="9" fillId="7" borderId="12" xfId="0" applyFont="1" applyFill="1" applyBorder="1" applyAlignment="1">
      <alignment horizontal="left"/>
    </xf>
    <xf numFmtId="0" fontId="0" fillId="7" borderId="12" xfId="0" applyFill="1" applyBorder="1" applyAlignment="1">
      <alignment horizontal="left" wrapText="1"/>
    </xf>
    <xf numFmtId="0" fontId="0" fillId="0" borderId="0" xfId="0" applyBorder="1" applyAlignment="1">
      <alignment horizontal="left" wrapText="1"/>
    </xf>
    <xf numFmtId="0" fontId="0" fillId="5" borderId="12" xfId="0" applyFill="1" applyBorder="1" applyAlignment="1">
      <alignment horizontal="center"/>
    </xf>
    <xf numFmtId="3" fontId="0" fillId="10" borderId="12" xfId="1" applyNumberFormat="1" applyFont="1" applyFill="1" applyBorder="1" applyAlignment="1">
      <alignment horizontal="center" vertical="center"/>
    </xf>
    <xf numFmtId="3" fontId="0" fillId="5" borderId="4" xfId="0" applyNumberFormat="1" applyFill="1" applyBorder="1"/>
    <xf numFmtId="0" fontId="2" fillId="7" borderId="24" xfId="0" applyFont="1" applyFill="1" applyBorder="1" applyAlignment="1">
      <alignment horizontal="center" wrapText="1"/>
    </xf>
    <xf numFmtId="0" fontId="0" fillId="8" borderId="17" xfId="0" applyFill="1" applyBorder="1" applyAlignment="1">
      <alignment wrapText="1"/>
    </xf>
    <xf numFmtId="0" fontId="0" fillId="0" borderId="0" xfId="0" applyBorder="1" applyAlignment="1"/>
    <xf numFmtId="0" fontId="2" fillId="7" borderId="27" xfId="0" applyFont="1" applyFill="1" applyBorder="1" applyAlignment="1">
      <alignment vertical="center" wrapText="1"/>
    </xf>
    <xf numFmtId="0" fontId="0" fillId="0" borderId="4" xfId="0" applyBorder="1"/>
    <xf numFmtId="0" fontId="0" fillId="0" borderId="5" xfId="0" applyBorder="1"/>
    <xf numFmtId="0" fontId="0" fillId="0" borderId="15" xfId="0" applyFill="1" applyBorder="1" applyAlignment="1">
      <alignment wrapText="1"/>
    </xf>
    <xf numFmtId="0" fontId="0" fillId="0" borderId="15" xfId="0" applyBorder="1" applyAlignment="1">
      <alignment wrapText="1"/>
    </xf>
    <xf numFmtId="3" fontId="0" fillId="0" borderId="0" xfId="0" applyNumberFormat="1" applyBorder="1"/>
    <xf numFmtId="0" fontId="0" fillId="0" borderId="6" xfId="0" applyBorder="1"/>
    <xf numFmtId="0" fontId="0" fillId="0" borderId="7" xfId="0" applyBorder="1"/>
    <xf numFmtId="0" fontId="2" fillId="7" borderId="41" xfId="0" applyFont="1" applyFill="1" applyBorder="1" applyAlignment="1">
      <alignment horizontal="left" vertical="center" wrapText="1"/>
    </xf>
    <xf numFmtId="3" fontId="0" fillId="8" borderId="16" xfId="1" applyNumberFormat="1" applyFont="1" applyFill="1" applyBorder="1" applyAlignment="1"/>
    <xf numFmtId="0" fontId="0" fillId="0" borderId="43" xfId="0" applyBorder="1"/>
    <xf numFmtId="0" fontId="1" fillId="7" borderId="13" xfId="0" applyFont="1" applyFill="1" applyBorder="1"/>
    <xf numFmtId="0" fontId="0" fillId="0" borderId="17" xfId="0" applyFill="1" applyBorder="1"/>
    <xf numFmtId="10" fontId="0" fillId="8" borderId="18" xfId="2" applyNumberFormat="1" applyFont="1" applyFill="1" applyBorder="1"/>
    <xf numFmtId="0" fontId="0" fillId="0" borderId="17" xfId="0" applyBorder="1"/>
    <xf numFmtId="2" fontId="0" fillId="8" borderId="18" xfId="0" applyNumberFormat="1" applyFill="1" applyBorder="1"/>
    <xf numFmtId="0" fontId="1" fillId="7" borderId="40" xfId="0" applyFont="1" applyFill="1" applyBorder="1" applyAlignment="1">
      <alignment horizontal="center"/>
    </xf>
    <xf numFmtId="0" fontId="0" fillId="0" borderId="17" xfId="0" applyFill="1" applyBorder="1" applyAlignment="1">
      <alignment wrapText="1"/>
    </xf>
    <xf numFmtId="2" fontId="0" fillId="8" borderId="19" xfId="0" applyNumberFormat="1" applyFill="1" applyBorder="1"/>
    <xf numFmtId="0" fontId="0" fillId="3" borderId="16" xfId="0" applyFill="1" applyBorder="1" applyAlignment="1">
      <alignment wrapText="1"/>
    </xf>
    <xf numFmtId="0" fontId="0" fillId="0" borderId="17" xfId="0" applyBorder="1" applyAlignment="1">
      <alignment wrapText="1"/>
    </xf>
    <xf numFmtId="0" fontId="0" fillId="3" borderId="19" xfId="0" applyFill="1" applyBorder="1" applyAlignment="1">
      <alignment wrapText="1"/>
    </xf>
    <xf numFmtId="0" fontId="16" fillId="0" borderId="0" xfId="0" applyFont="1" applyBorder="1" applyAlignment="1">
      <alignment vertical="center" wrapText="1"/>
    </xf>
    <xf numFmtId="0" fontId="2" fillId="7" borderId="26" xfId="0" applyFont="1" applyFill="1" applyBorder="1" applyAlignment="1">
      <alignment horizontal="left" wrapText="1"/>
    </xf>
    <xf numFmtId="3" fontId="0" fillId="10" borderId="16" xfId="1" applyNumberFormat="1" applyFont="1" applyFill="1" applyBorder="1" applyAlignment="1">
      <alignment horizontal="center" vertical="center"/>
    </xf>
    <xf numFmtId="0" fontId="16" fillId="0" borderId="5" xfId="0" applyFont="1" applyBorder="1" applyAlignment="1">
      <alignment horizontal="left" vertical="center" wrapText="1"/>
    </xf>
    <xf numFmtId="0" fontId="1" fillId="5" borderId="15" xfId="0" applyFont="1" applyFill="1" applyBorder="1"/>
    <xf numFmtId="0" fontId="2" fillId="7" borderId="44" xfId="0" applyFont="1" applyFill="1" applyBorder="1" applyAlignment="1">
      <alignment horizontal="left" vertical="center" wrapText="1"/>
    </xf>
    <xf numFmtId="0" fontId="0" fillId="5" borderId="15" xfId="0" applyFill="1" applyBorder="1"/>
    <xf numFmtId="0" fontId="1" fillId="0" borderId="7" xfId="0" applyFont="1" applyBorder="1"/>
    <xf numFmtId="4" fontId="1" fillId="5" borderId="7" xfId="1" applyNumberFormat="1" applyFont="1" applyFill="1" applyBorder="1"/>
    <xf numFmtId="9" fontId="1" fillId="5" borderId="7" xfId="2" applyFont="1" applyFill="1" applyBorder="1"/>
    <xf numFmtId="172" fontId="1" fillId="5" borderId="7" xfId="1" applyNumberFormat="1" applyFont="1" applyFill="1" applyBorder="1"/>
    <xf numFmtId="9" fontId="1" fillId="0" borderId="7" xfId="2" applyFont="1" applyBorder="1"/>
    <xf numFmtId="43" fontId="1" fillId="0" borderId="7" xfId="1" applyFont="1" applyBorder="1"/>
    <xf numFmtId="172" fontId="1" fillId="5" borderId="8" xfId="1" applyNumberFormat="1" applyFont="1" applyFill="1" applyBorder="1"/>
    <xf numFmtId="0" fontId="0" fillId="2" borderId="1" xfId="0" applyFill="1" applyBorder="1"/>
    <xf numFmtId="0" fontId="0" fillId="2" borderId="4" xfId="0" applyFill="1" applyBorder="1"/>
    <xf numFmtId="0" fontId="0" fillId="2" borderId="0" xfId="0" applyFill="1" applyBorder="1"/>
    <xf numFmtId="0" fontId="0" fillId="2" borderId="6" xfId="0" applyFill="1" applyBorder="1"/>
    <xf numFmtId="0" fontId="0" fillId="2" borderId="0" xfId="0" applyFill="1" applyBorder="1" applyAlignment="1"/>
    <xf numFmtId="0" fontId="17" fillId="2" borderId="0" xfId="0" applyFont="1" applyFill="1" applyBorder="1" applyAlignment="1"/>
    <xf numFmtId="0" fontId="0" fillId="2" borderId="3" xfId="0" applyFill="1" applyBorder="1"/>
    <xf numFmtId="0" fontId="0" fillId="2" borderId="5" xfId="0" applyFill="1" applyBorder="1"/>
    <xf numFmtId="0" fontId="0" fillId="2" borderId="8" xfId="0" applyFill="1" applyBorder="1"/>
    <xf numFmtId="0" fontId="0" fillId="7" borderId="12" xfId="0" applyFont="1" applyFill="1" applyBorder="1" applyAlignment="1">
      <alignment horizontal="center" vertical="center" wrapText="1"/>
    </xf>
    <xf numFmtId="43" fontId="0" fillId="5" borderId="12" xfId="0" applyNumberFormat="1" applyFill="1" applyBorder="1"/>
    <xf numFmtId="0" fontId="0" fillId="5" borderId="12" xfId="0" applyNumberFormat="1" applyFill="1" applyBorder="1" applyAlignment="1">
      <alignment horizontal="center"/>
    </xf>
    <xf numFmtId="167" fontId="1" fillId="5" borderId="0" xfId="1" applyNumberFormat="1" applyFont="1" applyFill="1"/>
    <xf numFmtId="0" fontId="0" fillId="5" borderId="16" xfId="0" applyFill="1" applyBorder="1" applyAlignment="1">
      <alignment horizontal="center"/>
    </xf>
    <xf numFmtId="2" fontId="0" fillId="5" borderId="16" xfId="0" applyNumberFormat="1" applyFill="1" applyBorder="1" applyAlignment="1">
      <alignment horizontal="center"/>
    </xf>
    <xf numFmtId="0" fontId="2" fillId="7" borderId="4" xfId="0" applyFont="1" applyFill="1" applyBorder="1" applyAlignment="1">
      <alignment horizontal="center" wrapText="1"/>
    </xf>
    <xf numFmtId="0" fontId="2" fillId="7" borderId="0" xfId="0" applyFont="1" applyFill="1" applyBorder="1" applyAlignment="1">
      <alignment horizontal="center" vertical="center"/>
    </xf>
    <xf numFmtId="10" fontId="0" fillId="2" borderId="0" xfId="2" applyNumberFormat="1" applyFont="1" applyFill="1" applyBorder="1" applyAlignment="1">
      <alignment horizontal="center" vertical="center" wrapText="1"/>
    </xf>
    <xf numFmtId="0" fontId="0" fillId="2" borderId="0" xfId="0" applyFont="1" applyFill="1" applyBorder="1" applyAlignment="1">
      <alignment horizontal="center" vertical="center" wrapText="1"/>
    </xf>
    <xf numFmtId="9" fontId="0" fillId="0" borderId="29" xfId="2" applyFont="1" applyBorder="1" applyAlignment="1">
      <alignment horizontal="center"/>
    </xf>
    <xf numFmtId="0" fontId="2" fillId="7" borderId="28" xfId="0" applyFont="1" applyFill="1" applyBorder="1" applyAlignment="1">
      <alignment horizontal="center" vertical="center" wrapText="1"/>
    </xf>
    <xf numFmtId="0" fontId="2" fillId="7" borderId="46" xfId="0" applyFont="1" applyFill="1" applyBorder="1" applyAlignment="1">
      <alignment horizontal="center" vertical="center" wrapText="1"/>
    </xf>
    <xf numFmtId="3" fontId="0" fillId="8" borderId="17" xfId="0" applyNumberFormat="1" applyFill="1" applyBorder="1" applyAlignment="1">
      <alignment horizontal="center" vertical="center"/>
    </xf>
    <xf numFmtId="3" fontId="0" fillId="8" borderId="18" xfId="0" applyNumberFormat="1" applyFill="1" applyBorder="1" applyAlignment="1">
      <alignment horizontal="center" vertical="center"/>
    </xf>
    <xf numFmtId="0" fontId="0" fillId="8" borderId="15" xfId="0" applyFill="1" applyBorder="1" applyAlignment="1">
      <alignment horizontal="center"/>
    </xf>
    <xf numFmtId="173" fontId="0" fillId="5" borderId="18" xfId="0" applyNumberFormat="1" applyFill="1" applyBorder="1" applyAlignment="1">
      <alignment horizontal="center" vertical="center"/>
    </xf>
    <xf numFmtId="173" fontId="0" fillId="5" borderId="36" xfId="0" applyNumberFormat="1" applyFill="1" applyBorder="1" applyAlignment="1">
      <alignment horizontal="center" vertical="center"/>
    </xf>
    <xf numFmtId="173" fontId="4" fillId="5" borderId="47" xfId="0" applyNumberFormat="1" applyFont="1" applyFill="1" applyBorder="1" applyAlignment="1">
      <alignment horizontal="center" vertical="center"/>
    </xf>
    <xf numFmtId="166" fontId="1" fillId="5" borderId="12" xfId="0" applyNumberFormat="1" applyFont="1" applyFill="1" applyBorder="1"/>
    <xf numFmtId="166" fontId="1" fillId="5" borderId="18" xfId="0" applyNumberFormat="1" applyFont="1" applyFill="1" applyBorder="1"/>
    <xf numFmtId="0" fontId="2" fillId="7" borderId="29" xfId="0" applyFont="1" applyFill="1" applyBorder="1" applyAlignment="1">
      <alignment horizontal="center" vertical="center" wrapText="1"/>
    </xf>
    <xf numFmtId="164" fontId="0" fillId="3" borderId="2" xfId="0" applyNumberFormat="1" applyFont="1" applyFill="1" applyBorder="1" applyAlignment="1">
      <alignment horizontal="center" wrapText="1"/>
    </xf>
    <xf numFmtId="164" fontId="0" fillId="3" borderId="7" xfId="0" applyNumberFormat="1" applyFill="1" applyBorder="1" applyAlignment="1">
      <alignment horizontal="center" wrapText="1"/>
    </xf>
    <xf numFmtId="164" fontId="0" fillId="3" borderId="8" xfId="0" applyNumberFormat="1" applyFill="1" applyBorder="1" applyAlignment="1">
      <alignment horizontal="center" wrapText="1"/>
    </xf>
    <xf numFmtId="0" fontId="0" fillId="2" borderId="0" xfId="0" applyFill="1" applyBorder="1" applyAlignment="1">
      <alignment horizontal="center" wrapText="1"/>
    </xf>
    <xf numFmtId="0" fontId="0" fillId="2" borderId="0" xfId="0" applyFill="1" applyBorder="1" applyAlignment="1">
      <alignment horizontal="center" vertical="center" wrapText="1"/>
    </xf>
    <xf numFmtId="164" fontId="0" fillId="2" borderId="0" xfId="0" applyNumberFormat="1" applyFill="1" applyBorder="1" applyAlignment="1">
      <alignment horizontal="center" wrapText="1"/>
    </xf>
    <xf numFmtId="0" fontId="0" fillId="0" borderId="0" xfId="0" applyFill="1" applyBorder="1" applyAlignment="1">
      <alignment horizontal="left" wrapText="1"/>
    </xf>
    <xf numFmtId="168" fontId="0" fillId="8" borderId="12" xfId="2" applyNumberFormat="1" applyFont="1" applyFill="1" applyBorder="1" applyAlignment="1">
      <alignment horizontal="center"/>
    </xf>
    <xf numFmtId="168" fontId="0" fillId="0" borderId="0" xfId="2" applyNumberFormat="1" applyFont="1"/>
    <xf numFmtId="9" fontId="1" fillId="5" borderId="12" xfId="2" applyFont="1" applyFill="1" applyBorder="1"/>
    <xf numFmtId="166" fontId="0" fillId="5" borderId="4" xfId="0" applyNumberFormat="1" applyFill="1" applyBorder="1"/>
    <xf numFmtId="166" fontId="0" fillId="0" borderId="3" xfId="1" applyNumberFormat="1" applyFont="1" applyBorder="1"/>
    <xf numFmtId="166" fontId="0" fillId="0" borderId="1" xfId="0" applyNumberFormat="1" applyBorder="1"/>
    <xf numFmtId="166" fontId="0" fillId="0" borderId="2" xfId="0" applyNumberFormat="1" applyBorder="1"/>
    <xf numFmtId="166" fontId="0" fillId="0" borderId="2" xfId="1" applyNumberFormat="1" applyFont="1" applyBorder="1"/>
    <xf numFmtId="166" fontId="0" fillId="0" borderId="3" xfId="0" applyNumberFormat="1" applyBorder="1"/>
    <xf numFmtId="166" fontId="10" fillId="5" borderId="8" xfId="1" applyNumberFormat="1" applyFont="1" applyFill="1" applyBorder="1"/>
    <xf numFmtId="166" fontId="10" fillId="5" borderId="6" xfId="1" applyNumberFormat="1" applyFont="1" applyFill="1" applyBorder="1"/>
    <xf numFmtId="166" fontId="11" fillId="5" borderId="6" xfId="0" applyNumberFormat="1" applyFont="1" applyFill="1" applyBorder="1"/>
    <xf numFmtId="166" fontId="11" fillId="5" borderId="7" xfId="0" applyNumberFormat="1" applyFont="1" applyFill="1" applyBorder="1"/>
    <xf numFmtId="166" fontId="0" fillId="5" borderId="7" xfId="1" applyNumberFormat="1" applyFont="1" applyFill="1" applyBorder="1"/>
    <xf numFmtId="166" fontId="1" fillId="5" borderId="0" xfId="1" applyNumberFormat="1" applyFont="1" applyFill="1"/>
    <xf numFmtId="1" fontId="0" fillId="8" borderId="12" xfId="0" applyNumberFormat="1" applyFill="1" applyBorder="1" applyAlignment="1">
      <alignment horizontal="center" vertical="center"/>
    </xf>
    <xf numFmtId="0" fontId="1" fillId="7" borderId="23" xfId="0" applyFont="1" applyFill="1" applyBorder="1" applyAlignment="1">
      <alignment horizontal="center" vertical="center" wrapText="1"/>
    </xf>
    <xf numFmtId="0" fontId="1" fillId="7" borderId="24" xfId="0" applyFont="1" applyFill="1" applyBorder="1" applyAlignment="1">
      <alignment horizontal="center" vertical="center" wrapText="1"/>
    </xf>
    <xf numFmtId="0" fontId="1" fillId="7" borderId="25" xfId="0" applyFont="1" applyFill="1" applyBorder="1" applyAlignment="1">
      <alignment horizontal="center" vertical="center" wrapText="1"/>
    </xf>
    <xf numFmtId="167" fontId="0" fillId="3" borderId="0" xfId="1" applyNumberFormat="1" applyFont="1" applyFill="1" applyBorder="1" applyAlignment="1">
      <alignment wrapText="1"/>
    </xf>
    <xf numFmtId="168" fontId="0" fillId="3" borderId="7" xfId="2" applyNumberFormat="1" applyFont="1" applyFill="1" applyBorder="1" applyAlignment="1">
      <alignment wrapText="1"/>
    </xf>
    <xf numFmtId="0" fontId="0" fillId="3" borderId="0" xfId="0" applyFill="1" applyBorder="1" applyAlignment="1">
      <alignment horizontal="right" wrapText="1"/>
    </xf>
    <xf numFmtId="0" fontId="2" fillId="7" borderId="23" xfId="0" applyFont="1" applyFill="1" applyBorder="1" applyAlignment="1">
      <alignment horizontal="center" wrapText="1"/>
    </xf>
    <xf numFmtId="0" fontId="2" fillId="7" borderId="25" xfId="0" applyFont="1" applyFill="1" applyBorder="1" applyAlignment="1">
      <alignment horizontal="center" wrapText="1"/>
    </xf>
    <xf numFmtId="10" fontId="0" fillId="8" borderId="6" xfId="2" applyNumberFormat="1" applyFont="1" applyFill="1" applyBorder="1" applyAlignment="1">
      <alignment horizontal="left"/>
    </xf>
    <xf numFmtId="10" fontId="0" fillId="8" borderId="7" xfId="2" applyNumberFormat="1" applyFont="1" applyFill="1" applyBorder="1" applyAlignment="1">
      <alignment horizontal="left"/>
    </xf>
    <xf numFmtId="3" fontId="0" fillId="8" borderId="12" xfId="0" applyNumberFormat="1" applyFill="1" applyBorder="1" applyAlignment="1">
      <alignment horizontal="center"/>
    </xf>
    <xf numFmtId="3" fontId="0" fillId="5" borderId="31" xfId="0" applyNumberFormat="1" applyFill="1" applyBorder="1" applyAlignment="1">
      <alignment horizontal="center"/>
    </xf>
    <xf numFmtId="10" fontId="0" fillId="0" borderId="2" xfId="2" applyNumberFormat="1" applyFont="1" applyBorder="1"/>
    <xf numFmtId="10" fontId="0" fillId="0" borderId="3" xfId="2" applyNumberFormat="1" applyFont="1" applyBorder="1"/>
    <xf numFmtId="169" fontId="0" fillId="5" borderId="4" xfId="0" applyNumberFormat="1" applyFill="1" applyBorder="1" applyAlignment="1">
      <alignment horizontal="center"/>
    </xf>
    <xf numFmtId="169" fontId="0" fillId="5" borderId="0" xfId="0" applyNumberFormat="1" applyFill="1" applyBorder="1" applyAlignment="1">
      <alignment horizontal="center"/>
    </xf>
    <xf numFmtId="166" fontId="0" fillId="5" borderId="4" xfId="0" applyNumberFormat="1" applyFill="1" applyBorder="1" applyAlignment="1">
      <alignment wrapText="1"/>
    </xf>
    <xf numFmtId="10" fontId="0" fillId="5" borderId="5" xfId="2" applyNumberFormat="1" applyFont="1" applyFill="1" applyBorder="1" applyAlignment="1">
      <alignment wrapText="1"/>
    </xf>
    <xf numFmtId="166" fontId="0" fillId="5" borderId="6" xfId="0" applyNumberFormat="1" applyFill="1" applyBorder="1" applyAlignment="1">
      <alignment wrapText="1"/>
    </xf>
    <xf numFmtId="10" fontId="0" fillId="5" borderId="8" xfId="2" applyNumberFormat="1" applyFont="1" applyFill="1" applyBorder="1" applyAlignment="1">
      <alignment wrapText="1"/>
    </xf>
    <xf numFmtId="10" fontId="0" fillId="5" borderId="4" xfId="0" applyNumberFormat="1" applyFill="1" applyBorder="1" applyAlignment="1">
      <alignment wrapText="1"/>
    </xf>
    <xf numFmtId="10" fontId="0" fillId="5" borderId="6" xfId="0" applyNumberFormat="1" applyFill="1" applyBorder="1" applyAlignment="1">
      <alignment wrapText="1"/>
    </xf>
    <xf numFmtId="10" fontId="0" fillId="8" borderId="12" xfId="0" applyNumberFormat="1" applyFill="1" applyBorder="1" applyAlignment="1">
      <alignment horizontal="center"/>
    </xf>
    <xf numFmtId="2" fontId="0" fillId="5" borderId="5" xfId="0" applyNumberFormat="1" applyFill="1" applyBorder="1"/>
    <xf numFmtId="0" fontId="0" fillId="7" borderId="0" xfId="0" applyFill="1" applyBorder="1"/>
    <xf numFmtId="4" fontId="0" fillId="7" borderId="0" xfId="0" applyNumberFormat="1" applyFill="1" applyBorder="1"/>
    <xf numFmtId="4" fontId="0" fillId="7" borderId="5" xfId="0" applyNumberFormat="1" applyFill="1" applyBorder="1"/>
    <xf numFmtId="166" fontId="0" fillId="7" borderId="4" xfId="1" applyNumberFormat="1" applyFont="1" applyFill="1" applyBorder="1"/>
    <xf numFmtId="10" fontId="0" fillId="7" borderId="5" xfId="2" applyNumberFormat="1" applyFont="1" applyFill="1" applyBorder="1"/>
    <xf numFmtId="10" fontId="0" fillId="7" borderId="0" xfId="2" applyNumberFormat="1" applyFont="1" applyFill="1" applyBorder="1"/>
    <xf numFmtId="166" fontId="0" fillId="7" borderId="5" xfId="1" applyNumberFormat="1" applyFont="1" applyFill="1" applyBorder="1"/>
    <xf numFmtId="166" fontId="0" fillId="7" borderId="31" xfId="1" applyNumberFormat="1" applyFont="1" applyFill="1" applyBorder="1"/>
    <xf numFmtId="166" fontId="0" fillId="7" borderId="0" xfId="0" applyNumberFormat="1" applyFill="1" applyBorder="1"/>
    <xf numFmtId="166" fontId="0" fillId="7" borderId="0" xfId="1" applyNumberFormat="1" applyFont="1" applyFill="1" applyBorder="1"/>
    <xf numFmtId="166" fontId="0" fillId="7" borderId="5" xfId="0" applyNumberFormat="1" applyFill="1" applyBorder="1"/>
    <xf numFmtId="10" fontId="0" fillId="0" borderId="0" xfId="0" applyNumberFormat="1"/>
    <xf numFmtId="168" fontId="0" fillId="3" borderId="16" xfId="2" applyNumberFormat="1" applyFont="1" applyFill="1" applyBorder="1"/>
    <xf numFmtId="168" fontId="1" fillId="5" borderId="12" xfId="2" applyNumberFormat="1" applyFont="1" applyFill="1" applyBorder="1" applyAlignment="1">
      <alignment horizontal="center"/>
    </xf>
    <xf numFmtId="0" fontId="17" fillId="0" borderId="0" xfId="0" applyFont="1" applyBorder="1"/>
    <xf numFmtId="169" fontId="27" fillId="0" borderId="0" xfId="0" applyNumberFormat="1" applyFont="1" applyBorder="1"/>
    <xf numFmtId="0" fontId="17" fillId="0" borderId="0" xfId="0" applyFont="1"/>
    <xf numFmtId="0" fontId="28" fillId="2" borderId="0" xfId="0" applyFont="1" applyFill="1" applyBorder="1" applyAlignment="1">
      <alignment horizontal="center" vertical="center" wrapText="1"/>
    </xf>
    <xf numFmtId="0" fontId="28" fillId="0" borderId="0" xfId="0" applyFont="1" applyAlignment="1">
      <alignment horizontal="center"/>
    </xf>
    <xf numFmtId="168" fontId="0" fillId="0" borderId="0" xfId="2" applyNumberFormat="1" applyFont="1" applyBorder="1"/>
    <xf numFmtId="0" fontId="17" fillId="0" borderId="4" xfId="0" applyFont="1" applyBorder="1" applyAlignment="1">
      <alignment vertical="top"/>
    </xf>
    <xf numFmtId="10" fontId="0" fillId="0" borderId="0" xfId="2" applyNumberFormat="1" applyFont="1"/>
    <xf numFmtId="10" fontId="29" fillId="5" borderId="8" xfId="2" applyNumberFormat="1" applyFont="1" applyFill="1" applyBorder="1"/>
    <xf numFmtId="1" fontId="10" fillId="8" borderId="16" xfId="0" applyNumberFormat="1" applyFont="1" applyFill="1" applyBorder="1"/>
    <xf numFmtId="0" fontId="19" fillId="7" borderId="23" xfId="0" applyFont="1" applyFill="1" applyBorder="1" applyAlignment="1">
      <alignment horizontal="center" wrapText="1"/>
    </xf>
    <xf numFmtId="174" fontId="30" fillId="0" borderId="0" xfId="0" applyNumberFormat="1" applyFont="1"/>
    <xf numFmtId="0" fontId="28" fillId="0" borderId="0" xfId="0" applyFont="1"/>
    <xf numFmtId="0" fontId="0" fillId="5" borderId="5" xfId="2" applyNumberFormat="1" applyFont="1" applyFill="1" applyBorder="1"/>
    <xf numFmtId="169" fontId="17" fillId="0" borderId="0" xfId="0" applyNumberFormat="1" applyFont="1" applyBorder="1"/>
    <xf numFmtId="175" fontId="0" fillId="5" borderId="5" xfId="1" applyNumberFormat="1" applyFont="1" applyFill="1" applyBorder="1"/>
    <xf numFmtId="0" fontId="0" fillId="2" borderId="0" xfId="0" applyFill="1" applyBorder="1" applyAlignment="1">
      <alignment horizontal="left" wrapText="1"/>
    </xf>
    <xf numFmtId="0" fontId="0" fillId="2" borderId="0" xfId="0" applyFill="1" applyBorder="1" applyAlignment="1">
      <alignment horizontal="left"/>
    </xf>
    <xf numFmtId="0" fontId="0" fillId="2" borderId="7" xfId="0" applyFill="1" applyBorder="1" applyAlignment="1">
      <alignment horizontal="left"/>
    </xf>
    <xf numFmtId="0" fontId="20" fillId="2" borderId="0" xfId="0" applyFont="1" applyFill="1" applyBorder="1" applyAlignment="1">
      <alignment horizontal="center"/>
    </xf>
    <xf numFmtId="0" fontId="0" fillId="2" borderId="10" xfId="0" applyFill="1" applyBorder="1" applyAlignment="1">
      <alignment horizontal="left" vertical="center"/>
    </xf>
    <xf numFmtId="0" fontId="0" fillId="2" borderId="0" xfId="0" applyFill="1" applyBorder="1" applyAlignment="1">
      <alignment horizontal="left" vertical="center"/>
    </xf>
    <xf numFmtId="0" fontId="23" fillId="9" borderId="0" xfId="0" applyFont="1" applyFill="1" applyBorder="1" applyAlignment="1">
      <alignment horizontal="center" vertical="center" wrapText="1"/>
    </xf>
    <xf numFmtId="0" fontId="0" fillId="2" borderId="0" xfId="0" applyFill="1" applyBorder="1" applyAlignment="1">
      <alignment horizontal="center"/>
    </xf>
    <xf numFmtId="0" fontId="20" fillId="2" borderId="0" xfId="0" applyFont="1" applyFill="1" applyBorder="1" applyAlignment="1">
      <alignment horizontal="center" vertical="center"/>
    </xf>
    <xf numFmtId="0" fontId="0" fillId="2" borderId="23" xfId="0" applyFill="1" applyBorder="1" applyAlignment="1">
      <alignment horizontal="left" vertical="center" wrapText="1"/>
    </xf>
    <xf numFmtId="0" fontId="0" fillId="2" borderId="24" xfId="0" applyFill="1" applyBorder="1" applyAlignment="1">
      <alignment horizontal="left" vertical="center" wrapText="1"/>
    </xf>
    <xf numFmtId="0" fontId="0" fillId="2" borderId="25" xfId="0" applyFill="1" applyBorder="1" applyAlignment="1">
      <alignment horizontal="left" vertical="center" wrapText="1"/>
    </xf>
    <xf numFmtId="0" fontId="10" fillId="7" borderId="45" xfId="0" applyFont="1" applyFill="1" applyBorder="1" applyAlignment="1">
      <alignment horizontal="left" vertical="top" wrapText="1"/>
    </xf>
    <xf numFmtId="0" fontId="10" fillId="7" borderId="42" xfId="0" applyFont="1" applyFill="1" applyBorder="1" applyAlignment="1">
      <alignment horizontal="left" vertical="top" wrapText="1"/>
    </xf>
    <xf numFmtId="0" fontId="10" fillId="7" borderId="4" xfId="0" applyFont="1" applyFill="1" applyBorder="1" applyAlignment="1">
      <alignment horizontal="left" vertical="top" wrapText="1"/>
    </xf>
    <xf numFmtId="0" fontId="10" fillId="7" borderId="5" xfId="0" applyFont="1" applyFill="1" applyBorder="1" applyAlignment="1">
      <alignment horizontal="left" vertical="top" wrapText="1"/>
    </xf>
    <xf numFmtId="0" fontId="10" fillId="7" borderId="6" xfId="0" applyFont="1" applyFill="1" applyBorder="1" applyAlignment="1">
      <alignment horizontal="left" vertical="top" wrapText="1"/>
    </xf>
    <xf numFmtId="0" fontId="10" fillId="7" borderId="8" xfId="0" applyFont="1" applyFill="1" applyBorder="1" applyAlignment="1">
      <alignment horizontal="left" vertical="top" wrapText="1"/>
    </xf>
    <xf numFmtId="0" fontId="1" fillId="7" borderId="40" xfId="0" applyFont="1" applyFill="1" applyBorder="1" applyAlignment="1">
      <alignment horizontal="center"/>
    </xf>
    <xf numFmtId="0" fontId="1" fillId="7" borderId="14" xfId="0" applyFont="1" applyFill="1" applyBorder="1" applyAlignment="1">
      <alignment horizontal="center"/>
    </xf>
    <xf numFmtId="0" fontId="5" fillId="0" borderId="12" xfId="3" applyBorder="1" applyAlignment="1">
      <alignment horizontal="left"/>
    </xf>
    <xf numFmtId="0" fontId="0" fillId="0" borderId="12" xfId="0" applyBorder="1" applyAlignment="1">
      <alignment horizontal="left"/>
    </xf>
    <xf numFmtId="0" fontId="0" fillId="0" borderId="16" xfId="0" applyBorder="1" applyAlignment="1">
      <alignment horizontal="left"/>
    </xf>
    <xf numFmtId="0" fontId="5" fillId="0" borderId="18" xfId="3"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2" fillId="7" borderId="13" xfId="0" applyFont="1" applyFill="1" applyBorder="1" applyAlignment="1">
      <alignment horizontal="center" vertical="center"/>
    </xf>
    <xf numFmtId="0" fontId="2" fillId="7" borderId="40" xfId="0" applyFont="1" applyFill="1" applyBorder="1" applyAlignment="1">
      <alignment horizontal="center" vertical="center"/>
    </xf>
    <xf numFmtId="0" fontId="2" fillId="7" borderId="14" xfId="0" applyFont="1" applyFill="1" applyBorder="1" applyAlignment="1">
      <alignment horizontal="center" vertical="center"/>
    </xf>
    <xf numFmtId="0" fontId="2" fillId="7" borderId="23" xfId="0" applyFont="1" applyFill="1" applyBorder="1" applyAlignment="1">
      <alignment horizontal="center"/>
    </xf>
    <xf numFmtId="0" fontId="2" fillId="7" borderId="24" xfId="0" applyFont="1" applyFill="1" applyBorder="1" applyAlignment="1">
      <alignment horizontal="center"/>
    </xf>
    <xf numFmtId="0" fontId="2" fillId="7" borderId="25" xfId="0" applyFont="1" applyFill="1" applyBorder="1" applyAlignment="1">
      <alignment horizontal="center"/>
    </xf>
    <xf numFmtId="0" fontId="2" fillId="7" borderId="1" xfId="0" applyFont="1" applyFill="1" applyBorder="1" applyAlignment="1">
      <alignment horizontal="center" vertical="center" wrapText="1"/>
    </xf>
    <xf numFmtId="0" fontId="2" fillId="7" borderId="2" xfId="0" applyFont="1" applyFill="1" applyBorder="1" applyAlignment="1">
      <alignment horizontal="center" vertical="center" wrapText="1"/>
    </xf>
    <xf numFmtId="10" fontId="0" fillId="8" borderId="4" xfId="2" applyNumberFormat="1" applyFont="1" applyFill="1" applyBorder="1" applyAlignment="1">
      <alignment horizontal="left"/>
    </xf>
    <xf numFmtId="10" fontId="0" fillId="8" borderId="0" xfId="2" applyNumberFormat="1" applyFont="1" applyFill="1" applyBorder="1" applyAlignment="1">
      <alignment horizontal="left"/>
    </xf>
    <xf numFmtId="0" fontId="0" fillId="7" borderId="4" xfId="0" applyFill="1" applyBorder="1" applyAlignment="1">
      <alignment horizontal="left" vertical="top" wrapText="1"/>
    </xf>
    <xf numFmtId="0" fontId="0" fillId="7" borderId="0" xfId="0" applyFill="1" applyBorder="1" applyAlignment="1">
      <alignment horizontal="left" vertical="top" wrapText="1"/>
    </xf>
    <xf numFmtId="0" fontId="0" fillId="7" borderId="5" xfId="0" applyFill="1" applyBorder="1" applyAlignment="1">
      <alignment horizontal="left" vertical="top" wrapText="1"/>
    </xf>
    <xf numFmtId="0" fontId="0" fillId="7" borderId="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2" fillId="7" borderId="37" xfId="0" applyFont="1" applyFill="1" applyBorder="1" applyAlignment="1">
      <alignment horizontal="left" wrapText="1"/>
    </xf>
    <xf numFmtId="0" fontId="2" fillId="7" borderId="39" xfId="0" applyFont="1" applyFill="1" applyBorder="1" applyAlignment="1">
      <alignment horizontal="left" wrapText="1"/>
    </xf>
    <xf numFmtId="0" fontId="2" fillId="7" borderId="37" xfId="0" applyFont="1" applyFill="1" applyBorder="1" applyAlignment="1">
      <alignment horizontal="left" vertical="center"/>
    </xf>
    <xf numFmtId="0" fontId="2" fillId="7" borderId="39" xfId="0" applyFont="1" applyFill="1" applyBorder="1" applyAlignment="1">
      <alignment horizontal="left" vertical="center"/>
    </xf>
    <xf numFmtId="0" fontId="2" fillId="7" borderId="13" xfId="0" applyFont="1" applyFill="1" applyBorder="1" applyAlignment="1">
      <alignment horizontal="center" vertical="center" wrapText="1"/>
    </xf>
    <xf numFmtId="0" fontId="2" fillId="7" borderId="14" xfId="0" applyFont="1" applyFill="1" applyBorder="1" applyAlignment="1">
      <alignment horizontal="center" vertical="center" wrapText="1"/>
    </xf>
    <xf numFmtId="0" fontId="21" fillId="9" borderId="0" xfId="0" applyFont="1" applyFill="1" applyAlignment="1">
      <alignment horizontal="center"/>
    </xf>
    <xf numFmtId="0" fontId="4" fillId="7" borderId="13" xfId="0" applyFont="1" applyFill="1" applyBorder="1" applyAlignment="1">
      <alignment horizontal="center"/>
    </xf>
    <xf numFmtId="0" fontId="4" fillId="7" borderId="40" xfId="0" applyFont="1" applyFill="1" applyBorder="1" applyAlignment="1">
      <alignment horizontal="center"/>
    </xf>
    <xf numFmtId="0" fontId="4" fillId="7" borderId="14" xfId="0" applyFont="1" applyFill="1" applyBorder="1" applyAlignment="1">
      <alignment horizontal="center"/>
    </xf>
    <xf numFmtId="0" fontId="0" fillId="7" borderId="15" xfId="0" applyFill="1" applyBorder="1" applyAlignment="1">
      <alignment horizontal="center"/>
    </xf>
    <xf numFmtId="0" fontId="0" fillId="7" borderId="12" xfId="0" applyFill="1" applyBorder="1" applyAlignment="1">
      <alignment horizontal="center"/>
    </xf>
    <xf numFmtId="0" fontId="0" fillId="7" borderId="16" xfId="0" applyFill="1" applyBorder="1" applyAlignment="1">
      <alignment horizontal="center"/>
    </xf>
    <xf numFmtId="0" fontId="2" fillId="7" borderId="13" xfId="0" applyFont="1" applyFill="1" applyBorder="1" applyAlignment="1">
      <alignment horizontal="center"/>
    </xf>
    <xf numFmtId="0" fontId="2" fillId="7" borderId="40" xfId="0" applyFont="1" applyFill="1" applyBorder="1" applyAlignment="1">
      <alignment horizontal="center"/>
    </xf>
    <xf numFmtId="0" fontId="2" fillId="7" borderId="14" xfId="0" applyFont="1" applyFill="1" applyBorder="1" applyAlignment="1">
      <alignment horizontal="center"/>
    </xf>
    <xf numFmtId="0" fontId="0" fillId="8" borderId="18" xfId="0" applyFill="1" applyBorder="1" applyAlignment="1">
      <alignment horizontal="left"/>
    </xf>
    <xf numFmtId="0" fontId="0" fillId="8" borderId="19" xfId="0" applyFill="1" applyBorder="1" applyAlignment="1">
      <alignment horizontal="left"/>
    </xf>
    <xf numFmtId="0" fontId="4" fillId="7" borderId="37" xfId="0" applyFont="1" applyFill="1" applyBorder="1" applyAlignment="1">
      <alignment horizontal="center"/>
    </xf>
    <xf numFmtId="0" fontId="4" fillId="7" borderId="38" xfId="0" applyFont="1" applyFill="1" applyBorder="1" applyAlignment="1">
      <alignment horizontal="center"/>
    </xf>
    <xf numFmtId="0" fontId="4" fillId="7" borderId="39" xfId="0" applyFont="1" applyFill="1" applyBorder="1" applyAlignment="1">
      <alignment horizontal="center"/>
    </xf>
    <xf numFmtId="0" fontId="0" fillId="7" borderId="34" xfId="0" applyFill="1" applyBorder="1" applyAlignment="1">
      <alignment horizontal="center" wrapText="1"/>
    </xf>
    <xf numFmtId="0" fontId="0" fillId="7" borderId="21" xfId="0" applyFill="1" applyBorder="1" applyAlignment="1">
      <alignment horizontal="center" wrapText="1"/>
    </xf>
    <xf numFmtId="0" fontId="0" fillId="7" borderId="35" xfId="0" applyFill="1" applyBorder="1" applyAlignment="1">
      <alignment horizontal="center" wrapText="1"/>
    </xf>
    <xf numFmtId="0" fontId="0" fillId="7" borderId="23" xfId="0" applyFill="1" applyBorder="1" applyAlignment="1">
      <alignment horizontal="left"/>
    </xf>
    <xf numFmtId="0" fontId="0" fillId="7" borderId="24" xfId="0" applyFill="1" applyBorder="1" applyAlignment="1">
      <alignment horizontal="left"/>
    </xf>
    <xf numFmtId="0" fontId="0" fillId="7" borderId="25" xfId="0" applyFill="1" applyBorder="1" applyAlignment="1">
      <alignment horizontal="left"/>
    </xf>
    <xf numFmtId="0" fontId="0" fillId="7" borderId="1" xfId="0" applyFill="1" applyBorder="1" applyAlignment="1">
      <alignment horizontal="left" vertical="top" wrapText="1"/>
    </xf>
    <xf numFmtId="0" fontId="0" fillId="7" borderId="3" xfId="0" applyFill="1" applyBorder="1" applyAlignment="1">
      <alignment horizontal="left" vertical="top" wrapText="1"/>
    </xf>
    <xf numFmtId="10" fontId="0" fillId="8" borderId="4" xfId="2" applyNumberFormat="1" applyFont="1" applyFill="1" applyBorder="1" applyAlignment="1">
      <alignment horizontal="left" wrapText="1"/>
    </xf>
    <xf numFmtId="10" fontId="0" fillId="8" borderId="0" xfId="2" applyNumberFormat="1" applyFont="1" applyFill="1" applyBorder="1" applyAlignment="1">
      <alignment horizontal="left" wrapText="1"/>
    </xf>
    <xf numFmtId="0" fontId="4" fillId="7" borderId="22" xfId="0" applyFont="1" applyFill="1" applyBorder="1" applyAlignment="1">
      <alignment horizontal="left"/>
    </xf>
    <xf numFmtId="0" fontId="4" fillId="7" borderId="0" xfId="0" applyFont="1" applyFill="1" applyBorder="1" applyAlignment="1">
      <alignment horizontal="left"/>
    </xf>
    <xf numFmtId="0" fontId="2" fillId="7" borderId="12" xfId="0" applyFont="1" applyFill="1" applyBorder="1" applyAlignment="1">
      <alignment horizontal="center" wrapText="1"/>
    </xf>
    <xf numFmtId="0" fontId="18" fillId="9" borderId="0" xfId="0" applyFont="1" applyFill="1" applyAlignment="1">
      <alignment horizontal="center"/>
    </xf>
    <xf numFmtId="0" fontId="9" fillId="7" borderId="23" xfId="0" applyFont="1" applyFill="1" applyBorder="1" applyAlignment="1">
      <alignment horizontal="center"/>
    </xf>
    <xf numFmtId="0" fontId="9" fillId="7" borderId="25" xfId="0" applyFont="1" applyFill="1" applyBorder="1" applyAlignment="1">
      <alignment horizontal="center"/>
    </xf>
    <xf numFmtId="0" fontId="4" fillId="7" borderId="23" xfId="0" applyFont="1" applyFill="1" applyBorder="1" applyAlignment="1">
      <alignment horizontal="center"/>
    </xf>
    <xf numFmtId="0" fontId="4" fillId="7" borderId="24" xfId="0" applyFont="1" applyFill="1" applyBorder="1" applyAlignment="1">
      <alignment horizontal="center"/>
    </xf>
    <xf numFmtId="0" fontId="4" fillId="7" borderId="25" xfId="0" applyFont="1" applyFill="1" applyBorder="1" applyAlignment="1">
      <alignment horizontal="center"/>
    </xf>
    <xf numFmtId="3" fontId="0" fillId="5" borderId="7" xfId="1" applyNumberFormat="1" applyFont="1" applyFill="1" applyBorder="1" applyAlignment="1">
      <alignment horizontal="left" vertical="center" wrapText="1"/>
    </xf>
    <xf numFmtId="3" fontId="0" fillId="5" borderId="8" xfId="1" applyNumberFormat="1" applyFont="1" applyFill="1" applyBorder="1" applyAlignment="1">
      <alignment horizontal="left" vertical="center" wrapText="1"/>
    </xf>
    <xf numFmtId="0" fontId="2" fillId="7" borderId="1" xfId="0" applyFont="1" applyFill="1" applyBorder="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0" fontId="0" fillId="5" borderId="2" xfId="0" applyFont="1" applyFill="1" applyBorder="1" applyAlignment="1">
      <alignment horizontal="left" vertical="center" wrapText="1"/>
    </xf>
    <xf numFmtId="0" fontId="0" fillId="5" borderId="3" xfId="0" applyFont="1" applyFill="1" applyBorder="1" applyAlignment="1">
      <alignment horizontal="left" vertical="center" wrapText="1"/>
    </xf>
    <xf numFmtId="0" fontId="10" fillId="7" borderId="4" xfId="0" applyFont="1" applyFill="1" applyBorder="1" applyAlignment="1">
      <alignment horizontal="left" wrapText="1"/>
    </xf>
    <xf numFmtId="0" fontId="10" fillId="7" borderId="0" xfId="0" applyFont="1" applyFill="1" applyBorder="1" applyAlignment="1">
      <alignment horizontal="left" wrapText="1"/>
    </xf>
    <xf numFmtId="0" fontId="2" fillId="7" borderId="1" xfId="0" applyFont="1" applyFill="1" applyBorder="1" applyAlignment="1">
      <alignment horizontal="center" wrapText="1"/>
    </xf>
    <xf numFmtId="0" fontId="2" fillId="7" borderId="3" xfId="0" applyFont="1" applyFill="1" applyBorder="1" applyAlignment="1">
      <alignment horizontal="center" wrapText="1"/>
    </xf>
    <xf numFmtId="0" fontId="0" fillId="7" borderId="1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7" borderId="9" xfId="0" applyFont="1" applyFill="1" applyBorder="1" applyAlignment="1">
      <alignment horizontal="center" vertical="center" wrapText="1"/>
    </xf>
    <xf numFmtId="3" fontId="0" fillId="5" borderId="12" xfId="1" applyNumberFormat="1" applyFont="1" applyFill="1" applyBorder="1" applyAlignment="1">
      <alignment horizontal="center"/>
    </xf>
    <xf numFmtId="10" fontId="0" fillId="5" borderId="12" xfId="2" applyNumberFormat="1" applyFont="1" applyFill="1" applyBorder="1" applyAlignment="1">
      <alignment horizontal="center" vertical="center" wrapText="1"/>
    </xf>
    <xf numFmtId="0" fontId="2" fillId="7" borderId="23" xfId="0" applyFont="1" applyFill="1" applyBorder="1" applyAlignment="1">
      <alignment horizontal="center" wrapText="1"/>
    </xf>
    <xf numFmtId="0" fontId="2" fillId="7" borderId="24" xfId="0" applyFont="1" applyFill="1" applyBorder="1" applyAlignment="1">
      <alignment horizontal="center" wrapText="1"/>
    </xf>
    <xf numFmtId="0" fontId="2" fillId="7" borderId="25" xfId="0" applyFont="1" applyFill="1" applyBorder="1" applyAlignment="1">
      <alignment horizontal="center" wrapText="1"/>
    </xf>
    <xf numFmtId="0" fontId="4" fillId="7" borderId="23" xfId="0" applyFont="1" applyFill="1" applyBorder="1" applyAlignment="1">
      <alignment horizontal="center" wrapText="1"/>
    </xf>
    <xf numFmtId="0" fontId="4" fillId="7" borderId="24" xfId="0" applyFont="1" applyFill="1" applyBorder="1" applyAlignment="1">
      <alignment horizontal="center" wrapText="1"/>
    </xf>
    <xf numFmtId="0" fontId="4" fillId="7" borderId="25" xfId="0" applyFont="1" applyFill="1" applyBorder="1" applyAlignment="1">
      <alignment horizontal="center" wrapText="1"/>
    </xf>
    <xf numFmtId="0" fontId="0" fillId="3" borderId="0" xfId="0" applyFill="1" applyBorder="1" applyAlignment="1">
      <alignment horizontal="left" wrapText="1"/>
    </xf>
    <xf numFmtId="0" fontId="0" fillId="3" borderId="5" xfId="0" applyFill="1" applyBorder="1" applyAlignment="1">
      <alignment horizontal="left" wrapText="1"/>
    </xf>
    <xf numFmtId="0" fontId="1" fillId="7" borderId="1"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0" fillId="3" borderId="7" xfId="0" applyFill="1" applyBorder="1" applyAlignment="1">
      <alignment horizontal="left" wrapText="1"/>
    </xf>
    <xf numFmtId="0" fontId="0" fillId="3" borderId="8" xfId="0" applyFill="1" applyBorder="1" applyAlignment="1">
      <alignment horizontal="left" wrapText="1"/>
    </xf>
    <xf numFmtId="0" fontId="26" fillId="3" borderId="0" xfId="0" applyFont="1" applyFill="1" applyBorder="1" applyAlignment="1">
      <alignment horizontal="left" wrapText="1"/>
    </xf>
    <xf numFmtId="0" fontId="26" fillId="3" borderId="5" xfId="0" applyFont="1" applyFill="1" applyBorder="1" applyAlignment="1">
      <alignment horizontal="left" wrapText="1"/>
    </xf>
    <xf numFmtId="0" fontId="1" fillId="7" borderId="24" xfId="0" applyFont="1" applyFill="1" applyBorder="1" applyAlignment="1">
      <alignment horizontal="center" vertical="center"/>
    </xf>
    <xf numFmtId="0" fontId="1" fillId="7" borderId="25" xfId="0" applyFont="1" applyFill="1" applyBorder="1" applyAlignment="1">
      <alignment horizontal="center" vertical="center"/>
    </xf>
    <xf numFmtId="0" fontId="1" fillId="7" borderId="23" xfId="0" applyFont="1" applyFill="1" applyBorder="1" applyAlignment="1">
      <alignment horizontal="center" wrapText="1"/>
    </xf>
    <xf numFmtId="0" fontId="1" fillId="7" borderId="24" xfId="0" applyFont="1" applyFill="1" applyBorder="1" applyAlignment="1">
      <alignment horizontal="center" wrapText="1"/>
    </xf>
    <xf numFmtId="0" fontId="1" fillId="7" borderId="25" xfId="0" applyFont="1" applyFill="1" applyBorder="1" applyAlignment="1">
      <alignment horizontal="center" wrapText="1"/>
    </xf>
    <xf numFmtId="0" fontId="0" fillId="3" borderId="2" xfId="0" applyFill="1" applyBorder="1" applyAlignment="1">
      <alignment horizontal="left" wrapText="1"/>
    </xf>
    <xf numFmtId="0" fontId="0" fillId="3" borderId="3" xfId="0" applyFill="1" applyBorder="1" applyAlignment="1">
      <alignment horizontal="left" wrapText="1"/>
    </xf>
    <xf numFmtId="0" fontId="5" fillId="3" borderId="0" xfId="3" applyFill="1" applyBorder="1" applyAlignment="1">
      <alignment horizontal="left" wrapText="1"/>
    </xf>
    <xf numFmtId="0" fontId="2" fillId="7" borderId="23" xfId="0" applyFont="1" applyFill="1" applyBorder="1" applyAlignment="1">
      <alignment horizontal="center" vertical="center" wrapText="1"/>
    </xf>
    <xf numFmtId="0" fontId="2" fillId="7" borderId="24" xfId="0" applyFont="1" applyFill="1" applyBorder="1" applyAlignment="1">
      <alignment horizontal="center" vertical="center" wrapText="1"/>
    </xf>
    <xf numFmtId="0" fontId="2" fillId="7" borderId="25"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7" borderId="8" xfId="0" applyFont="1" applyFill="1" applyBorder="1" applyAlignment="1">
      <alignment horizontal="center" vertical="center"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Densidad</a:t>
            </a:r>
            <a:r>
              <a:rPr lang="en-US" b="1" baseline="0"/>
              <a:t> poblacional</a:t>
            </a:r>
          </a:p>
          <a:p>
            <a:pPr>
              <a:defRPr/>
            </a:pPr>
            <a:r>
              <a:rPr lang="en-US" sz="1100" baseline="0"/>
              <a:t>(hab/ha)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Resultados!$C$49</c:f>
              <c:strCache>
                <c:ptCount val="1"/>
                <c:pt idx="0">
                  <c:v>Línea base (normalmente promedio en la ciudad)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Resultados!$B$50</c:f>
              <c:strCache>
                <c:ptCount val="1"/>
                <c:pt idx="0">
                  <c:v>Densidad Poblacional (hab/ha)</c:v>
                </c:pt>
              </c:strCache>
            </c:strRef>
          </c:cat>
          <c:val>
            <c:numRef>
              <c:f>Resultados!$C$50</c:f>
              <c:numCache>
                <c:formatCode>0.00</c:formatCode>
                <c:ptCount val="1"/>
                <c:pt idx="0">
                  <c:v>0</c:v>
                </c:pt>
              </c:numCache>
            </c:numRef>
          </c:val>
          <c:extLst>
            <c:ext xmlns:c16="http://schemas.microsoft.com/office/drawing/2014/chart" uri="{C3380CC4-5D6E-409C-BE32-E72D297353CC}">
              <c16:uniqueId val="{00000000-F52C-4BBD-822D-814A5A88AD6B}"/>
            </c:ext>
          </c:extLst>
        </c:ser>
        <c:ser>
          <c:idx val="1"/>
          <c:order val="1"/>
          <c:tx>
            <c:strRef>
              <c:f>Resultados!$D$49</c:f>
              <c:strCache>
                <c:ptCount val="1"/>
                <c:pt idx="0">
                  <c:v>Zona DOT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Resultados!$B$50</c:f>
              <c:strCache>
                <c:ptCount val="1"/>
                <c:pt idx="0">
                  <c:v>Densidad Poblacional (hab/ha)</c:v>
                </c:pt>
              </c:strCache>
            </c:strRef>
          </c:cat>
          <c:val>
            <c:numRef>
              <c:f>Resultados!$D$50</c:f>
              <c:numCache>
                <c:formatCode>0</c:formatCode>
                <c:ptCount val="1"/>
                <c:pt idx="0">
                  <c:v>0</c:v>
                </c:pt>
              </c:numCache>
            </c:numRef>
          </c:val>
          <c:extLst>
            <c:ext xmlns:c16="http://schemas.microsoft.com/office/drawing/2014/chart" uri="{C3380CC4-5D6E-409C-BE32-E72D297353CC}">
              <c16:uniqueId val="{00000001-F52C-4BBD-822D-814A5A88AD6B}"/>
            </c:ext>
          </c:extLst>
        </c:ser>
        <c:dLbls>
          <c:dLblPos val="outEnd"/>
          <c:showLegendKey val="0"/>
          <c:showVal val="1"/>
          <c:showCatName val="0"/>
          <c:showSerName val="0"/>
          <c:showPercent val="0"/>
          <c:showBubbleSize val="0"/>
        </c:dLbls>
        <c:gapWidth val="219"/>
        <c:overlap val="-27"/>
        <c:axId val="2120678560"/>
        <c:axId val="2118779152"/>
      </c:barChart>
      <c:catAx>
        <c:axId val="2120678560"/>
        <c:scaling>
          <c:orientation val="minMax"/>
        </c:scaling>
        <c:delete val="1"/>
        <c:axPos val="b"/>
        <c:numFmt formatCode="General" sourceLinked="1"/>
        <c:majorTickMark val="none"/>
        <c:minorTickMark val="none"/>
        <c:tickLblPos val="nextTo"/>
        <c:crossAx val="2118779152"/>
        <c:crosses val="autoZero"/>
        <c:auto val="1"/>
        <c:lblAlgn val="ctr"/>
        <c:lblOffset val="100"/>
        <c:noMultiLvlLbl val="0"/>
      </c:catAx>
      <c:valAx>
        <c:axId val="2118779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678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Cambios</a:t>
            </a:r>
            <a:r>
              <a:rPr lang="en-US" b="1" baseline="0"/>
              <a:t> en distribuci</a:t>
            </a:r>
            <a:r>
              <a:rPr lang="es-ES" b="1" baseline="0"/>
              <a:t>ón modal</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6485992908674998E-2"/>
          <c:y val="0.11124356496648"/>
          <c:w val="0.94816598582869105"/>
          <c:h val="0.64598677801166604"/>
        </c:manualLayout>
      </c:layout>
      <c:barChart>
        <c:barDir val="col"/>
        <c:grouping val="clustered"/>
        <c:varyColors val="0"/>
        <c:ser>
          <c:idx val="0"/>
          <c:order val="0"/>
          <c:tx>
            <c:strRef>
              <c:f>Resultados!$C$60</c:f>
              <c:strCache>
                <c:ptCount val="1"/>
                <c:pt idx="0">
                  <c:v>Distribución modal en la línea base </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C124-4162-83DE-856F553F0A10}"/>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C124-4162-83DE-856F553F0A10}"/>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C124-4162-83DE-856F553F0A10}"/>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C124-4162-83DE-856F553F0A10}"/>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C124-4162-83DE-856F553F0A10}"/>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C124-4162-83DE-856F553F0A10}"/>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C124-4162-83DE-856F553F0A10}"/>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C124-4162-83DE-856F553F0A10}"/>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6969-418F-A184-25C923C469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Resultados!$B$61:$B$69</c:f>
              <c:strCache>
                <c:ptCount val="9"/>
                <c:pt idx="0">
                  <c:v>Motocicleta</c:v>
                </c:pt>
                <c:pt idx="1">
                  <c:v>Automóvil particular</c:v>
                </c:pt>
                <c:pt idx="2">
                  <c:v>Taxi</c:v>
                </c:pt>
                <c:pt idx="3">
                  <c:v>Camioneta particular</c:v>
                </c:pt>
                <c:pt idx="4">
                  <c:v>Microbús transporte público -  Gasolina</c:v>
                </c:pt>
                <c:pt idx="5">
                  <c:v>Autobús transporte público -  Diésel</c:v>
                </c:pt>
                <c:pt idx="6">
                  <c:v>Sistema articulado (BRT)</c:v>
                </c:pt>
                <c:pt idx="7">
                  <c:v>Tren Ligero</c:v>
                </c:pt>
                <c:pt idx="8">
                  <c:v>Transporte no motorizado (peatón y bicicleta)</c:v>
                </c:pt>
              </c:strCache>
            </c:strRef>
          </c:cat>
          <c:val>
            <c:numRef>
              <c:f>Resultados!$C$61:$C$69</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6F5B-49CF-A036-3042DEB8F232}"/>
            </c:ext>
          </c:extLst>
        </c:ser>
        <c:ser>
          <c:idx val="1"/>
          <c:order val="1"/>
          <c:tx>
            <c:strRef>
              <c:f>Resultados!$D$60</c:f>
              <c:strCache>
                <c:ptCount val="1"/>
                <c:pt idx="0">
                  <c:v>Distribución modal esperada en Zona DOT</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Resultados!$B$61:$B$69</c:f>
              <c:strCache>
                <c:ptCount val="9"/>
                <c:pt idx="0">
                  <c:v>Motocicleta</c:v>
                </c:pt>
                <c:pt idx="1">
                  <c:v>Automóvil particular</c:v>
                </c:pt>
                <c:pt idx="2">
                  <c:v>Taxi</c:v>
                </c:pt>
                <c:pt idx="3">
                  <c:v>Camioneta particular</c:v>
                </c:pt>
                <c:pt idx="4">
                  <c:v>Microbús transporte público -  Gasolina</c:v>
                </c:pt>
                <c:pt idx="5">
                  <c:v>Autobús transporte público -  Diésel</c:v>
                </c:pt>
                <c:pt idx="6">
                  <c:v>Sistema articulado (BRT)</c:v>
                </c:pt>
                <c:pt idx="7">
                  <c:v>Tren Ligero</c:v>
                </c:pt>
                <c:pt idx="8">
                  <c:v>Transporte no motorizado (peatón y bicicleta)</c:v>
                </c:pt>
              </c:strCache>
            </c:strRef>
          </c:cat>
          <c:val>
            <c:numRef>
              <c:f>Resultados!$D$61:$D$69</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12-5F26-42B0-9055-3EFEDC906213}"/>
            </c:ext>
          </c:extLst>
        </c:ser>
        <c:dLbls>
          <c:dLblPos val="outEnd"/>
          <c:showLegendKey val="0"/>
          <c:showVal val="1"/>
          <c:showCatName val="0"/>
          <c:showSerName val="0"/>
          <c:showPercent val="0"/>
          <c:showBubbleSize val="0"/>
        </c:dLbls>
        <c:gapWidth val="100"/>
        <c:axId val="2117308704"/>
        <c:axId val="2117305360"/>
      </c:barChart>
      <c:catAx>
        <c:axId val="2117308704"/>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117305360"/>
        <c:crosses val="autoZero"/>
        <c:auto val="1"/>
        <c:lblAlgn val="ctr"/>
        <c:lblOffset val="100"/>
        <c:noMultiLvlLbl val="0"/>
      </c:catAx>
      <c:valAx>
        <c:axId val="2117305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308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Habitantes</a:t>
            </a:r>
            <a:r>
              <a:rPr lang="en-US" b="1" baseline="0"/>
              <a:t> </a:t>
            </a:r>
            <a:r>
              <a:rPr lang="en-US" b="1"/>
              <a:t>en zonas DOT esperados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Resultados!$D$79</c:f>
              <c:strCache>
                <c:ptCount val="1"/>
                <c:pt idx="0">
                  <c:v>Habitantes en zonas DOT</c:v>
                </c:pt>
              </c:strCache>
            </c:strRef>
          </c:tx>
          <c:spPr>
            <a:ln w="28575" cap="rnd">
              <a:solidFill>
                <a:schemeClr val="accent2"/>
              </a:solidFill>
              <a:round/>
            </a:ln>
            <a:effectLst/>
          </c:spPr>
          <c:marker>
            <c:symbol val="none"/>
          </c:marker>
          <c:cat>
            <c:numRef>
              <c:f>Resultados!$B$80:$B$95</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Resultados!$D$80:$D$95</c:f>
              <c:numCache>
                <c:formatCode>#,##0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10-06F1-4FFD-9F2D-3B662B054940}"/>
            </c:ext>
          </c:extLst>
        </c:ser>
        <c:dLbls>
          <c:showLegendKey val="0"/>
          <c:showVal val="0"/>
          <c:showCatName val="0"/>
          <c:showSerName val="0"/>
          <c:showPercent val="0"/>
          <c:showBubbleSize val="0"/>
        </c:dLbls>
        <c:smooth val="0"/>
        <c:axId val="2117276560"/>
        <c:axId val="2117273216"/>
      </c:lineChart>
      <c:catAx>
        <c:axId val="211727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273216"/>
        <c:crosses val="autoZero"/>
        <c:auto val="1"/>
        <c:lblAlgn val="ctr"/>
        <c:lblOffset val="100"/>
        <c:noMultiLvlLbl val="0"/>
      </c:catAx>
      <c:valAx>
        <c:axId val="2117273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276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Emisiones</a:t>
            </a:r>
            <a:r>
              <a:rPr lang="en-US" b="1" baseline="0"/>
              <a:t> de GEI Totales </a:t>
            </a:r>
          </a:p>
          <a:p>
            <a:pPr>
              <a:defRPr/>
            </a:pPr>
            <a:r>
              <a:rPr lang="en-US" baseline="0"/>
              <a:t>(miles de tonCO</a:t>
            </a:r>
            <a:r>
              <a:rPr lang="en-US" baseline="-25000"/>
              <a:t>2</a:t>
            </a:r>
            <a:r>
              <a:rPr lang="en-US" baseline="0"/>
              <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Resultados!$E$25</c:f>
              <c:strCache>
                <c:ptCount val="1"/>
                <c:pt idx="0">
                  <c:v>Emisiones de GEI totales implementando Zonas DOT (miles de tonCO2e) </c:v>
                </c:pt>
              </c:strCache>
            </c:strRef>
          </c:tx>
          <c:spPr>
            <a:solidFill>
              <a:schemeClr val="accent1"/>
            </a:solidFill>
            <a:ln>
              <a:noFill/>
            </a:ln>
            <a:effectLst/>
          </c:spPr>
          <c:cat>
            <c:numRef>
              <c:f>Resultados!$B$26:$B$41</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Resultados!$C$26:$C$41</c:f>
              <c:numCache>
                <c:formatCode>_-* #,##0.0_-;\-* #,##0.0_-;_-* "-"??_-;_-@_-</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3508-4859-AE61-8DE7D77C6CDC}"/>
            </c:ext>
          </c:extLst>
        </c:ser>
        <c:ser>
          <c:idx val="1"/>
          <c:order val="1"/>
          <c:tx>
            <c:strRef>
              <c:f>Resultados!$C$25</c:f>
              <c:strCache>
                <c:ptCount val="1"/>
                <c:pt idx="0">
                  <c:v>Emisiones de GEI totales en línea base (miles de tonCO2e) </c:v>
                </c:pt>
              </c:strCache>
            </c:strRef>
          </c:tx>
          <c:spPr>
            <a:solidFill>
              <a:schemeClr val="accent2"/>
            </a:solidFill>
            <a:ln>
              <a:noFill/>
            </a:ln>
            <a:effectLst/>
          </c:spPr>
          <c:cat>
            <c:numRef>
              <c:f>Resultados!$B$26:$B$41</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Resultados!$E$26:$E$41</c:f>
              <c:numCache>
                <c:formatCode>_-* #,##0.0_-;\-* #,##0.0_-;_-* "-"??_-;_-@_-</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3508-4859-AE61-8DE7D77C6CDC}"/>
            </c:ext>
          </c:extLst>
        </c:ser>
        <c:dLbls>
          <c:showLegendKey val="0"/>
          <c:showVal val="0"/>
          <c:showCatName val="0"/>
          <c:showSerName val="0"/>
          <c:showPercent val="0"/>
          <c:showBubbleSize val="0"/>
        </c:dLbls>
        <c:axId val="2120765824"/>
        <c:axId val="2120769152"/>
      </c:areaChart>
      <c:catAx>
        <c:axId val="2120765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769152"/>
        <c:crosses val="autoZero"/>
        <c:auto val="1"/>
        <c:lblAlgn val="ctr"/>
        <c:lblOffset val="100"/>
        <c:noMultiLvlLbl val="0"/>
      </c:catAx>
      <c:valAx>
        <c:axId val="2120769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7658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Emisiones</a:t>
            </a:r>
            <a:r>
              <a:rPr lang="en-US" b="1" baseline="0"/>
              <a:t> de Carbono Negro</a:t>
            </a:r>
          </a:p>
          <a:p>
            <a:pPr>
              <a:defRPr/>
            </a:pPr>
            <a:r>
              <a:rPr lang="en-US" baseline="0"/>
              <a:t>(miles de tonCO</a:t>
            </a:r>
            <a:r>
              <a:rPr lang="en-US" baseline="-25000"/>
              <a:t>2</a:t>
            </a:r>
            <a:r>
              <a:rPr lang="en-US" baseline="0"/>
              <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072420042046E-2"/>
          <c:y val="0.16201580869454699"/>
          <c:w val="0.90379020622644102"/>
          <c:h val="0.69908806860323602"/>
        </c:manualLayout>
      </c:layout>
      <c:areaChart>
        <c:grouping val="standard"/>
        <c:varyColors val="0"/>
        <c:ser>
          <c:idx val="0"/>
          <c:order val="0"/>
          <c:tx>
            <c:strRef>
              <c:f>Resultados!$F$25</c:f>
              <c:strCache>
                <c:ptCount val="1"/>
                <c:pt idx="0">
                  <c:v>Emisiones de Carbono Negro implementando Zonas DOT (miles de tonCO2e)</c:v>
                </c:pt>
              </c:strCache>
            </c:strRef>
          </c:tx>
          <c:spPr>
            <a:solidFill>
              <a:schemeClr val="accent1"/>
            </a:solidFill>
            <a:ln w="25400">
              <a:noFill/>
            </a:ln>
            <a:effectLst/>
          </c:spPr>
          <c:cat>
            <c:numRef>
              <c:f>Resultados!$B$26:$B$41</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Resultados!$D$26:$D$41</c:f>
              <c:numCache>
                <c:formatCode>_-* #,##0.0_-;\-* #,##0.0_-;_-* "-"??_-;_-@_-</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4C9E-4ECB-B9A7-D3D54DCECC23}"/>
            </c:ext>
          </c:extLst>
        </c:ser>
        <c:ser>
          <c:idx val="1"/>
          <c:order val="1"/>
          <c:tx>
            <c:strRef>
              <c:f>Resultados!$D$25</c:f>
              <c:strCache>
                <c:ptCount val="1"/>
                <c:pt idx="0">
                  <c:v>Emisiones de Carbono Negro en línea base (miles de tonCO2e)</c:v>
                </c:pt>
              </c:strCache>
            </c:strRef>
          </c:tx>
          <c:spPr>
            <a:solidFill>
              <a:schemeClr val="accent2"/>
            </a:solidFill>
            <a:ln w="25400">
              <a:noFill/>
            </a:ln>
            <a:effectLst/>
          </c:spPr>
          <c:cat>
            <c:numRef>
              <c:f>Resultados!$B$26:$B$41</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Resultados!$F$26:$F$41</c:f>
              <c:numCache>
                <c:formatCode>_-* #,##0.0_-;\-* #,##0.0_-;_-* "-"??_-;_-@_-</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4C9E-4ECB-B9A7-D3D54DCECC23}"/>
            </c:ext>
          </c:extLst>
        </c:ser>
        <c:dLbls>
          <c:showLegendKey val="0"/>
          <c:showVal val="0"/>
          <c:showCatName val="0"/>
          <c:showSerName val="0"/>
          <c:showPercent val="0"/>
          <c:showBubbleSize val="0"/>
        </c:dLbls>
        <c:axId val="2117218288"/>
        <c:axId val="2117214944"/>
      </c:areaChart>
      <c:catAx>
        <c:axId val="2117218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214944"/>
        <c:crosses val="autoZero"/>
        <c:auto val="1"/>
        <c:lblAlgn val="ctr"/>
        <c:lblOffset val="100"/>
        <c:noMultiLvlLbl val="0"/>
      </c:catAx>
      <c:valAx>
        <c:axId val="2117214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218288"/>
        <c:crosses val="autoZero"/>
        <c:crossBetween val="midCat"/>
      </c:valAx>
      <c:spPr>
        <a:noFill/>
        <a:ln>
          <a:noFill/>
        </a:ln>
        <a:effectLst/>
      </c:spPr>
    </c:plotArea>
    <c:legend>
      <c:legendPos val="b"/>
      <c:layout>
        <c:manualLayout>
          <c:xMode val="edge"/>
          <c:yMode val="edge"/>
          <c:x val="3.9188150101691202E-2"/>
          <c:y val="0.89758066225103195"/>
          <c:w val="0.94317678636408098"/>
          <c:h val="9.643868774178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b="1" baseline="0"/>
              <a:t>Índice de uso mixto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4380530253117097E-2"/>
          <c:y val="0.21501000921326999"/>
          <c:w val="0.89472574285753304"/>
          <c:h val="0.61991480029821699"/>
        </c:manualLayout>
      </c:layout>
      <c:barChart>
        <c:barDir val="col"/>
        <c:grouping val="clustered"/>
        <c:varyColors val="0"/>
        <c:ser>
          <c:idx val="2"/>
          <c:order val="0"/>
          <c:tx>
            <c:strRef>
              <c:f>Resultados!$C$49</c:f>
              <c:strCache>
                <c:ptCount val="1"/>
                <c:pt idx="0">
                  <c:v>Línea base (normalmente promedio en la ciudad)</c:v>
                </c:pt>
              </c:strCache>
            </c:strRef>
          </c:tx>
          <c:spPr>
            <a:solidFill>
              <a:schemeClr val="accent1"/>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Resultados!$B$51</c:f>
              <c:strCache>
                <c:ptCount val="1"/>
                <c:pt idx="0">
                  <c:v>Índice de Uso Mixto (adimensional)</c:v>
                </c:pt>
              </c:strCache>
            </c:strRef>
          </c:cat>
          <c:val>
            <c:numRef>
              <c:f>Resultados!$C$51</c:f>
              <c:numCache>
                <c:formatCode>0.00</c:formatCode>
                <c:ptCount val="1"/>
                <c:pt idx="0">
                  <c:v>0</c:v>
                </c:pt>
              </c:numCache>
            </c:numRef>
          </c:val>
          <c:extLst>
            <c:ext xmlns:c16="http://schemas.microsoft.com/office/drawing/2014/chart" uri="{C3380CC4-5D6E-409C-BE32-E72D297353CC}">
              <c16:uniqueId val="{00000000-EEAF-4E40-AC0B-AC6FBADE390C}"/>
            </c:ext>
          </c:extLst>
        </c:ser>
        <c:ser>
          <c:idx val="3"/>
          <c:order val="1"/>
          <c:tx>
            <c:strRef>
              <c:f>Resultados!$D$49</c:f>
              <c:strCache>
                <c:ptCount val="1"/>
                <c:pt idx="0">
                  <c:v>Zona DOT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Resultados!$B$51</c:f>
              <c:strCache>
                <c:ptCount val="1"/>
                <c:pt idx="0">
                  <c:v>Índice de Uso Mixto (adimensional)</c:v>
                </c:pt>
              </c:strCache>
            </c:strRef>
          </c:cat>
          <c:val>
            <c:numRef>
              <c:f>Resultados!$D$51</c:f>
              <c:numCache>
                <c:formatCode>0.00</c:formatCode>
                <c:ptCount val="1"/>
                <c:pt idx="0">
                  <c:v>0</c:v>
                </c:pt>
              </c:numCache>
            </c:numRef>
          </c:val>
          <c:extLst>
            <c:ext xmlns:c16="http://schemas.microsoft.com/office/drawing/2014/chart" uri="{C3380CC4-5D6E-409C-BE32-E72D297353CC}">
              <c16:uniqueId val="{00000001-EEAF-4E40-AC0B-AC6FBADE390C}"/>
            </c:ext>
          </c:extLst>
        </c:ser>
        <c:dLbls>
          <c:dLblPos val="outEnd"/>
          <c:showLegendKey val="0"/>
          <c:showVal val="1"/>
          <c:showCatName val="0"/>
          <c:showSerName val="0"/>
          <c:showPercent val="0"/>
          <c:showBubbleSize val="0"/>
        </c:dLbls>
        <c:gapWidth val="219"/>
        <c:overlap val="-27"/>
        <c:axId val="2119694080"/>
        <c:axId val="2119696976"/>
      </c:barChart>
      <c:catAx>
        <c:axId val="2119694080"/>
        <c:scaling>
          <c:orientation val="minMax"/>
        </c:scaling>
        <c:delete val="1"/>
        <c:axPos val="b"/>
        <c:numFmt formatCode="General" sourceLinked="1"/>
        <c:majorTickMark val="none"/>
        <c:minorTickMark val="none"/>
        <c:tickLblPos val="nextTo"/>
        <c:crossAx val="2119696976"/>
        <c:crosses val="autoZero"/>
        <c:auto val="1"/>
        <c:lblAlgn val="ctr"/>
        <c:lblOffset val="100"/>
        <c:noMultiLvlLbl val="0"/>
      </c:catAx>
      <c:valAx>
        <c:axId val="21196969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69408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874</xdr:colOff>
      <xdr:row>0</xdr:row>
      <xdr:rowOff>88229</xdr:rowOff>
    </xdr:from>
    <xdr:to>
      <xdr:col>3</xdr:col>
      <xdr:colOff>585931</xdr:colOff>
      <xdr:row>4</xdr:row>
      <xdr:rowOff>230910</xdr:rowOff>
    </xdr:to>
    <xdr:pic>
      <xdr:nvPicPr>
        <xdr:cNvPr id="2" name="Picture 3"/>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7147" y="88229"/>
          <a:ext cx="2042671" cy="927772"/>
        </a:xfrm>
        <a:prstGeom prst="rect">
          <a:avLst/>
        </a:prstGeom>
      </xdr:spPr>
    </xdr:pic>
    <xdr:clientData/>
  </xdr:twoCellAnchor>
  <xdr:twoCellAnchor>
    <xdr:from>
      <xdr:col>7</xdr:col>
      <xdr:colOff>444161</xdr:colOff>
      <xdr:row>1</xdr:row>
      <xdr:rowOff>65198</xdr:rowOff>
    </xdr:from>
    <xdr:to>
      <xdr:col>11</xdr:col>
      <xdr:colOff>148734</xdr:colOff>
      <xdr:row>4</xdr:row>
      <xdr:rowOff>132433</xdr:rowOff>
    </xdr:to>
    <xdr:grpSp>
      <xdr:nvGrpSpPr>
        <xdr:cNvPr id="3" name="6 Grupo"/>
        <xdr:cNvGrpSpPr/>
      </xdr:nvGrpSpPr>
      <xdr:grpSpPr>
        <a:xfrm>
          <a:off x="12013290" y="257838"/>
          <a:ext cx="2251708" cy="645157"/>
          <a:chOff x="0" y="0"/>
          <a:chExt cx="2137410" cy="488950"/>
        </a:xfrm>
      </xdr:grpSpPr>
      <xdr:sp macro="" textlink="">
        <xdr:nvSpPr>
          <xdr:cNvPr id="4" name="AutoShape 3"/>
          <xdr:cNvSpPr>
            <a:spLocks noChangeArrowheads="1"/>
          </xdr:cNvSpPr>
        </xdr:nvSpPr>
        <xdr:spPr bwMode="auto">
          <a:xfrm>
            <a:off x="0" y="0"/>
            <a:ext cx="2137410" cy="488950"/>
          </a:xfrm>
          <a:prstGeom prst="roundRect">
            <a:avLst>
              <a:gd name="adj" fmla="val 16667"/>
            </a:avLst>
          </a:pr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s-MX"/>
          </a:p>
        </xdr:txBody>
      </xdr:sp>
      <xdr:pic>
        <xdr:nvPicPr>
          <xdr:cNvPr id="5" name="0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4300" y="38100"/>
            <a:ext cx="1828800" cy="428625"/>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30629</xdr:colOff>
      <xdr:row>43</xdr:row>
      <xdr:rowOff>22038</xdr:rowOff>
    </xdr:from>
    <xdr:to>
      <xdr:col>14</xdr:col>
      <xdr:colOff>432547</xdr:colOff>
      <xdr:row>56</xdr:row>
      <xdr:rowOff>101040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30442</xdr:colOff>
      <xdr:row>57</xdr:row>
      <xdr:rowOff>24652</xdr:rowOff>
    </xdr:from>
    <xdr:to>
      <xdr:col>22</xdr:col>
      <xdr:colOff>254000</xdr:colOff>
      <xdr:row>76</xdr:row>
      <xdr:rowOff>119530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28201</xdr:colOff>
      <xdr:row>77</xdr:row>
      <xdr:rowOff>45008</xdr:rowOff>
    </xdr:from>
    <xdr:to>
      <xdr:col>22</xdr:col>
      <xdr:colOff>269875</xdr:colOff>
      <xdr:row>97</xdr:row>
      <xdr:rowOff>16435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14567</xdr:colOff>
      <xdr:row>2</xdr:row>
      <xdr:rowOff>7286</xdr:rowOff>
    </xdr:from>
    <xdr:to>
      <xdr:col>18</xdr:col>
      <xdr:colOff>508000</xdr:colOff>
      <xdr:row>21</xdr:row>
      <xdr:rowOff>11206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15770</xdr:colOff>
      <xdr:row>22</xdr:row>
      <xdr:rowOff>176803</xdr:rowOff>
    </xdr:from>
    <xdr:to>
      <xdr:col>18</xdr:col>
      <xdr:colOff>527507</xdr:colOff>
      <xdr:row>41</xdr:row>
      <xdr:rowOff>39012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537882</xdr:colOff>
      <xdr:row>43</xdr:row>
      <xdr:rowOff>14941</xdr:rowOff>
    </xdr:from>
    <xdr:to>
      <xdr:col>22</xdr:col>
      <xdr:colOff>237565</xdr:colOff>
      <xdr:row>56</xdr:row>
      <xdr:rowOff>93943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ecovehiculos.gob.mx/metodologia2008.php" TargetMode="External"/><Relationship Id="rId1" Type="http://schemas.openxmlformats.org/officeDocument/2006/relationships/hyperlink" Target="http://www.iae.org.ar/equivalencia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5:K37"/>
  <sheetViews>
    <sheetView showGridLines="0" zoomScale="89" zoomScaleNormal="89" zoomScalePageLayoutView="89" workbookViewId="0">
      <selection activeCell="D29" sqref="D29"/>
    </sheetView>
  </sheetViews>
  <sheetFormatPr defaultColWidth="9.140625" defaultRowHeight="15" x14ac:dyDescent="0.25"/>
  <cols>
    <col min="1" max="2" width="1.7109375" customWidth="1"/>
    <col min="3" max="3" width="19.42578125" customWidth="1"/>
    <col min="4" max="4" width="28.140625" bestFit="1" customWidth="1"/>
    <col min="5" max="5" width="61.42578125" customWidth="1"/>
    <col min="6" max="6" width="34.85546875" customWidth="1"/>
    <col min="7" max="7" width="26.140625" customWidth="1"/>
    <col min="10" max="10" width="18" customWidth="1"/>
    <col min="11" max="11" width="1.85546875" customWidth="1"/>
  </cols>
  <sheetData>
    <row r="5" spans="2:11" ht="21" customHeight="1" thickBot="1" x14ac:dyDescent="0.3"/>
    <row r="6" spans="2:11" ht="40.5" customHeight="1" x14ac:dyDescent="0.25">
      <c r="B6" s="353"/>
      <c r="C6" s="467" t="s">
        <v>279</v>
      </c>
      <c r="D6" s="467"/>
      <c r="E6" s="467"/>
      <c r="F6" s="467"/>
      <c r="G6" s="467"/>
      <c r="H6" s="467"/>
      <c r="I6" s="467"/>
      <c r="J6" s="467"/>
      <c r="K6" s="359"/>
    </row>
    <row r="7" spans="2:11" ht="16.5" customHeight="1" x14ac:dyDescent="0.25">
      <c r="B7" s="354"/>
      <c r="C7" s="467"/>
      <c r="D7" s="467"/>
      <c r="E7" s="467"/>
      <c r="F7" s="467"/>
      <c r="G7" s="467"/>
      <c r="H7" s="467"/>
      <c r="I7" s="467"/>
      <c r="J7" s="467"/>
      <c r="K7" s="360"/>
    </row>
    <row r="8" spans="2:11" ht="9" customHeight="1" thickBot="1" x14ac:dyDescent="0.3">
      <c r="B8" s="354"/>
      <c r="C8" s="468"/>
      <c r="D8" s="468"/>
      <c r="E8" s="468"/>
      <c r="F8" s="468"/>
      <c r="G8" s="468"/>
      <c r="H8" s="468"/>
      <c r="I8" s="468"/>
      <c r="J8" s="355"/>
      <c r="K8" s="360"/>
    </row>
    <row r="9" spans="2:11" ht="68.099999999999994" customHeight="1" thickBot="1" x14ac:dyDescent="0.3">
      <c r="B9" s="354"/>
      <c r="C9" s="470" t="s">
        <v>281</v>
      </c>
      <c r="D9" s="471"/>
      <c r="E9" s="471"/>
      <c r="F9" s="471"/>
      <c r="G9" s="471"/>
      <c r="H9" s="471"/>
      <c r="I9" s="471"/>
      <c r="J9" s="472"/>
      <c r="K9" s="360"/>
    </row>
    <row r="10" spans="2:11" ht="24" customHeight="1" thickBot="1" x14ac:dyDescent="0.3">
      <c r="B10" s="354"/>
      <c r="C10" s="469" t="s">
        <v>282</v>
      </c>
      <c r="D10" s="469"/>
      <c r="E10" s="469"/>
      <c r="F10" s="469"/>
      <c r="G10" s="469"/>
      <c r="H10" s="469"/>
      <c r="I10" s="469"/>
      <c r="J10" s="469"/>
      <c r="K10" s="360"/>
    </row>
    <row r="11" spans="2:11" ht="61.5" customHeight="1" thickBot="1" x14ac:dyDescent="0.3">
      <c r="B11" s="354"/>
      <c r="C11" s="470" t="s">
        <v>280</v>
      </c>
      <c r="D11" s="471"/>
      <c r="E11" s="471"/>
      <c r="F11" s="471"/>
      <c r="G11" s="471"/>
      <c r="H11" s="471"/>
      <c r="I11" s="471"/>
      <c r="J11" s="472"/>
      <c r="K11" s="360"/>
    </row>
    <row r="12" spans="2:11" ht="10.5" customHeight="1" x14ac:dyDescent="0.25">
      <c r="B12" s="354"/>
      <c r="C12" s="468"/>
      <c r="D12" s="468"/>
      <c r="E12" s="468"/>
      <c r="F12" s="468"/>
      <c r="G12" s="468"/>
      <c r="H12" s="468"/>
      <c r="I12" s="468"/>
      <c r="J12" s="468"/>
      <c r="K12" s="360"/>
    </row>
    <row r="13" spans="2:11" ht="15.75" x14ac:dyDescent="0.25">
      <c r="B13" s="354"/>
      <c r="C13" s="464" t="s">
        <v>283</v>
      </c>
      <c r="D13" s="464"/>
      <c r="E13" s="464"/>
      <c r="F13" s="464"/>
      <c r="G13" s="464"/>
      <c r="H13" s="464"/>
      <c r="I13" s="464"/>
      <c r="J13" s="464"/>
      <c r="K13" s="360"/>
    </row>
    <row r="14" spans="2:11" x14ac:dyDescent="0.25">
      <c r="B14" s="354"/>
      <c r="C14" s="170" t="s">
        <v>131</v>
      </c>
      <c r="D14" s="462" t="s">
        <v>247</v>
      </c>
      <c r="E14" s="462"/>
      <c r="F14" s="462"/>
      <c r="G14" s="462"/>
      <c r="H14" s="462"/>
      <c r="I14" s="462"/>
      <c r="J14" s="462"/>
      <c r="K14" s="360"/>
    </row>
    <row r="15" spans="2:11" x14ac:dyDescent="0.25">
      <c r="B15" s="354"/>
      <c r="C15" s="116" t="s">
        <v>138</v>
      </c>
      <c r="D15" s="462" t="s">
        <v>284</v>
      </c>
      <c r="E15" s="462"/>
      <c r="F15" s="462"/>
      <c r="G15" s="462"/>
      <c r="H15" s="462"/>
      <c r="I15" s="462"/>
      <c r="J15" s="462"/>
      <c r="K15" s="360"/>
    </row>
    <row r="16" spans="2:11" x14ac:dyDescent="0.25">
      <c r="B16" s="354"/>
      <c r="C16" s="171" t="s">
        <v>171</v>
      </c>
      <c r="D16" s="462" t="s">
        <v>285</v>
      </c>
      <c r="E16" s="462"/>
      <c r="F16" s="462"/>
      <c r="G16" s="462"/>
      <c r="H16" s="462"/>
      <c r="I16" s="462"/>
      <c r="J16" s="462"/>
      <c r="K16" s="360"/>
    </row>
    <row r="17" spans="2:11" x14ac:dyDescent="0.25">
      <c r="B17" s="354"/>
      <c r="C17" s="133" t="s">
        <v>132</v>
      </c>
      <c r="D17" s="462" t="s">
        <v>286</v>
      </c>
      <c r="E17" s="462"/>
      <c r="F17" s="462"/>
      <c r="G17" s="462"/>
      <c r="H17" s="462"/>
      <c r="I17" s="462"/>
      <c r="J17" s="462"/>
      <c r="K17" s="360"/>
    </row>
    <row r="18" spans="2:11" x14ac:dyDescent="0.25">
      <c r="B18" s="354"/>
      <c r="C18" s="133" t="s">
        <v>133</v>
      </c>
      <c r="D18" s="462" t="s">
        <v>287</v>
      </c>
      <c r="E18" s="462"/>
      <c r="F18" s="462"/>
      <c r="G18" s="462"/>
      <c r="H18" s="462"/>
      <c r="I18" s="462"/>
      <c r="J18" s="462"/>
      <c r="K18" s="360"/>
    </row>
    <row r="19" spans="2:11" x14ac:dyDescent="0.25">
      <c r="B19" s="354"/>
      <c r="C19" s="133" t="s">
        <v>176</v>
      </c>
      <c r="D19" s="465" t="s">
        <v>248</v>
      </c>
      <c r="E19" s="466"/>
      <c r="F19" s="466"/>
      <c r="G19" s="466"/>
      <c r="H19" s="466"/>
      <c r="I19" s="466"/>
      <c r="J19" s="466"/>
      <c r="K19" s="360"/>
    </row>
    <row r="20" spans="2:11" x14ac:dyDescent="0.25">
      <c r="B20" s="354"/>
      <c r="C20" s="175" t="s">
        <v>134</v>
      </c>
      <c r="D20" s="462" t="s">
        <v>249</v>
      </c>
      <c r="E20" s="462"/>
      <c r="F20" s="462"/>
      <c r="G20" s="462"/>
      <c r="H20" s="462"/>
      <c r="I20" s="462"/>
      <c r="J20" s="462"/>
      <c r="K20" s="360"/>
    </row>
    <row r="21" spans="2:11" x14ac:dyDescent="0.25">
      <c r="B21" s="354"/>
      <c r="C21" s="175" t="s">
        <v>257</v>
      </c>
      <c r="D21" s="462" t="s">
        <v>293</v>
      </c>
      <c r="E21" s="462"/>
      <c r="F21" s="462"/>
      <c r="G21" s="462"/>
      <c r="H21" s="462"/>
      <c r="I21" s="462"/>
      <c r="J21" s="462"/>
      <c r="K21" s="360"/>
    </row>
    <row r="22" spans="2:11" ht="6.95" customHeight="1" x14ac:dyDescent="0.25">
      <c r="B22" s="354"/>
      <c r="C22" s="357"/>
      <c r="D22" s="358"/>
      <c r="E22" s="358"/>
      <c r="F22" s="358"/>
      <c r="G22" s="358"/>
      <c r="H22" s="358"/>
      <c r="I22" s="358"/>
      <c r="J22" s="358"/>
      <c r="K22" s="360"/>
    </row>
    <row r="23" spans="2:11" ht="15.75" x14ac:dyDescent="0.25">
      <c r="B23" s="354"/>
      <c r="C23" s="464" t="s">
        <v>250</v>
      </c>
      <c r="D23" s="464"/>
      <c r="E23" s="464"/>
      <c r="F23" s="464"/>
      <c r="G23" s="464"/>
      <c r="H23" s="464"/>
      <c r="I23" s="464"/>
      <c r="J23" s="464"/>
      <c r="K23" s="360"/>
    </row>
    <row r="24" spans="2:11" ht="14.1" customHeight="1" x14ac:dyDescent="0.25">
      <c r="B24" s="354"/>
      <c r="C24" s="170"/>
      <c r="D24" s="461" t="s">
        <v>288</v>
      </c>
      <c r="E24" s="461"/>
      <c r="F24" s="461"/>
      <c r="G24" s="461"/>
      <c r="H24" s="461"/>
      <c r="I24" s="461"/>
      <c r="J24" s="461"/>
      <c r="K24" s="360"/>
    </row>
    <row r="25" spans="2:11" ht="14.1" customHeight="1" x14ac:dyDescent="0.25">
      <c r="B25" s="354"/>
      <c r="C25" s="116"/>
      <c r="D25" s="461" t="s">
        <v>289</v>
      </c>
      <c r="E25" s="461"/>
      <c r="F25" s="461"/>
      <c r="G25" s="461"/>
      <c r="H25" s="461"/>
      <c r="I25" s="461"/>
      <c r="J25" s="461"/>
      <c r="K25" s="360"/>
    </row>
    <row r="26" spans="2:11" ht="14.1" customHeight="1" x14ac:dyDescent="0.25">
      <c r="B26" s="354"/>
      <c r="C26" s="36"/>
      <c r="D26" s="462" t="s">
        <v>291</v>
      </c>
      <c r="E26" s="462"/>
      <c r="F26" s="462"/>
      <c r="G26" s="462"/>
      <c r="H26" s="462"/>
      <c r="I26" s="462"/>
      <c r="J26" s="462"/>
      <c r="K26" s="360"/>
    </row>
    <row r="27" spans="2:11" ht="14.1" customHeight="1" thickBot="1" x14ac:dyDescent="0.3">
      <c r="B27" s="356"/>
      <c r="C27" s="174"/>
      <c r="D27" s="463" t="s">
        <v>290</v>
      </c>
      <c r="E27" s="463"/>
      <c r="F27" s="463"/>
      <c r="G27" s="463"/>
      <c r="H27" s="463"/>
      <c r="I27" s="463"/>
      <c r="J27" s="463"/>
      <c r="K27" s="361"/>
    </row>
    <row r="28" spans="2:11" x14ac:dyDescent="0.25">
      <c r="E28" s="3"/>
    </row>
    <row r="29" spans="2:11" x14ac:dyDescent="0.25">
      <c r="C29" s="39"/>
      <c r="D29" s="39"/>
    </row>
    <row r="30" spans="2:11" x14ac:dyDescent="0.25">
      <c r="C30" s="3"/>
      <c r="D30" s="3"/>
      <c r="E30" s="138"/>
    </row>
    <row r="32" spans="2:11" x14ac:dyDescent="0.25">
      <c r="E32" s="139"/>
    </row>
    <row r="37" spans="5:5" x14ac:dyDescent="0.25">
      <c r="E37" t="s">
        <v>137</v>
      </c>
    </row>
  </sheetData>
  <mergeCells count="20">
    <mergeCell ref="C6:J7"/>
    <mergeCell ref="D21:J21"/>
    <mergeCell ref="C8:I8"/>
    <mergeCell ref="C10:J10"/>
    <mergeCell ref="C9:J9"/>
    <mergeCell ref="C11:J11"/>
    <mergeCell ref="C13:J13"/>
    <mergeCell ref="D14:J14"/>
    <mergeCell ref="C12:J12"/>
    <mergeCell ref="D24:J24"/>
    <mergeCell ref="D25:J25"/>
    <mergeCell ref="D26:J26"/>
    <mergeCell ref="D27:J27"/>
    <mergeCell ref="D15:J15"/>
    <mergeCell ref="D16:J16"/>
    <mergeCell ref="D17:J17"/>
    <mergeCell ref="D18:J18"/>
    <mergeCell ref="D20:J20"/>
    <mergeCell ref="C23:J23"/>
    <mergeCell ref="D19:J1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N62"/>
  <sheetViews>
    <sheetView showGridLines="0" topLeftCell="B1" zoomScale="78" zoomScaleNormal="78" zoomScalePageLayoutView="80" workbookViewId="0">
      <pane ySplit="1" topLeftCell="A4" activePane="bottomLeft" state="frozen"/>
      <selection pane="bottomLeft" activeCell="N27" sqref="N27:N28"/>
    </sheetView>
  </sheetViews>
  <sheetFormatPr defaultColWidth="9.140625" defaultRowHeight="15" x14ac:dyDescent="0.25"/>
  <cols>
    <col min="1" max="1" width="1.7109375" customWidth="1"/>
    <col min="2" max="2" width="46.5703125" customWidth="1"/>
    <col min="3" max="3" width="15.7109375" customWidth="1"/>
    <col min="4" max="4" width="12.85546875" customWidth="1"/>
    <col min="5" max="5" width="28.7109375" customWidth="1"/>
    <col min="6" max="6" width="21.42578125" customWidth="1"/>
    <col min="7" max="7" width="18.42578125" customWidth="1"/>
    <col min="8" max="8" width="16.42578125" customWidth="1"/>
    <col min="9" max="9" width="18.140625" customWidth="1"/>
    <col min="10" max="10" width="20.140625" customWidth="1"/>
    <col min="11" max="11" width="7.28515625" customWidth="1"/>
    <col min="12" max="12" width="16" customWidth="1"/>
    <col min="13" max="13" width="19" customWidth="1"/>
    <col min="14" max="14" width="13.42578125" customWidth="1"/>
    <col min="15" max="15" width="14.42578125" customWidth="1"/>
    <col min="19" max="19" width="4.140625" customWidth="1"/>
  </cols>
  <sheetData>
    <row r="1" spans="2:13" ht="21" x14ac:dyDescent="0.35">
      <c r="B1" s="509" t="s">
        <v>138</v>
      </c>
      <c r="C1" s="509"/>
      <c r="D1" s="509"/>
      <c r="E1" s="509"/>
      <c r="F1" s="509"/>
      <c r="G1" s="509"/>
      <c r="H1" s="509"/>
      <c r="I1" s="509"/>
      <c r="J1" s="509"/>
      <c r="K1" s="509"/>
      <c r="L1" s="509"/>
      <c r="M1" s="509"/>
    </row>
    <row r="2" spans="2:13" ht="15.75" thickBot="1" x14ac:dyDescent="0.3"/>
    <row r="3" spans="2:13" ht="18.75" x14ac:dyDescent="0.3">
      <c r="B3" s="510" t="s">
        <v>320</v>
      </c>
      <c r="C3" s="511"/>
      <c r="D3" s="511"/>
      <c r="E3" s="511"/>
      <c r="F3" s="511"/>
      <c r="G3" s="511"/>
      <c r="H3" s="511"/>
      <c r="I3" s="511"/>
      <c r="J3" s="511"/>
      <c r="K3" s="511"/>
      <c r="L3" s="511"/>
      <c r="M3" s="512"/>
    </row>
    <row r="4" spans="2:13" x14ac:dyDescent="0.25">
      <c r="B4" s="513" t="s">
        <v>219</v>
      </c>
      <c r="C4" s="514"/>
      <c r="D4" s="514"/>
      <c r="E4" s="514"/>
      <c r="F4" s="514"/>
      <c r="G4" s="514"/>
      <c r="H4" s="514"/>
      <c r="I4" s="514"/>
      <c r="J4" s="514"/>
      <c r="K4" s="514"/>
      <c r="L4" s="514"/>
      <c r="M4" s="515"/>
    </row>
    <row r="5" spans="2:13" ht="15.75" thickBot="1" x14ac:dyDescent="0.3">
      <c r="B5" s="318"/>
      <c r="C5" s="6"/>
      <c r="D5" s="6"/>
      <c r="E5" s="6"/>
      <c r="F5" s="6"/>
      <c r="G5" s="6"/>
      <c r="H5" s="6"/>
      <c r="I5" s="6"/>
      <c r="J5" s="6"/>
      <c r="K5" s="6"/>
      <c r="L5" s="6"/>
      <c r="M5" s="319"/>
    </row>
    <row r="6" spans="2:13" x14ac:dyDescent="0.25">
      <c r="B6" s="516" t="s">
        <v>220</v>
      </c>
      <c r="C6" s="517"/>
      <c r="D6" s="517"/>
      <c r="E6" s="517"/>
      <c r="F6" s="517"/>
      <c r="G6" s="517"/>
      <c r="H6" s="517"/>
      <c r="I6" s="517"/>
      <c r="J6" s="517"/>
      <c r="K6" s="517"/>
      <c r="L6" s="517"/>
      <c r="M6" s="518"/>
    </row>
    <row r="7" spans="2:13" ht="15.75" thickBot="1" x14ac:dyDescent="0.3">
      <c r="B7" s="327" t="s">
        <v>66</v>
      </c>
      <c r="C7" s="519"/>
      <c r="D7" s="519"/>
      <c r="E7" s="519"/>
      <c r="F7" s="519"/>
      <c r="G7" s="519"/>
      <c r="H7" s="519"/>
      <c r="I7" s="519"/>
      <c r="J7" s="519"/>
      <c r="K7" s="519"/>
      <c r="L7" s="519"/>
      <c r="M7" s="520"/>
    </row>
    <row r="8" spans="2:13" ht="15.75" thickBot="1" x14ac:dyDescent="0.3">
      <c r="B8" s="318"/>
      <c r="C8" s="6"/>
      <c r="D8" s="6"/>
      <c r="E8" s="6"/>
      <c r="F8" s="6"/>
      <c r="G8" s="6"/>
      <c r="H8" s="6"/>
      <c r="I8" s="6"/>
      <c r="J8" s="6"/>
      <c r="K8" s="6"/>
      <c r="L8" s="6"/>
      <c r="M8" s="319"/>
    </row>
    <row r="9" spans="2:13" x14ac:dyDescent="0.25">
      <c r="B9" s="328" t="s">
        <v>143</v>
      </c>
      <c r="C9" s="333" t="s">
        <v>1</v>
      </c>
      <c r="D9" s="479" t="s">
        <v>129</v>
      </c>
      <c r="E9" s="479"/>
      <c r="F9" s="479"/>
      <c r="G9" s="479"/>
      <c r="H9" s="479"/>
      <c r="I9" s="479"/>
      <c r="J9" s="479"/>
      <c r="K9" s="479"/>
      <c r="L9" s="479"/>
      <c r="M9" s="480"/>
    </row>
    <row r="10" spans="2:13" x14ac:dyDescent="0.25">
      <c r="B10" s="35" t="s">
        <v>140</v>
      </c>
      <c r="C10" s="189"/>
      <c r="D10" s="481"/>
      <c r="E10" s="482"/>
      <c r="F10" s="482"/>
      <c r="G10" s="482"/>
      <c r="H10" s="482"/>
      <c r="I10" s="482"/>
      <c r="J10" s="482"/>
      <c r="K10" s="482"/>
      <c r="L10" s="482"/>
      <c r="M10" s="483"/>
    </row>
    <row r="11" spans="2:13" ht="15.75" thickBot="1" x14ac:dyDescent="0.3">
      <c r="B11" s="329" t="s">
        <v>314</v>
      </c>
      <c r="C11" s="330"/>
      <c r="D11" s="484"/>
      <c r="E11" s="485"/>
      <c r="F11" s="485"/>
      <c r="G11" s="485"/>
      <c r="H11" s="485"/>
      <c r="I11" s="485"/>
      <c r="J11" s="485"/>
      <c r="K11" s="485"/>
      <c r="L11" s="485"/>
      <c r="M11" s="486"/>
    </row>
    <row r="12" spans="2:13" ht="15.75" thickBot="1" x14ac:dyDescent="0.3">
      <c r="B12" s="318"/>
      <c r="C12" s="6"/>
      <c r="D12" s="6"/>
      <c r="E12" s="6"/>
      <c r="F12" s="6"/>
      <c r="G12" s="6"/>
      <c r="H12" s="6"/>
      <c r="I12" s="6"/>
      <c r="J12" s="6"/>
      <c r="K12" s="6"/>
      <c r="L12" s="6"/>
      <c r="M12" s="319"/>
    </row>
    <row r="13" spans="2:13" x14ac:dyDescent="0.25">
      <c r="B13" s="328" t="s">
        <v>142</v>
      </c>
      <c r="C13" s="333" t="s">
        <v>1</v>
      </c>
      <c r="D13" s="479" t="s">
        <v>129</v>
      </c>
      <c r="E13" s="479"/>
      <c r="F13" s="479"/>
      <c r="G13" s="479"/>
      <c r="H13" s="479"/>
      <c r="I13" s="479"/>
      <c r="J13" s="479"/>
      <c r="K13" s="479"/>
      <c r="L13" s="479"/>
      <c r="M13" s="480"/>
    </row>
    <row r="14" spans="2:13" x14ac:dyDescent="0.25">
      <c r="B14" s="35" t="s">
        <v>141</v>
      </c>
      <c r="C14" s="116"/>
      <c r="D14" s="481"/>
      <c r="E14" s="482"/>
      <c r="F14" s="482"/>
      <c r="G14" s="482"/>
      <c r="H14" s="482"/>
      <c r="I14" s="482"/>
      <c r="J14" s="482"/>
      <c r="K14" s="482"/>
      <c r="L14" s="482"/>
      <c r="M14" s="483"/>
    </row>
    <row r="15" spans="2:13" ht="15.75" thickBot="1" x14ac:dyDescent="0.3">
      <c r="B15" s="331" t="s">
        <v>177</v>
      </c>
      <c r="C15" s="332"/>
      <c r="D15" s="485"/>
      <c r="E15" s="485"/>
      <c r="F15" s="485"/>
      <c r="G15" s="485"/>
      <c r="H15" s="485"/>
      <c r="I15" s="485"/>
      <c r="J15" s="485"/>
      <c r="K15" s="485"/>
      <c r="L15" s="485"/>
      <c r="M15" s="486"/>
    </row>
    <row r="16" spans="2:13" x14ac:dyDescent="0.25">
      <c r="B16" s="318"/>
      <c r="C16" s="114"/>
      <c r="D16" s="114"/>
      <c r="E16" s="6"/>
      <c r="F16" s="114"/>
      <c r="G16" s="114"/>
      <c r="H16" s="114"/>
      <c r="I16" s="114"/>
      <c r="J16" s="6"/>
      <c r="K16" s="6"/>
      <c r="L16" s="6"/>
      <c r="M16" s="319"/>
    </row>
    <row r="17" spans="2:14" ht="15.75" thickBot="1" x14ac:dyDescent="0.3">
      <c r="B17" s="318"/>
      <c r="C17" s="6"/>
      <c r="D17" s="6"/>
      <c r="E17" s="459"/>
      <c r="F17" s="6"/>
      <c r="G17" s="6"/>
      <c r="H17" s="90"/>
      <c r="I17" s="90"/>
      <c r="J17" s="90"/>
      <c r="K17" s="90"/>
      <c r="L17" s="6"/>
      <c r="M17" s="319"/>
    </row>
    <row r="18" spans="2:14" ht="15.75" thickBot="1" x14ac:dyDescent="0.3">
      <c r="B18" s="490" t="s">
        <v>221</v>
      </c>
      <c r="C18" s="491"/>
      <c r="D18" s="491"/>
      <c r="E18" s="491"/>
      <c r="F18" s="491"/>
      <c r="G18" s="491"/>
      <c r="H18" s="491"/>
      <c r="I18" s="491"/>
      <c r="J18" s="491"/>
      <c r="K18" s="491"/>
      <c r="L18" s="491"/>
      <c r="M18" s="492"/>
    </row>
    <row r="19" spans="2:14" ht="33" customHeight="1" x14ac:dyDescent="0.25">
      <c r="B19" s="172" t="s">
        <v>6</v>
      </c>
      <c r="C19" s="173" t="s">
        <v>4</v>
      </c>
      <c r="D19" s="173" t="s">
        <v>242</v>
      </c>
      <c r="E19" s="173" t="s">
        <v>243</v>
      </c>
      <c r="F19" s="173" t="s">
        <v>331</v>
      </c>
      <c r="G19" s="173" t="s">
        <v>245</v>
      </c>
      <c r="H19" s="493" t="s">
        <v>244</v>
      </c>
      <c r="I19" s="494"/>
      <c r="J19" s="494"/>
      <c r="K19" s="494"/>
      <c r="L19" s="494"/>
      <c r="M19" s="494"/>
    </row>
    <row r="20" spans="2:14" x14ac:dyDescent="0.25">
      <c r="B20" s="128" t="s">
        <v>7</v>
      </c>
      <c r="C20" s="116" t="s">
        <v>63</v>
      </c>
      <c r="D20" s="190"/>
      <c r="E20" s="190"/>
      <c r="F20" s="36">
        <v>23.9</v>
      </c>
      <c r="G20" s="36">
        <v>1</v>
      </c>
      <c r="H20" s="495"/>
      <c r="I20" s="496"/>
      <c r="J20" s="496"/>
      <c r="K20" s="496"/>
      <c r="L20" s="496"/>
      <c r="M20" s="496"/>
    </row>
    <row r="21" spans="2:14" x14ac:dyDescent="0.25">
      <c r="B21" s="128" t="s">
        <v>147</v>
      </c>
      <c r="C21" s="116" t="s">
        <v>63</v>
      </c>
      <c r="D21" s="190"/>
      <c r="E21" s="190"/>
      <c r="F21" s="36">
        <v>9.6</v>
      </c>
      <c r="G21" s="36">
        <v>1.2</v>
      </c>
      <c r="H21" s="495"/>
      <c r="I21" s="496"/>
      <c r="J21" s="496"/>
      <c r="K21" s="496"/>
      <c r="L21" s="496"/>
      <c r="M21" s="496"/>
    </row>
    <row r="22" spans="2:14" x14ac:dyDescent="0.25">
      <c r="B22" s="128" t="s">
        <v>8</v>
      </c>
      <c r="C22" s="116" t="s">
        <v>63</v>
      </c>
      <c r="D22" s="190"/>
      <c r="E22" s="190"/>
      <c r="F22" s="36">
        <v>9.6</v>
      </c>
      <c r="G22" s="36">
        <v>1.2</v>
      </c>
      <c r="H22" s="495"/>
      <c r="I22" s="496"/>
      <c r="J22" s="496"/>
      <c r="K22" s="496"/>
      <c r="L22" s="496"/>
      <c r="M22" s="496"/>
    </row>
    <row r="23" spans="2:14" x14ac:dyDescent="0.25">
      <c r="B23" s="128" t="s">
        <v>241</v>
      </c>
      <c r="C23" s="116" t="s">
        <v>63</v>
      </c>
      <c r="D23" s="190"/>
      <c r="E23" s="190"/>
      <c r="F23" s="37">
        <v>7.5</v>
      </c>
      <c r="G23" s="37">
        <v>1.2</v>
      </c>
      <c r="H23" s="495"/>
      <c r="I23" s="496"/>
      <c r="J23" s="496"/>
      <c r="K23" s="496"/>
      <c r="L23" s="496"/>
      <c r="M23" s="496"/>
    </row>
    <row r="24" spans="2:14" x14ac:dyDescent="0.25">
      <c r="B24" s="128" t="s">
        <v>313</v>
      </c>
      <c r="C24" s="116" t="s">
        <v>63</v>
      </c>
      <c r="D24" s="190"/>
      <c r="E24" s="190"/>
      <c r="F24" s="37">
        <v>5.2</v>
      </c>
      <c r="G24" s="37">
        <v>20</v>
      </c>
      <c r="H24" s="495"/>
      <c r="I24" s="496"/>
      <c r="J24" s="496"/>
      <c r="K24" s="496"/>
      <c r="L24" s="496"/>
      <c r="M24" s="496"/>
    </row>
    <row r="25" spans="2:14" ht="15" customHeight="1" x14ac:dyDescent="0.25">
      <c r="B25" s="128" t="s">
        <v>240</v>
      </c>
      <c r="C25" s="116" t="s">
        <v>130</v>
      </c>
      <c r="D25" s="190"/>
      <c r="E25" s="190"/>
      <c r="F25" s="37">
        <v>2.8</v>
      </c>
      <c r="G25" s="37">
        <v>40</v>
      </c>
      <c r="H25" s="532"/>
      <c r="I25" s="533"/>
      <c r="J25" s="533"/>
      <c r="K25" s="533"/>
      <c r="L25" s="533"/>
      <c r="M25" s="533"/>
    </row>
    <row r="26" spans="2:14" ht="45" x14ac:dyDescent="0.25">
      <c r="B26" s="128" t="s">
        <v>333</v>
      </c>
      <c r="C26" s="116" t="s">
        <v>130</v>
      </c>
      <c r="D26" s="189"/>
      <c r="E26" s="189"/>
      <c r="F26" s="37">
        <v>1.2</v>
      </c>
      <c r="G26" s="36">
        <v>44</v>
      </c>
      <c r="H26" s="495"/>
      <c r="I26" s="496"/>
      <c r="J26" s="496"/>
      <c r="K26" s="496"/>
      <c r="L26" s="496"/>
      <c r="M26" s="496"/>
      <c r="N26" s="173" t="s">
        <v>339</v>
      </c>
    </row>
    <row r="27" spans="2:14" x14ac:dyDescent="0.25">
      <c r="B27" s="128" t="s">
        <v>326</v>
      </c>
      <c r="C27" s="116" t="s">
        <v>71</v>
      </c>
      <c r="D27" s="189"/>
      <c r="E27" s="190"/>
      <c r="F27" s="37">
        <v>0.85</v>
      </c>
      <c r="G27" s="36">
        <v>100</v>
      </c>
      <c r="H27" s="495"/>
      <c r="I27" s="496"/>
      <c r="J27" s="496"/>
      <c r="K27" s="496"/>
      <c r="L27" s="496"/>
      <c r="M27" s="496"/>
      <c r="N27" s="101">
        <v>10000</v>
      </c>
    </row>
    <row r="28" spans="2:14" x14ac:dyDescent="0.25">
      <c r="B28" s="128" t="s">
        <v>70</v>
      </c>
      <c r="C28" s="116" t="s">
        <v>71</v>
      </c>
      <c r="D28" s="189"/>
      <c r="E28" s="189"/>
      <c r="F28" s="36">
        <v>0.64</v>
      </c>
      <c r="G28" s="36">
        <v>635</v>
      </c>
      <c r="H28" s="495"/>
      <c r="I28" s="496"/>
      <c r="J28" s="496"/>
      <c r="K28" s="496"/>
      <c r="L28" s="496"/>
      <c r="M28" s="496"/>
      <c r="N28" s="101">
        <v>240000</v>
      </c>
    </row>
    <row r="29" spans="2:14" ht="15.75" thickBot="1" x14ac:dyDescent="0.3">
      <c r="B29" s="315" t="s">
        <v>246</v>
      </c>
      <c r="C29" s="129" t="s">
        <v>208</v>
      </c>
      <c r="D29" s="191"/>
      <c r="E29" s="191"/>
      <c r="F29" s="38">
        <v>0</v>
      </c>
      <c r="G29" s="38">
        <v>1</v>
      </c>
      <c r="H29" s="415"/>
      <c r="I29" s="416"/>
      <c r="J29" s="416"/>
      <c r="K29" s="416"/>
      <c r="L29" s="416"/>
      <c r="M29" s="416"/>
    </row>
    <row r="30" spans="2:14" ht="15.75" thickBot="1" x14ac:dyDescent="0.3">
      <c r="B30" s="527" t="s">
        <v>338</v>
      </c>
      <c r="C30" s="528"/>
      <c r="D30" s="528"/>
      <c r="E30" s="528"/>
      <c r="F30" s="528"/>
      <c r="G30" s="528"/>
      <c r="H30" s="528"/>
      <c r="I30" s="528"/>
      <c r="J30" s="528"/>
      <c r="K30" s="528"/>
      <c r="L30" s="528"/>
      <c r="M30" s="529"/>
    </row>
    <row r="31" spans="2:14" x14ac:dyDescent="0.25">
      <c r="B31" s="6"/>
      <c r="C31" s="6"/>
      <c r="D31" s="6"/>
      <c r="E31" s="6"/>
      <c r="F31" s="6"/>
      <c r="G31" s="6"/>
      <c r="H31" s="6"/>
    </row>
    <row r="32" spans="2:14" x14ac:dyDescent="0.25">
      <c r="B32" s="6"/>
      <c r="C32" s="6"/>
      <c r="D32" s="450"/>
      <c r="E32" s="6"/>
      <c r="F32" s="6"/>
      <c r="G32" s="6"/>
      <c r="H32" s="6"/>
    </row>
    <row r="33" spans="2:13" ht="15.75" thickBot="1" x14ac:dyDescent="0.3">
      <c r="B33" s="6"/>
      <c r="C33" s="6"/>
      <c r="D33" s="6"/>
      <c r="E33" s="6"/>
      <c r="F33" s="6"/>
      <c r="G33" s="6"/>
    </row>
    <row r="34" spans="2:13" ht="18.75" x14ac:dyDescent="0.3">
      <c r="B34" s="521" t="s">
        <v>218</v>
      </c>
      <c r="C34" s="522"/>
      <c r="D34" s="522"/>
      <c r="E34" s="522"/>
      <c r="F34" s="522"/>
      <c r="G34" s="522"/>
      <c r="H34" s="522"/>
      <c r="I34" s="522"/>
      <c r="J34" s="522"/>
      <c r="K34" s="522"/>
      <c r="L34" s="522"/>
      <c r="M34" s="523"/>
    </row>
    <row r="35" spans="2:13" ht="15" customHeight="1" x14ac:dyDescent="0.25">
      <c r="B35" s="524" t="s">
        <v>139</v>
      </c>
      <c r="C35" s="525"/>
      <c r="D35" s="525"/>
      <c r="E35" s="525"/>
      <c r="F35" s="525"/>
      <c r="G35" s="525"/>
      <c r="H35" s="525"/>
      <c r="I35" s="525"/>
      <c r="J35" s="525"/>
      <c r="K35" s="525"/>
      <c r="L35" s="525"/>
      <c r="M35" s="526"/>
    </row>
    <row r="36" spans="2:13" ht="15.75" thickBot="1" x14ac:dyDescent="0.3">
      <c r="B36" s="318"/>
      <c r="C36" s="6"/>
      <c r="D36" s="6"/>
      <c r="E36" s="6"/>
      <c r="F36" s="6"/>
      <c r="G36" s="6"/>
      <c r="H36" s="6"/>
      <c r="I36" s="6"/>
      <c r="J36" s="6"/>
      <c r="K36" s="6"/>
      <c r="L36" s="6"/>
      <c r="M36" s="319"/>
    </row>
    <row r="37" spans="2:13" ht="30" customHeight="1" x14ac:dyDescent="0.25">
      <c r="B37" s="505" t="s">
        <v>222</v>
      </c>
      <c r="C37" s="506"/>
      <c r="D37" s="6"/>
      <c r="E37" s="487" t="s">
        <v>292</v>
      </c>
      <c r="F37" s="488"/>
      <c r="G37" s="488"/>
      <c r="H37" s="488"/>
      <c r="I37" s="488"/>
      <c r="J37" s="489"/>
      <c r="K37" s="6"/>
      <c r="L37" s="507"/>
      <c r="M37" s="508"/>
    </row>
    <row r="38" spans="2:13" ht="30" x14ac:dyDescent="0.25">
      <c r="B38" s="320" t="str">
        <f>B14</f>
        <v>Densidad Poblacional (hab/ha)</v>
      </c>
      <c r="C38" s="454"/>
      <c r="D38" s="6"/>
      <c r="E38" s="340" t="s">
        <v>264</v>
      </c>
      <c r="F38" s="406"/>
      <c r="G38" s="317" t="s">
        <v>262</v>
      </c>
      <c r="H38" s="312">
        <f>M39</f>
        <v>0</v>
      </c>
      <c r="I38" s="317" t="s">
        <v>263</v>
      </c>
      <c r="J38" s="341">
        <f>H38*F38*365</f>
        <v>0</v>
      </c>
      <c r="K38" s="6"/>
      <c r="L38" s="344" t="s">
        <v>175</v>
      </c>
      <c r="M38" s="325" t="s">
        <v>146</v>
      </c>
    </row>
    <row r="39" spans="2:13" ht="24" customHeight="1" thickBot="1" x14ac:dyDescent="0.3">
      <c r="B39" s="334" t="str">
        <f>B15</f>
        <v>Índice de Uso Mixto (adimensional)</v>
      </c>
      <c r="C39" s="335"/>
      <c r="D39" s="6"/>
      <c r="E39" s="318"/>
      <c r="F39" s="6"/>
      <c r="G39" s="6"/>
      <c r="H39" s="169"/>
      <c r="I39" s="169"/>
      <c r="J39" s="342"/>
      <c r="K39" s="6"/>
      <c r="L39" s="128"/>
      <c r="M39" s="326"/>
    </row>
    <row r="40" spans="2:13" ht="75" x14ac:dyDescent="0.25">
      <c r="B40" s="451"/>
      <c r="C40" s="6"/>
      <c r="D40" s="6"/>
      <c r="E40" s="294" t="s">
        <v>6</v>
      </c>
      <c r="F40" s="46" t="s">
        <v>215</v>
      </c>
      <c r="G40" s="46" t="s">
        <v>294</v>
      </c>
      <c r="H40" s="46" t="s">
        <v>214</v>
      </c>
      <c r="I40" s="46" t="s">
        <v>265</v>
      </c>
      <c r="J40" s="295" t="s">
        <v>266</v>
      </c>
      <c r="K40" s="339"/>
      <c r="L40" s="345">
        <f>+L39+1</f>
        <v>1</v>
      </c>
      <c r="M40" s="326"/>
    </row>
    <row r="41" spans="2:13" x14ac:dyDescent="0.25">
      <c r="B41" s="318"/>
      <c r="C41" s="6"/>
      <c r="D41" s="6"/>
      <c r="E41" s="35" t="str">
        <f t="shared" ref="E41:E47" si="0">B20</f>
        <v>Motocicleta</v>
      </c>
      <c r="F41" s="391"/>
      <c r="G41" s="189"/>
      <c r="H41" s="192">
        <f>$J$38*F41*G41</f>
        <v>0</v>
      </c>
      <c r="I41" s="164" t="str">
        <f>IF(H41=0,"",(H41/$H$51))</f>
        <v/>
      </c>
      <c r="J41" s="443"/>
      <c r="K41" s="339"/>
      <c r="L41" s="345">
        <f t="shared" ref="L41:L54" si="1">+L40+1</f>
        <v>2</v>
      </c>
      <c r="M41" s="326"/>
    </row>
    <row r="42" spans="2:13" ht="15.75" thickBot="1" x14ac:dyDescent="0.3">
      <c r="B42" s="318"/>
      <c r="C42" s="6"/>
      <c r="D42" s="6"/>
      <c r="E42" s="35" t="str">
        <f t="shared" si="0"/>
        <v>Automóvil particular</v>
      </c>
      <c r="F42" s="391"/>
      <c r="G42" s="189"/>
      <c r="H42" s="192">
        <f t="shared" ref="H42:H49" si="2">$J$38*F42*G42</f>
        <v>0</v>
      </c>
      <c r="I42" s="164" t="str">
        <f t="shared" ref="I42:I48" si="3">IF(H42=0,"",(H42/$H$51))</f>
        <v/>
      </c>
      <c r="J42" s="443"/>
      <c r="K42" s="339"/>
      <c r="L42" s="345">
        <f t="shared" si="1"/>
        <v>3</v>
      </c>
      <c r="M42" s="326"/>
    </row>
    <row r="43" spans="2:13" ht="27.75" customHeight="1" x14ac:dyDescent="0.25">
      <c r="B43" s="503" t="s">
        <v>337</v>
      </c>
      <c r="C43" s="504"/>
      <c r="D43" s="6"/>
      <c r="E43" s="35" t="str">
        <f t="shared" si="0"/>
        <v>Taxi</v>
      </c>
      <c r="F43" s="391"/>
      <c r="G43" s="189"/>
      <c r="H43" s="192">
        <f t="shared" si="2"/>
        <v>0</v>
      </c>
      <c r="I43" s="164" t="str">
        <f t="shared" si="3"/>
        <v/>
      </c>
      <c r="J43" s="443"/>
      <c r="K43" s="339"/>
      <c r="L43" s="345">
        <f t="shared" si="1"/>
        <v>4</v>
      </c>
      <c r="M43" s="326"/>
    </row>
    <row r="44" spans="2:13" x14ac:dyDescent="0.25">
      <c r="B44" s="321" t="s">
        <v>203</v>
      </c>
      <c r="C44" s="336" t="s">
        <v>269</v>
      </c>
      <c r="D44" s="6"/>
      <c r="E44" s="35" t="str">
        <f t="shared" si="0"/>
        <v>Camioneta particular</v>
      </c>
      <c r="F44" s="391"/>
      <c r="G44" s="189"/>
      <c r="H44" s="192">
        <f t="shared" si="2"/>
        <v>0</v>
      </c>
      <c r="I44" s="164" t="str">
        <f t="shared" si="3"/>
        <v/>
      </c>
      <c r="J44" s="443"/>
      <c r="K44" s="339"/>
      <c r="L44" s="345">
        <f t="shared" si="1"/>
        <v>5</v>
      </c>
      <c r="M44" s="326"/>
    </row>
    <row r="45" spans="2:13" ht="15.75" thickBot="1" x14ac:dyDescent="0.3">
      <c r="B45" s="337" t="s">
        <v>205</v>
      </c>
      <c r="C45" s="338" t="s">
        <v>269</v>
      </c>
      <c r="D45" s="6"/>
      <c r="E45" s="35" t="str">
        <f t="shared" si="0"/>
        <v>Microbús transporte público</v>
      </c>
      <c r="F45" s="391"/>
      <c r="G45" s="189"/>
      <c r="H45" s="192">
        <f t="shared" si="2"/>
        <v>0</v>
      </c>
      <c r="I45" s="164" t="str">
        <f t="shared" si="3"/>
        <v/>
      </c>
      <c r="J45" s="443"/>
      <c r="K45" s="339"/>
      <c r="L45" s="345">
        <f t="shared" si="1"/>
        <v>6</v>
      </c>
      <c r="M45" s="326"/>
    </row>
    <row r="46" spans="2:13" ht="15" customHeight="1" x14ac:dyDescent="0.25">
      <c r="B46" s="530" t="s">
        <v>332</v>
      </c>
      <c r="C46" s="531"/>
      <c r="D46" s="6"/>
      <c r="E46" s="35" t="str">
        <f t="shared" si="0"/>
        <v>Autobús transporte público</v>
      </c>
      <c r="F46" s="391"/>
      <c r="G46" s="189"/>
      <c r="H46" s="192">
        <f t="shared" si="2"/>
        <v>0</v>
      </c>
      <c r="I46" s="164" t="str">
        <f t="shared" si="3"/>
        <v/>
      </c>
      <c r="J46" s="443"/>
      <c r="K46" s="339"/>
      <c r="L46" s="345">
        <f t="shared" si="1"/>
        <v>7</v>
      </c>
      <c r="M46" s="326"/>
    </row>
    <row r="47" spans="2:13" x14ac:dyDescent="0.25">
      <c r="B47" s="497"/>
      <c r="C47" s="499"/>
      <c r="D47" s="6"/>
      <c r="E47" s="35" t="str">
        <f t="shared" si="0"/>
        <v>Sistema articulado (BRT)</v>
      </c>
      <c r="F47" s="391"/>
      <c r="G47" s="189"/>
      <c r="H47" s="192">
        <f t="shared" si="2"/>
        <v>0</v>
      </c>
      <c r="I47" s="164" t="str">
        <f t="shared" si="3"/>
        <v/>
      </c>
      <c r="J47" s="443"/>
      <c r="K47" s="339"/>
      <c r="L47" s="345">
        <f t="shared" si="1"/>
        <v>8</v>
      </c>
      <c r="M47" s="326"/>
    </row>
    <row r="48" spans="2:13" s="39" customFormat="1" ht="15" customHeight="1" x14ac:dyDescent="0.25">
      <c r="B48" s="497"/>
      <c r="C48" s="499"/>
      <c r="D48" s="316"/>
      <c r="E48" s="35" t="str">
        <f>B27</f>
        <v>Trolebús</v>
      </c>
      <c r="F48" s="391"/>
      <c r="G48" s="189"/>
      <c r="H48" s="192">
        <f t="shared" si="2"/>
        <v>0</v>
      </c>
      <c r="I48" s="164" t="str">
        <f t="shared" si="3"/>
        <v/>
      </c>
      <c r="J48" s="443"/>
      <c r="K48" s="6"/>
      <c r="L48" s="345">
        <f t="shared" si="1"/>
        <v>9</v>
      </c>
      <c r="M48" s="326"/>
    </row>
    <row r="49" spans="2:14" s="39" customFormat="1" x14ac:dyDescent="0.25">
      <c r="B49" s="497"/>
      <c r="C49" s="499"/>
      <c r="D49" s="316"/>
      <c r="E49" s="35" t="str">
        <f>B28</f>
        <v>Tren Ligero</v>
      </c>
      <c r="F49" s="391"/>
      <c r="G49" s="189"/>
      <c r="H49" s="192">
        <f t="shared" si="2"/>
        <v>0</v>
      </c>
      <c r="I49" s="164" t="str">
        <f>IF(H49=0,"",(H49/$H$51))</f>
        <v/>
      </c>
      <c r="J49" s="443"/>
      <c r="K49" s="169"/>
      <c r="L49" s="345">
        <f>+L48+1</f>
        <v>10</v>
      </c>
      <c r="M49" s="326"/>
    </row>
    <row r="50" spans="2:14" ht="30.75" thickBot="1" x14ac:dyDescent="0.3">
      <c r="B50" s="500"/>
      <c r="C50" s="502"/>
      <c r="D50" s="6"/>
      <c r="E50" s="321" t="str">
        <f t="shared" ref="E50" si="4">B29</f>
        <v>Transporte no motorizado (peatón y bicicleta)</v>
      </c>
      <c r="F50" s="391"/>
      <c r="G50" s="189"/>
      <c r="H50" s="192">
        <f>$J$38*F50*G50</f>
        <v>0</v>
      </c>
      <c r="I50" s="164" t="str">
        <f>IF(H50=0,"",(H50/$H$51))</f>
        <v/>
      </c>
      <c r="J50" s="443"/>
      <c r="K50" s="169"/>
      <c r="L50" s="345">
        <f t="shared" si="1"/>
        <v>11</v>
      </c>
      <c r="M50" s="326"/>
    </row>
    <row r="51" spans="2:14" ht="15" customHeight="1" x14ac:dyDescent="0.25">
      <c r="B51" s="318"/>
      <c r="C51" s="6"/>
      <c r="D51" s="6"/>
      <c r="E51" s="343" t="s">
        <v>144</v>
      </c>
      <c r="F51" s="444">
        <f>SUM(F41:F50)</f>
        <v>0</v>
      </c>
      <c r="G51" s="322"/>
      <c r="H51" s="193">
        <f>SUM(H41:H50)</f>
        <v>0</v>
      </c>
      <c r="I51" s="393">
        <f>SUM(I41:I50)</f>
        <v>0</v>
      </c>
      <c r="J51" s="444">
        <f>SUM(J41:J50)</f>
        <v>0</v>
      </c>
      <c r="K51" s="169"/>
      <c r="L51" s="345">
        <f>+L50+1</f>
        <v>12</v>
      </c>
      <c r="M51" s="326"/>
    </row>
    <row r="52" spans="2:14" x14ac:dyDescent="0.25">
      <c r="B52" s="318"/>
      <c r="C52" s="6"/>
      <c r="D52" s="6"/>
      <c r="E52" s="497" t="s">
        <v>295</v>
      </c>
      <c r="F52" s="498"/>
      <c r="G52" s="498"/>
      <c r="H52" s="498"/>
      <c r="I52" s="498"/>
      <c r="J52" s="499"/>
      <c r="K52" s="6"/>
      <c r="L52" s="345">
        <f t="shared" si="1"/>
        <v>13</v>
      </c>
      <c r="M52" s="326"/>
    </row>
    <row r="53" spans="2:14" ht="15.75" thickBot="1" x14ac:dyDescent="0.3">
      <c r="B53" s="318"/>
      <c r="C53" s="446"/>
      <c r="D53" s="6"/>
      <c r="E53" s="500"/>
      <c r="F53" s="501"/>
      <c r="G53" s="501"/>
      <c r="H53" s="501"/>
      <c r="I53" s="501"/>
      <c r="J53" s="502"/>
      <c r="K53" s="6"/>
      <c r="L53" s="345">
        <f t="shared" si="1"/>
        <v>14</v>
      </c>
      <c r="M53" s="326"/>
    </row>
    <row r="54" spans="2:14" x14ac:dyDescent="0.25">
      <c r="B54" s="318"/>
      <c r="C54" s="446"/>
      <c r="D54" s="6"/>
      <c r="E54" s="6"/>
      <c r="F54" s="6"/>
      <c r="G54" s="6"/>
      <c r="H54" s="6"/>
      <c r="I54" s="6"/>
      <c r="J54" s="6"/>
      <c r="K54" s="6"/>
      <c r="L54" s="345">
        <f t="shared" si="1"/>
        <v>15</v>
      </c>
      <c r="M54" s="326"/>
    </row>
    <row r="55" spans="2:14" ht="15" customHeight="1" x14ac:dyDescent="0.25">
      <c r="B55" s="318"/>
      <c r="C55" s="446"/>
      <c r="D55" s="6"/>
      <c r="E55" s="6"/>
      <c r="F55" s="6"/>
      <c r="G55" s="6"/>
      <c r="H55" s="6"/>
      <c r="I55" s="6"/>
      <c r="J55" s="6"/>
      <c r="K55" s="6"/>
      <c r="L55" s="473" t="s">
        <v>330</v>
      </c>
      <c r="M55" s="474"/>
    </row>
    <row r="56" spans="2:14" x14ac:dyDescent="0.25">
      <c r="B56" s="318"/>
      <c r="C56" s="6"/>
      <c r="D56" s="6"/>
      <c r="E56" s="6"/>
      <c r="F56" s="6"/>
      <c r="G56" s="6"/>
      <c r="H56" s="6"/>
      <c r="I56" s="6"/>
      <c r="J56" s="6"/>
      <c r="K56" s="6"/>
      <c r="L56" s="475"/>
      <c r="M56" s="476"/>
    </row>
    <row r="57" spans="2:14" x14ac:dyDescent="0.25">
      <c r="B57" s="318"/>
      <c r="C57" s="6"/>
      <c r="D57" s="6"/>
      <c r="E57" s="6"/>
      <c r="F57" s="6"/>
      <c r="G57" s="6"/>
      <c r="H57" s="6"/>
      <c r="I57" s="6"/>
      <c r="J57" s="6"/>
      <c r="K57" s="6"/>
      <c r="L57" s="475"/>
      <c r="M57" s="476"/>
    </row>
    <row r="58" spans="2:14" x14ac:dyDescent="0.25">
      <c r="B58" s="318"/>
      <c r="C58" s="6"/>
      <c r="D58" s="6"/>
      <c r="E58" s="6"/>
      <c r="F58" s="6"/>
      <c r="G58" s="6"/>
      <c r="H58" s="6"/>
      <c r="I58" s="6"/>
      <c r="J58" s="6"/>
      <c r="K58" s="6"/>
      <c r="L58" s="475"/>
      <c r="M58" s="476"/>
    </row>
    <row r="59" spans="2:14" x14ac:dyDescent="0.25">
      <c r="B59" s="318"/>
      <c r="C59" s="6"/>
      <c r="D59" s="6"/>
      <c r="E59" s="6"/>
      <c r="F59" s="6"/>
      <c r="G59" s="6"/>
      <c r="H59" s="6"/>
      <c r="I59" s="6"/>
      <c r="J59" s="6"/>
      <c r="K59" s="6"/>
      <c r="L59" s="475"/>
      <c r="M59" s="476"/>
    </row>
    <row r="60" spans="2:14" ht="15.75" thickBot="1" x14ac:dyDescent="0.3">
      <c r="B60" s="323"/>
      <c r="C60" s="324"/>
      <c r="D60" s="324"/>
      <c r="E60" s="324"/>
      <c r="F60" s="324"/>
      <c r="G60" s="324"/>
      <c r="H60" s="324"/>
      <c r="I60" s="324"/>
      <c r="J60" s="324"/>
      <c r="K60" s="324"/>
      <c r="L60" s="477"/>
      <c r="M60" s="478"/>
    </row>
    <row r="61" spans="2:14" x14ac:dyDescent="0.25">
      <c r="N61" s="142"/>
    </row>
    <row r="62" spans="2:14" x14ac:dyDescent="0.25">
      <c r="L62" s="142"/>
      <c r="M62" s="142"/>
      <c r="N62" s="142"/>
    </row>
  </sheetData>
  <mergeCells count="32">
    <mergeCell ref="H22:M22"/>
    <mergeCell ref="H23:M23"/>
    <mergeCell ref="H24:M24"/>
    <mergeCell ref="H25:M25"/>
    <mergeCell ref="H26:M26"/>
    <mergeCell ref="B34:M34"/>
    <mergeCell ref="B35:M35"/>
    <mergeCell ref="B30:M30"/>
    <mergeCell ref="B46:C50"/>
    <mergeCell ref="H27:M27"/>
    <mergeCell ref="H28:M28"/>
    <mergeCell ref="B1:M1"/>
    <mergeCell ref="B3:M3"/>
    <mergeCell ref="B4:M4"/>
    <mergeCell ref="B6:M6"/>
    <mergeCell ref="C7:M7"/>
    <mergeCell ref="L55:M60"/>
    <mergeCell ref="D9:M9"/>
    <mergeCell ref="D10:M10"/>
    <mergeCell ref="D11:M11"/>
    <mergeCell ref="E37:J37"/>
    <mergeCell ref="D15:M15"/>
    <mergeCell ref="D13:M13"/>
    <mergeCell ref="D14:M14"/>
    <mergeCell ref="B18:M18"/>
    <mergeCell ref="H19:M19"/>
    <mergeCell ref="H20:M20"/>
    <mergeCell ref="H21:M21"/>
    <mergeCell ref="E52:J53"/>
    <mergeCell ref="B43:C43"/>
    <mergeCell ref="B37:C37"/>
    <mergeCell ref="L37:M3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Constantes!$B$51:$B$53</xm:f>
          </x14:formula1>
          <xm:sqref>C45</xm:sqref>
        </x14:dataValidation>
        <x14:dataValidation type="list" allowBlank="1" showInputMessage="1" showErrorMessage="1">
          <x14:formula1>
            <xm:f>Constantes!$B$45:$B$47</xm:f>
          </x14:formula1>
          <xm:sqref>C44</xm:sqref>
        </x14:dataValidation>
        <x14:dataValidation type="list" allowBlank="1" showInputMessage="1" showErrorMessage="1">
          <x14:formula1>
            <xm:f>Constantes!$B$73:$B$74</xm:f>
          </x14:formula1>
          <xm:sqref>C20:C26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1:V106"/>
  <sheetViews>
    <sheetView showGridLines="0" zoomScale="80" zoomScaleNormal="80" zoomScalePageLayoutView="80" workbookViewId="0">
      <pane ySplit="1" topLeftCell="A2" activePane="bottomLeft" state="frozen"/>
      <selection pane="bottomLeft"/>
    </sheetView>
  </sheetViews>
  <sheetFormatPr defaultColWidth="9.140625" defaultRowHeight="15" x14ac:dyDescent="0.25"/>
  <cols>
    <col min="1" max="1" width="1.42578125" customWidth="1"/>
    <col min="2" max="2" width="36" style="223" customWidth="1"/>
    <col min="3" max="3" width="17.140625" customWidth="1"/>
    <col min="4" max="5" width="20.42578125" customWidth="1"/>
    <col min="6" max="6" width="21.28515625" customWidth="1"/>
    <col min="7" max="7" width="5.42578125" customWidth="1"/>
  </cols>
  <sheetData>
    <row r="1" spans="2:22" ht="21" x14ac:dyDescent="0.35">
      <c r="B1" s="509" t="s">
        <v>171</v>
      </c>
      <c r="C1" s="509"/>
      <c r="D1" s="509"/>
      <c r="E1" s="509"/>
      <c r="F1" s="509"/>
      <c r="G1" s="509"/>
      <c r="H1" s="509"/>
      <c r="I1" s="509"/>
      <c r="J1" s="509"/>
      <c r="K1" s="509"/>
      <c r="L1" s="509"/>
      <c r="M1" s="509"/>
      <c r="N1" s="509"/>
      <c r="O1" s="509"/>
      <c r="P1" s="509"/>
      <c r="Q1" s="509"/>
      <c r="R1" s="509"/>
      <c r="S1" s="509"/>
      <c r="T1" s="509"/>
      <c r="U1" s="509"/>
      <c r="V1" s="509"/>
    </row>
    <row r="2" spans="2:22" x14ac:dyDescent="0.25">
      <c r="C2" s="13"/>
    </row>
    <row r="3" spans="2:22" ht="18.75" x14ac:dyDescent="0.3">
      <c r="B3" s="535" t="s">
        <v>296</v>
      </c>
      <c r="C3" s="535"/>
      <c r="D3" s="535"/>
      <c r="E3" s="535"/>
      <c r="F3" s="535"/>
    </row>
    <row r="4" spans="2:22" ht="60" x14ac:dyDescent="0.25">
      <c r="B4" s="303" t="s">
        <v>113</v>
      </c>
      <c r="C4" s="46" t="s">
        <v>166</v>
      </c>
      <c r="D4" s="46" t="s">
        <v>167</v>
      </c>
      <c r="E4" s="46" t="s">
        <v>168</v>
      </c>
      <c r="F4" s="46" t="s">
        <v>169</v>
      </c>
    </row>
    <row r="5" spans="2:22" x14ac:dyDescent="0.25">
      <c r="B5" s="311">
        <f>Escenarios!B8</f>
        <v>0</v>
      </c>
      <c r="C5" s="136" t="e">
        <f>($C$104-$D$104)*D80</f>
        <v>#DIV/0!</v>
      </c>
      <c r="D5" s="363" t="e">
        <f>C5</f>
        <v>#DIV/0!</v>
      </c>
      <c r="E5" s="136" t="e">
        <f>($C$105-$D$105)*D80</f>
        <v>#DIV/0!</v>
      </c>
      <c r="F5" s="136" t="e">
        <f>E5</f>
        <v>#DIV/0!</v>
      </c>
    </row>
    <row r="6" spans="2:22" x14ac:dyDescent="0.25">
      <c r="B6" s="311">
        <f>Escenarios!B9</f>
        <v>1</v>
      </c>
      <c r="C6" s="136" t="e">
        <f t="shared" ref="C6:C20" si="0">($C$104-$D$104)*D81</f>
        <v>#DIV/0!</v>
      </c>
      <c r="D6" s="136" t="e">
        <f>C6+D5</f>
        <v>#DIV/0!</v>
      </c>
      <c r="E6" s="136" t="e">
        <f t="shared" ref="E6:E20" si="1">($C$105-$D$105)*D81</f>
        <v>#DIV/0!</v>
      </c>
      <c r="F6" s="136" t="e">
        <f>E6+F5</f>
        <v>#DIV/0!</v>
      </c>
    </row>
    <row r="7" spans="2:22" x14ac:dyDescent="0.25">
      <c r="B7" s="311">
        <f>Escenarios!B10</f>
        <v>2</v>
      </c>
      <c r="C7" s="136" t="e">
        <f t="shared" si="0"/>
        <v>#DIV/0!</v>
      </c>
      <c r="D7" s="136" t="e">
        <f t="shared" ref="D7:F20" si="2">C7+D6</f>
        <v>#DIV/0!</v>
      </c>
      <c r="E7" s="136" t="e">
        <f t="shared" si="1"/>
        <v>#DIV/0!</v>
      </c>
      <c r="F7" s="136" t="e">
        <f t="shared" si="2"/>
        <v>#DIV/0!</v>
      </c>
    </row>
    <row r="8" spans="2:22" x14ac:dyDescent="0.25">
      <c r="B8" s="311">
        <f>Escenarios!B11</f>
        <v>3</v>
      </c>
      <c r="C8" s="136" t="e">
        <f t="shared" si="0"/>
        <v>#DIV/0!</v>
      </c>
      <c r="D8" s="136" t="e">
        <f t="shared" si="2"/>
        <v>#DIV/0!</v>
      </c>
      <c r="E8" s="136" t="e">
        <f t="shared" si="1"/>
        <v>#DIV/0!</v>
      </c>
      <c r="F8" s="136" t="e">
        <f t="shared" si="2"/>
        <v>#DIV/0!</v>
      </c>
    </row>
    <row r="9" spans="2:22" x14ac:dyDescent="0.25">
      <c r="B9" s="311">
        <f>Escenarios!B12</f>
        <v>4</v>
      </c>
      <c r="C9" s="136" t="e">
        <f t="shared" si="0"/>
        <v>#DIV/0!</v>
      </c>
      <c r="D9" s="136" t="e">
        <f t="shared" si="2"/>
        <v>#DIV/0!</v>
      </c>
      <c r="E9" s="136" t="e">
        <f t="shared" si="1"/>
        <v>#DIV/0!</v>
      </c>
      <c r="F9" s="136" t="e">
        <f t="shared" si="2"/>
        <v>#DIV/0!</v>
      </c>
    </row>
    <row r="10" spans="2:22" x14ac:dyDescent="0.25">
      <c r="B10" s="311">
        <f>Escenarios!B13</f>
        <v>5</v>
      </c>
      <c r="C10" s="136" t="e">
        <f t="shared" si="0"/>
        <v>#DIV/0!</v>
      </c>
      <c r="D10" s="136" t="e">
        <f t="shared" si="2"/>
        <v>#DIV/0!</v>
      </c>
      <c r="E10" s="136" t="e">
        <f t="shared" si="1"/>
        <v>#DIV/0!</v>
      </c>
      <c r="F10" s="136" t="e">
        <f t="shared" si="2"/>
        <v>#DIV/0!</v>
      </c>
    </row>
    <row r="11" spans="2:22" x14ac:dyDescent="0.25">
      <c r="B11" s="311">
        <f>Escenarios!B14</f>
        <v>6</v>
      </c>
      <c r="C11" s="136" t="e">
        <f t="shared" si="0"/>
        <v>#DIV/0!</v>
      </c>
      <c r="D11" s="136" t="e">
        <f t="shared" si="2"/>
        <v>#DIV/0!</v>
      </c>
      <c r="E11" s="136" t="e">
        <f t="shared" si="1"/>
        <v>#DIV/0!</v>
      </c>
      <c r="F11" s="136" t="e">
        <f t="shared" si="2"/>
        <v>#DIV/0!</v>
      </c>
    </row>
    <row r="12" spans="2:22" x14ac:dyDescent="0.25">
      <c r="B12" s="311">
        <f>Escenarios!B15</f>
        <v>7</v>
      </c>
      <c r="C12" s="136" t="e">
        <f t="shared" si="0"/>
        <v>#DIV/0!</v>
      </c>
      <c r="D12" s="136" t="e">
        <f t="shared" si="2"/>
        <v>#DIV/0!</v>
      </c>
      <c r="E12" s="136" t="e">
        <f t="shared" si="1"/>
        <v>#DIV/0!</v>
      </c>
      <c r="F12" s="136" t="e">
        <f t="shared" si="2"/>
        <v>#DIV/0!</v>
      </c>
    </row>
    <row r="13" spans="2:22" x14ac:dyDescent="0.25">
      <c r="B13" s="311">
        <f>Escenarios!B16</f>
        <v>8</v>
      </c>
      <c r="C13" s="136" t="e">
        <f t="shared" si="0"/>
        <v>#DIV/0!</v>
      </c>
      <c r="D13" s="136" t="e">
        <f t="shared" si="2"/>
        <v>#DIV/0!</v>
      </c>
      <c r="E13" s="136" t="e">
        <f t="shared" si="1"/>
        <v>#DIV/0!</v>
      </c>
      <c r="F13" s="136" t="e">
        <f t="shared" si="2"/>
        <v>#DIV/0!</v>
      </c>
    </row>
    <row r="14" spans="2:22" x14ac:dyDescent="0.25">
      <c r="B14" s="311">
        <f>Escenarios!B17</f>
        <v>9</v>
      </c>
      <c r="C14" s="136" t="e">
        <f t="shared" si="0"/>
        <v>#DIV/0!</v>
      </c>
      <c r="D14" s="136" t="e">
        <f t="shared" si="2"/>
        <v>#DIV/0!</v>
      </c>
      <c r="E14" s="136" t="e">
        <f t="shared" si="1"/>
        <v>#DIV/0!</v>
      </c>
      <c r="F14" s="136" t="e">
        <f t="shared" si="2"/>
        <v>#DIV/0!</v>
      </c>
    </row>
    <row r="15" spans="2:22" x14ac:dyDescent="0.25">
      <c r="B15" s="311">
        <f>Escenarios!B18</f>
        <v>10</v>
      </c>
      <c r="C15" s="136" t="e">
        <f t="shared" si="0"/>
        <v>#DIV/0!</v>
      </c>
      <c r="D15" s="136" t="e">
        <f t="shared" si="2"/>
        <v>#DIV/0!</v>
      </c>
      <c r="E15" s="136" t="e">
        <f t="shared" si="1"/>
        <v>#DIV/0!</v>
      </c>
      <c r="F15" s="136" t="e">
        <f t="shared" si="2"/>
        <v>#DIV/0!</v>
      </c>
    </row>
    <row r="16" spans="2:22" x14ac:dyDescent="0.25">
      <c r="B16" s="311">
        <f>Escenarios!B19</f>
        <v>11</v>
      </c>
      <c r="C16" s="136" t="e">
        <f t="shared" si="0"/>
        <v>#DIV/0!</v>
      </c>
      <c r="D16" s="136" t="e">
        <f t="shared" si="2"/>
        <v>#DIV/0!</v>
      </c>
      <c r="E16" s="136" t="e">
        <f t="shared" si="1"/>
        <v>#DIV/0!</v>
      </c>
      <c r="F16" s="136" t="e">
        <f t="shared" si="2"/>
        <v>#DIV/0!</v>
      </c>
    </row>
    <row r="17" spans="2:19" x14ac:dyDescent="0.25">
      <c r="B17" s="311">
        <f>Escenarios!B20</f>
        <v>12</v>
      </c>
      <c r="C17" s="136" t="e">
        <f t="shared" si="0"/>
        <v>#DIV/0!</v>
      </c>
      <c r="D17" s="136" t="e">
        <f t="shared" si="2"/>
        <v>#DIV/0!</v>
      </c>
      <c r="E17" s="136" t="e">
        <f t="shared" si="1"/>
        <v>#DIV/0!</v>
      </c>
      <c r="F17" s="136" t="e">
        <f t="shared" si="2"/>
        <v>#DIV/0!</v>
      </c>
    </row>
    <row r="18" spans="2:19" x14ac:dyDescent="0.25">
      <c r="B18" s="311">
        <f>Escenarios!B21</f>
        <v>13</v>
      </c>
      <c r="C18" s="136" t="e">
        <f t="shared" si="0"/>
        <v>#DIV/0!</v>
      </c>
      <c r="D18" s="136" t="e">
        <f t="shared" si="2"/>
        <v>#DIV/0!</v>
      </c>
      <c r="E18" s="136" t="e">
        <f t="shared" si="1"/>
        <v>#DIV/0!</v>
      </c>
      <c r="F18" s="136" t="e">
        <f t="shared" si="2"/>
        <v>#DIV/0!</v>
      </c>
    </row>
    <row r="19" spans="2:19" x14ac:dyDescent="0.25">
      <c r="B19" s="311">
        <f>Escenarios!B22</f>
        <v>14</v>
      </c>
      <c r="C19" s="136" t="e">
        <f t="shared" si="0"/>
        <v>#DIV/0!</v>
      </c>
      <c r="D19" s="136" t="e">
        <f t="shared" si="2"/>
        <v>#DIV/0!</v>
      </c>
      <c r="E19" s="136" t="e">
        <f t="shared" si="1"/>
        <v>#DIV/0!</v>
      </c>
      <c r="F19" s="136" t="e">
        <f t="shared" si="2"/>
        <v>#DIV/0!</v>
      </c>
    </row>
    <row r="20" spans="2:19" x14ac:dyDescent="0.25">
      <c r="B20" s="311">
        <f>Escenarios!B23</f>
        <v>15</v>
      </c>
      <c r="C20" s="136" t="e">
        <f t="shared" si="0"/>
        <v>#DIV/0!</v>
      </c>
      <c r="D20" s="136" t="e">
        <f t="shared" si="2"/>
        <v>#DIV/0!</v>
      </c>
      <c r="E20" s="136" t="e">
        <f t="shared" si="1"/>
        <v>#DIV/0!</v>
      </c>
      <c r="F20" s="136" t="e">
        <f t="shared" si="2"/>
        <v>#DIV/0!</v>
      </c>
    </row>
    <row r="22" spans="2:19" x14ac:dyDescent="0.25">
      <c r="Q22" s="6"/>
      <c r="R22" s="6"/>
      <c r="S22" s="6"/>
    </row>
    <row r="23" spans="2:19" ht="15.75" customHeight="1" x14ac:dyDescent="0.3">
      <c r="B23" s="535" t="s">
        <v>161</v>
      </c>
      <c r="C23" s="535"/>
      <c r="D23" s="535"/>
      <c r="E23" s="535"/>
      <c r="F23" s="535"/>
      <c r="Q23" s="6"/>
      <c r="R23" s="6"/>
      <c r="S23" s="6"/>
    </row>
    <row r="24" spans="2:19" ht="15.75" customHeight="1" x14ac:dyDescent="0.25">
      <c r="B24" s="184"/>
      <c r="C24" s="536" t="s">
        <v>162</v>
      </c>
      <c r="D24" s="536"/>
      <c r="E24" s="536" t="s">
        <v>163</v>
      </c>
      <c r="F24" s="536"/>
    </row>
    <row r="25" spans="2:19" ht="60" customHeight="1" x14ac:dyDescent="0.25">
      <c r="B25" s="303" t="s">
        <v>113</v>
      </c>
      <c r="C25" s="46" t="s">
        <v>165</v>
      </c>
      <c r="D25" s="46" t="s">
        <v>178</v>
      </c>
      <c r="E25" s="46" t="s">
        <v>164</v>
      </c>
      <c r="F25" s="46" t="s">
        <v>179</v>
      </c>
    </row>
    <row r="26" spans="2:19" ht="15" customHeight="1" x14ac:dyDescent="0.25">
      <c r="B26" s="311">
        <f>Escenarios!B8</f>
        <v>0</v>
      </c>
      <c r="C26" s="136" t="e">
        <f>Escenarios!G47</f>
        <v>#DIV/0!</v>
      </c>
      <c r="D26" s="136" t="e">
        <f>Escenarios!F47</f>
        <v>#DIV/0!</v>
      </c>
      <c r="E26" s="136" t="e">
        <f>Escenarios!G27</f>
        <v>#DIV/0!</v>
      </c>
      <c r="F26" s="136" t="e">
        <f>Escenarios!F27</f>
        <v>#DIV/0!</v>
      </c>
      <c r="G26" s="456"/>
      <c r="H26" s="457"/>
    </row>
    <row r="27" spans="2:19" ht="15" customHeight="1" x14ac:dyDescent="0.25">
      <c r="B27" s="311">
        <f>Escenarios!B9</f>
        <v>1</v>
      </c>
      <c r="C27" s="136" t="e">
        <f>Escenarios!G48</f>
        <v>#DIV/0!</v>
      </c>
      <c r="D27" s="136" t="e">
        <f>Escenarios!F48</f>
        <v>#DIV/0!</v>
      </c>
      <c r="E27" s="136" t="e">
        <f>Escenarios!G28</f>
        <v>#DIV/0!</v>
      </c>
      <c r="F27" s="136" t="e">
        <f>Escenarios!F28</f>
        <v>#DIV/0!</v>
      </c>
      <c r="G27" s="456"/>
      <c r="H27" s="457"/>
    </row>
    <row r="28" spans="2:19" x14ac:dyDescent="0.25">
      <c r="B28" s="311">
        <f>Escenarios!B10</f>
        <v>2</v>
      </c>
      <c r="C28" s="136" t="e">
        <f>Escenarios!G49</f>
        <v>#DIV/0!</v>
      </c>
      <c r="D28" s="136" t="e">
        <f>Escenarios!F49</f>
        <v>#DIV/0!</v>
      </c>
      <c r="E28" s="136" t="e">
        <f>Escenarios!G29</f>
        <v>#DIV/0!</v>
      </c>
      <c r="F28" s="136" t="e">
        <f>Escenarios!F29</f>
        <v>#DIV/0!</v>
      </c>
      <c r="G28" s="456"/>
      <c r="H28" s="457"/>
    </row>
    <row r="29" spans="2:19" x14ac:dyDescent="0.25">
      <c r="B29" s="311">
        <f>Escenarios!B11</f>
        <v>3</v>
      </c>
      <c r="C29" s="136" t="e">
        <f>Escenarios!G50</f>
        <v>#DIV/0!</v>
      </c>
      <c r="D29" s="136" t="e">
        <f>Escenarios!F50</f>
        <v>#DIV/0!</v>
      </c>
      <c r="E29" s="136" t="e">
        <f>Escenarios!G30</f>
        <v>#DIV/0!</v>
      </c>
      <c r="F29" s="136" t="e">
        <f>Escenarios!F30</f>
        <v>#DIV/0!</v>
      </c>
      <c r="G29" s="456"/>
      <c r="H29" s="457"/>
    </row>
    <row r="30" spans="2:19" x14ac:dyDescent="0.25">
      <c r="B30" s="311">
        <f>Escenarios!B12</f>
        <v>4</v>
      </c>
      <c r="C30" s="136" t="e">
        <f>Escenarios!G51</f>
        <v>#DIV/0!</v>
      </c>
      <c r="D30" s="136" t="e">
        <f>Escenarios!F51</f>
        <v>#DIV/0!</v>
      </c>
      <c r="E30" s="136" t="e">
        <f>Escenarios!G31</f>
        <v>#DIV/0!</v>
      </c>
      <c r="F30" s="136" t="e">
        <f>Escenarios!F31</f>
        <v>#DIV/0!</v>
      </c>
      <c r="G30" s="456"/>
      <c r="H30" s="457"/>
    </row>
    <row r="31" spans="2:19" x14ac:dyDescent="0.25">
      <c r="B31" s="311">
        <f>Escenarios!B13</f>
        <v>5</v>
      </c>
      <c r="C31" s="136" t="e">
        <f>Escenarios!G52</f>
        <v>#DIV/0!</v>
      </c>
      <c r="D31" s="136" t="e">
        <f>Escenarios!F52</f>
        <v>#DIV/0!</v>
      </c>
      <c r="E31" s="136" t="e">
        <f>Escenarios!G32</f>
        <v>#DIV/0!</v>
      </c>
      <c r="F31" s="136" t="e">
        <f>Escenarios!F32</f>
        <v>#DIV/0!</v>
      </c>
      <c r="G31" s="456"/>
      <c r="H31" s="457"/>
    </row>
    <row r="32" spans="2:19" x14ac:dyDescent="0.25">
      <c r="B32" s="311">
        <f>Escenarios!B14</f>
        <v>6</v>
      </c>
      <c r="C32" s="136" t="e">
        <f>Escenarios!G53</f>
        <v>#DIV/0!</v>
      </c>
      <c r="D32" s="136" t="e">
        <f>Escenarios!F53</f>
        <v>#DIV/0!</v>
      </c>
      <c r="E32" s="136" t="e">
        <f>Escenarios!G33</f>
        <v>#DIV/0!</v>
      </c>
      <c r="F32" s="136" t="e">
        <f>Escenarios!F33</f>
        <v>#DIV/0!</v>
      </c>
      <c r="G32" s="456"/>
      <c r="H32" s="457"/>
    </row>
    <row r="33" spans="2:8" x14ac:dyDescent="0.25">
      <c r="B33" s="311">
        <f>Escenarios!B15</f>
        <v>7</v>
      </c>
      <c r="C33" s="136" t="e">
        <f>Escenarios!G54</f>
        <v>#DIV/0!</v>
      </c>
      <c r="D33" s="136" t="e">
        <f>Escenarios!F54</f>
        <v>#DIV/0!</v>
      </c>
      <c r="E33" s="136" t="e">
        <f>Escenarios!G34</f>
        <v>#DIV/0!</v>
      </c>
      <c r="F33" s="136" t="e">
        <f>Escenarios!F34</f>
        <v>#DIV/0!</v>
      </c>
      <c r="G33" s="456"/>
      <c r="H33" s="457"/>
    </row>
    <row r="34" spans="2:8" x14ac:dyDescent="0.25">
      <c r="B34" s="311">
        <f>Escenarios!B16</f>
        <v>8</v>
      </c>
      <c r="C34" s="136" t="e">
        <f>Escenarios!G55</f>
        <v>#DIV/0!</v>
      </c>
      <c r="D34" s="136" t="e">
        <f>Escenarios!F55</f>
        <v>#DIV/0!</v>
      </c>
      <c r="E34" s="136" t="e">
        <f>Escenarios!G35</f>
        <v>#DIV/0!</v>
      </c>
      <c r="F34" s="136" t="e">
        <f>Escenarios!F35</f>
        <v>#DIV/0!</v>
      </c>
      <c r="G34" s="456"/>
      <c r="H34" s="457"/>
    </row>
    <row r="35" spans="2:8" x14ac:dyDescent="0.25">
      <c r="B35" s="311">
        <f>Escenarios!B17</f>
        <v>9</v>
      </c>
      <c r="C35" s="136" t="e">
        <f>Escenarios!G56</f>
        <v>#DIV/0!</v>
      </c>
      <c r="D35" s="136" t="e">
        <f>Escenarios!F56</f>
        <v>#DIV/0!</v>
      </c>
      <c r="E35" s="136" t="e">
        <f>Escenarios!G36</f>
        <v>#DIV/0!</v>
      </c>
      <c r="F35" s="136" t="e">
        <f>Escenarios!F36</f>
        <v>#DIV/0!</v>
      </c>
      <c r="G35" s="456"/>
      <c r="H35" s="457"/>
    </row>
    <row r="36" spans="2:8" x14ac:dyDescent="0.25">
      <c r="B36" s="311">
        <f>Escenarios!B18</f>
        <v>10</v>
      </c>
      <c r="C36" s="136" t="e">
        <f>Escenarios!G57</f>
        <v>#DIV/0!</v>
      </c>
      <c r="D36" s="136" t="e">
        <f>Escenarios!F57</f>
        <v>#DIV/0!</v>
      </c>
      <c r="E36" s="136" t="e">
        <f>Escenarios!G37</f>
        <v>#DIV/0!</v>
      </c>
      <c r="F36" s="136" t="e">
        <f>Escenarios!F37</f>
        <v>#DIV/0!</v>
      </c>
      <c r="G36" s="456"/>
      <c r="H36" s="457"/>
    </row>
    <row r="37" spans="2:8" x14ac:dyDescent="0.25">
      <c r="B37" s="311">
        <f>Escenarios!B19</f>
        <v>11</v>
      </c>
      <c r="C37" s="136" t="e">
        <f>Escenarios!G58</f>
        <v>#DIV/0!</v>
      </c>
      <c r="D37" s="136" t="e">
        <f>Escenarios!F58</f>
        <v>#DIV/0!</v>
      </c>
      <c r="E37" s="136" t="e">
        <f>Escenarios!G38</f>
        <v>#DIV/0!</v>
      </c>
      <c r="F37" s="136" t="e">
        <f>Escenarios!F38</f>
        <v>#DIV/0!</v>
      </c>
      <c r="G37" s="456"/>
      <c r="H37" s="457"/>
    </row>
    <row r="38" spans="2:8" x14ac:dyDescent="0.25">
      <c r="B38" s="311">
        <f>Escenarios!B20</f>
        <v>12</v>
      </c>
      <c r="C38" s="136" t="e">
        <f>Escenarios!G59</f>
        <v>#DIV/0!</v>
      </c>
      <c r="D38" s="136" t="e">
        <f>Escenarios!F59</f>
        <v>#DIV/0!</v>
      </c>
      <c r="E38" s="136" t="e">
        <f>Escenarios!G39</f>
        <v>#DIV/0!</v>
      </c>
      <c r="F38" s="136" t="e">
        <f>Escenarios!F39</f>
        <v>#DIV/0!</v>
      </c>
      <c r="G38" s="456"/>
      <c r="H38" s="457"/>
    </row>
    <row r="39" spans="2:8" x14ac:dyDescent="0.25">
      <c r="B39" s="311">
        <f>Escenarios!B21</f>
        <v>13</v>
      </c>
      <c r="C39" s="136" t="e">
        <f>Escenarios!G60</f>
        <v>#DIV/0!</v>
      </c>
      <c r="D39" s="136" t="e">
        <f>Escenarios!F60</f>
        <v>#DIV/0!</v>
      </c>
      <c r="E39" s="136" t="e">
        <f>Escenarios!G40</f>
        <v>#DIV/0!</v>
      </c>
      <c r="F39" s="136" t="e">
        <f>Escenarios!F40</f>
        <v>#DIV/0!</v>
      </c>
      <c r="G39" s="456"/>
      <c r="H39" s="457"/>
    </row>
    <row r="40" spans="2:8" x14ac:dyDescent="0.25">
      <c r="B40" s="311">
        <f>Escenarios!B22</f>
        <v>14</v>
      </c>
      <c r="C40" s="136" t="e">
        <f>Escenarios!G61</f>
        <v>#DIV/0!</v>
      </c>
      <c r="D40" s="136" t="e">
        <f>Escenarios!F61</f>
        <v>#DIV/0!</v>
      </c>
      <c r="E40" s="136" t="e">
        <f>Escenarios!G41</f>
        <v>#DIV/0!</v>
      </c>
      <c r="F40" s="136" t="e">
        <f>Escenarios!F41</f>
        <v>#DIV/0!</v>
      </c>
      <c r="G40" s="456"/>
      <c r="H40" s="457"/>
    </row>
    <row r="41" spans="2:8" x14ac:dyDescent="0.25">
      <c r="B41" s="311">
        <f>Escenarios!B23</f>
        <v>15</v>
      </c>
      <c r="C41" s="136" t="e">
        <f>Escenarios!G62</f>
        <v>#DIV/0!</v>
      </c>
      <c r="D41" s="136" t="e">
        <f>Escenarios!F62</f>
        <v>#DIV/0!</v>
      </c>
      <c r="E41" s="136" t="e">
        <f>Escenarios!G42</f>
        <v>#DIV/0!</v>
      </c>
      <c r="F41" s="136" t="e">
        <f>Escenarios!F42</f>
        <v>#DIV/0!</v>
      </c>
      <c r="G41" s="456"/>
      <c r="H41" s="457"/>
    </row>
    <row r="42" spans="2:8" x14ac:dyDescent="0.25">
      <c r="F42" s="13"/>
      <c r="G42" s="456"/>
    </row>
    <row r="43" spans="2:8" x14ac:dyDescent="0.25">
      <c r="F43" s="392"/>
    </row>
    <row r="45" spans="2:8" x14ac:dyDescent="0.25">
      <c r="B45" s="305"/>
    </row>
    <row r="46" spans="2:8" x14ac:dyDescent="0.25">
      <c r="B46" s="305"/>
    </row>
    <row r="48" spans="2:8" ht="18.75" x14ac:dyDescent="0.3">
      <c r="B48" s="534" t="s">
        <v>0</v>
      </c>
      <c r="C48" s="534"/>
      <c r="D48" s="534"/>
      <c r="E48" s="534"/>
    </row>
    <row r="49" spans="2:5" s="3" customFormat="1" ht="60" x14ac:dyDescent="0.25">
      <c r="B49" s="306" t="s">
        <v>297</v>
      </c>
      <c r="C49" s="113" t="s">
        <v>153</v>
      </c>
      <c r="D49" s="113" t="s">
        <v>99</v>
      </c>
      <c r="E49" s="113" t="s">
        <v>39</v>
      </c>
    </row>
    <row r="50" spans="2:5" x14ac:dyDescent="0.25">
      <c r="B50" s="307" t="str">
        <f>'Captura de Datos'!B14</f>
        <v>Densidad Poblacional (hab/ha)</v>
      </c>
      <c r="C50" s="130">
        <f>'Captura de Datos'!C14</f>
        <v>0</v>
      </c>
      <c r="D50" s="131">
        <f>'Captura de Datos'!C38</f>
        <v>0</v>
      </c>
      <c r="E50" s="132" t="str">
        <f>IF(C50=0,  "", (D50-C50)/C50)</f>
        <v/>
      </c>
    </row>
    <row r="51" spans="2:5" x14ac:dyDescent="0.25">
      <c r="B51" s="304" t="str">
        <f>'Captura de Datos'!B15</f>
        <v>Índice de Uso Mixto (adimensional)</v>
      </c>
      <c r="C51" s="130">
        <f>'Captura de Datos'!C15</f>
        <v>0</v>
      </c>
      <c r="D51" s="130">
        <f>'Captura de Datos'!C39</f>
        <v>0</v>
      </c>
      <c r="E51" s="132" t="str">
        <f>IF(C51=0,  "", (D51-C51)/C51)</f>
        <v/>
      </c>
    </row>
    <row r="59" spans="2:5" ht="15" customHeight="1" x14ac:dyDescent="0.3">
      <c r="B59" s="534" t="s">
        <v>154</v>
      </c>
      <c r="C59" s="534"/>
      <c r="D59" s="534"/>
      <c r="E59" s="534"/>
    </row>
    <row r="60" spans="2:5" ht="30" customHeight="1" x14ac:dyDescent="0.25">
      <c r="B60" s="306" t="s">
        <v>155</v>
      </c>
      <c r="C60" s="113" t="s">
        <v>156</v>
      </c>
      <c r="D60" s="113" t="s">
        <v>157</v>
      </c>
      <c r="E60" s="113" t="s">
        <v>272</v>
      </c>
    </row>
    <row r="61" spans="2:5" ht="15" customHeight="1" x14ac:dyDescent="0.25">
      <c r="B61" s="304" t="str">
        <f>'Captura de Datos'!B20</f>
        <v>Motocicleta</v>
      </c>
      <c r="C61" s="135" t="e">
        <f>'Cálculos Zona DOT'!E26</f>
        <v>#DIV/0!</v>
      </c>
      <c r="D61" s="135" t="e">
        <f>'Cálculos Zona DOT'!F26</f>
        <v>#DIV/0!</v>
      </c>
      <c r="E61" s="135" t="e">
        <f>IF(C61=0,  "", (D61-C61))</f>
        <v>#DIV/0!</v>
      </c>
    </row>
    <row r="62" spans="2:5" ht="15" customHeight="1" x14ac:dyDescent="0.25">
      <c r="B62" s="304" t="str">
        <f>'Captura de Datos'!B21</f>
        <v>Automóvil particular</v>
      </c>
      <c r="C62" s="135" t="e">
        <f>'Cálculos Zona DOT'!E27</f>
        <v>#DIV/0!</v>
      </c>
      <c r="D62" s="135" t="e">
        <f>'Cálculos Zona DOT'!F27</f>
        <v>#DIV/0!</v>
      </c>
      <c r="E62" s="135" t="e">
        <f>IF(C62=0,  "", (D62-C62))</f>
        <v>#DIV/0!</v>
      </c>
    </row>
    <row r="63" spans="2:5" x14ac:dyDescent="0.25">
      <c r="B63" s="304" t="str">
        <f>'Captura de Datos'!B22</f>
        <v>Taxi</v>
      </c>
      <c r="C63" s="135" t="e">
        <f>'Cálculos Zona DOT'!E28</f>
        <v>#DIV/0!</v>
      </c>
      <c r="D63" s="135" t="e">
        <f>'Cálculos Zona DOT'!F28</f>
        <v>#DIV/0!</v>
      </c>
      <c r="E63" s="135" t="e">
        <f t="shared" ref="E63:E68" si="3">IF(C63=0,  "", (D63-C63))</f>
        <v>#DIV/0!</v>
      </c>
    </row>
    <row r="64" spans="2:5" x14ac:dyDescent="0.25">
      <c r="B64" s="304" t="str">
        <f>'Captura de Datos'!B23</f>
        <v>Camioneta particular</v>
      </c>
      <c r="C64" s="135" t="e">
        <f>'Cálculos Zona DOT'!E29</f>
        <v>#DIV/0!</v>
      </c>
      <c r="D64" s="135" t="e">
        <f>'Cálculos Zona DOT'!F29</f>
        <v>#DIV/0!</v>
      </c>
      <c r="E64" s="135" t="e">
        <f t="shared" si="3"/>
        <v>#DIV/0!</v>
      </c>
    </row>
    <row r="65" spans="2:5" x14ac:dyDescent="0.25">
      <c r="B65" s="304" t="str">
        <f>'Captura de Datos'!B24 &amp; " -  " &amp; 'Captura de Datos'!C24</f>
        <v>Microbús transporte público -  Gasolina</v>
      </c>
      <c r="C65" s="135" t="e">
        <f>'Cálculos Zona DOT'!E30</f>
        <v>#DIV/0!</v>
      </c>
      <c r="D65" s="135" t="e">
        <f>'Cálculos Zona DOT'!F30</f>
        <v>#DIV/0!</v>
      </c>
      <c r="E65" s="135" t="e">
        <f t="shared" si="3"/>
        <v>#DIV/0!</v>
      </c>
    </row>
    <row r="66" spans="2:5" x14ac:dyDescent="0.25">
      <c r="B66" s="304" t="str">
        <f>'Captura de Datos'!B25 &amp; " -  " &amp; 'Captura de Datos'!C25</f>
        <v>Autobús transporte público -  Diésel</v>
      </c>
      <c r="C66" s="135" t="e">
        <f>'Cálculos Zona DOT'!E31</f>
        <v>#DIV/0!</v>
      </c>
      <c r="D66" s="135" t="e">
        <f>'Cálculos Zona DOT'!F31</f>
        <v>#DIV/0!</v>
      </c>
      <c r="E66" s="135" t="e">
        <f t="shared" si="3"/>
        <v>#DIV/0!</v>
      </c>
    </row>
    <row r="67" spans="2:5" x14ac:dyDescent="0.25">
      <c r="B67" s="304" t="str">
        <f>'Captura de Datos'!B26</f>
        <v>Sistema articulado (BRT)</v>
      </c>
      <c r="C67" s="135" t="e">
        <f>'Cálculos Zona DOT'!E32</f>
        <v>#DIV/0!</v>
      </c>
      <c r="D67" s="135" t="e">
        <f>'Cálculos Zona DOT'!F32</f>
        <v>#DIV/0!</v>
      </c>
      <c r="E67" s="135" t="e">
        <f t="shared" si="3"/>
        <v>#DIV/0!</v>
      </c>
    </row>
    <row r="68" spans="2:5" x14ac:dyDescent="0.25">
      <c r="B68" s="304" t="str">
        <f>'Captura de Datos'!B28</f>
        <v>Tren Ligero</v>
      </c>
      <c r="C68" s="135" t="e">
        <f>'Cálculos Zona DOT'!E34</f>
        <v>#DIV/0!</v>
      </c>
      <c r="D68" s="135" t="e">
        <f>'Cálculos Zona DOT'!F34</f>
        <v>#DIV/0!</v>
      </c>
      <c r="E68" s="135" t="e">
        <f t="shared" si="3"/>
        <v>#DIV/0!</v>
      </c>
    </row>
    <row r="69" spans="2:5" ht="30" x14ac:dyDescent="0.25">
      <c r="B69" s="307" t="str">
        <f>'Captura de Datos'!B29</f>
        <v>Transporte no motorizado (peatón y bicicleta)</v>
      </c>
      <c r="C69" s="135" t="e">
        <f>'Cálculos Zona DOT'!E35</f>
        <v>#DIV/0!</v>
      </c>
      <c r="D69" s="135" t="e">
        <f>'Cálculos Zona DOT'!F35</f>
        <v>#DIV/0!</v>
      </c>
      <c r="E69" s="135" t="e">
        <f>IF(C69=0,  "", (D69-C69))</f>
        <v>#DIV/0!</v>
      </c>
    </row>
    <row r="78" spans="2:5" ht="18.75" x14ac:dyDescent="0.3">
      <c r="B78" s="535" t="s">
        <v>298</v>
      </c>
      <c r="C78" s="535"/>
      <c r="D78" s="535"/>
      <c r="E78" s="535"/>
    </row>
    <row r="79" spans="2:5" ht="45" x14ac:dyDescent="0.25">
      <c r="B79" s="303" t="s">
        <v>113</v>
      </c>
      <c r="C79" s="46" t="s">
        <v>145</v>
      </c>
      <c r="D79" s="46" t="s">
        <v>159</v>
      </c>
      <c r="E79" s="46" t="s">
        <v>160</v>
      </c>
    </row>
    <row r="80" spans="2:5" x14ac:dyDescent="0.25">
      <c r="B80" s="364">
        <f>Escenarios!B8</f>
        <v>0</v>
      </c>
      <c r="C80" s="194">
        <f>Escenarios!C8</f>
        <v>0</v>
      </c>
      <c r="D80" s="194">
        <f>Escenarios!D8</f>
        <v>0</v>
      </c>
      <c r="E80" s="132" t="e">
        <f>D80/C80</f>
        <v>#DIV/0!</v>
      </c>
    </row>
    <row r="81" spans="2:5" x14ac:dyDescent="0.25">
      <c r="B81" s="364">
        <f>Escenarios!B9</f>
        <v>1</v>
      </c>
      <c r="C81" s="194">
        <f>Escenarios!C9</f>
        <v>0</v>
      </c>
      <c r="D81" s="194">
        <f>Escenarios!D9</f>
        <v>0</v>
      </c>
      <c r="E81" s="132" t="e">
        <f t="shared" ref="E81:E95" si="4">D81/C81</f>
        <v>#DIV/0!</v>
      </c>
    </row>
    <row r="82" spans="2:5" x14ac:dyDescent="0.25">
      <c r="B82" s="364">
        <f>Escenarios!B10</f>
        <v>2</v>
      </c>
      <c r="C82" s="194">
        <f>Escenarios!C10</f>
        <v>0</v>
      </c>
      <c r="D82" s="194">
        <f>Escenarios!D10</f>
        <v>0</v>
      </c>
      <c r="E82" s="132" t="e">
        <f t="shared" si="4"/>
        <v>#DIV/0!</v>
      </c>
    </row>
    <row r="83" spans="2:5" x14ac:dyDescent="0.25">
      <c r="B83" s="364">
        <f>Escenarios!B11</f>
        <v>3</v>
      </c>
      <c r="C83" s="194">
        <f>Escenarios!C11</f>
        <v>0</v>
      </c>
      <c r="D83" s="194">
        <f>Escenarios!D11</f>
        <v>0</v>
      </c>
      <c r="E83" s="132" t="e">
        <f t="shared" si="4"/>
        <v>#DIV/0!</v>
      </c>
    </row>
    <row r="84" spans="2:5" x14ac:dyDescent="0.25">
      <c r="B84" s="364">
        <f>Escenarios!B12</f>
        <v>4</v>
      </c>
      <c r="C84" s="194">
        <f>Escenarios!C12</f>
        <v>0</v>
      </c>
      <c r="D84" s="194">
        <f>Escenarios!D12</f>
        <v>0</v>
      </c>
      <c r="E84" s="132" t="e">
        <f t="shared" si="4"/>
        <v>#DIV/0!</v>
      </c>
    </row>
    <row r="85" spans="2:5" x14ac:dyDescent="0.25">
      <c r="B85" s="364">
        <f>Escenarios!B13</f>
        <v>5</v>
      </c>
      <c r="C85" s="194">
        <f>Escenarios!C13</f>
        <v>0</v>
      </c>
      <c r="D85" s="194">
        <f>Escenarios!D13</f>
        <v>0</v>
      </c>
      <c r="E85" s="132" t="e">
        <f t="shared" si="4"/>
        <v>#DIV/0!</v>
      </c>
    </row>
    <row r="86" spans="2:5" x14ac:dyDescent="0.25">
      <c r="B86" s="364">
        <f>Escenarios!B14</f>
        <v>6</v>
      </c>
      <c r="C86" s="194">
        <f>Escenarios!C14</f>
        <v>0</v>
      </c>
      <c r="D86" s="194">
        <f>Escenarios!D14</f>
        <v>0</v>
      </c>
      <c r="E86" s="132" t="e">
        <f t="shared" si="4"/>
        <v>#DIV/0!</v>
      </c>
    </row>
    <row r="87" spans="2:5" x14ac:dyDescent="0.25">
      <c r="B87" s="364">
        <f>Escenarios!B15</f>
        <v>7</v>
      </c>
      <c r="C87" s="194">
        <f>Escenarios!C15</f>
        <v>0</v>
      </c>
      <c r="D87" s="194">
        <f>Escenarios!D15</f>
        <v>0</v>
      </c>
      <c r="E87" s="132" t="e">
        <f t="shared" si="4"/>
        <v>#DIV/0!</v>
      </c>
    </row>
    <row r="88" spans="2:5" x14ac:dyDescent="0.25">
      <c r="B88" s="364">
        <f>Escenarios!B16</f>
        <v>8</v>
      </c>
      <c r="C88" s="194">
        <f>Escenarios!C16</f>
        <v>0</v>
      </c>
      <c r="D88" s="194">
        <f>Escenarios!D16</f>
        <v>0</v>
      </c>
      <c r="E88" s="132" t="e">
        <f t="shared" si="4"/>
        <v>#DIV/0!</v>
      </c>
    </row>
    <row r="89" spans="2:5" x14ac:dyDescent="0.25">
      <c r="B89" s="364">
        <f>Escenarios!B17</f>
        <v>9</v>
      </c>
      <c r="C89" s="194">
        <f>Escenarios!C17</f>
        <v>0</v>
      </c>
      <c r="D89" s="194">
        <f>Escenarios!D17</f>
        <v>0</v>
      </c>
      <c r="E89" s="132" t="e">
        <f t="shared" si="4"/>
        <v>#DIV/0!</v>
      </c>
    </row>
    <row r="90" spans="2:5" x14ac:dyDescent="0.25">
      <c r="B90" s="364">
        <f>Escenarios!B18</f>
        <v>10</v>
      </c>
      <c r="C90" s="194">
        <f>Escenarios!C18</f>
        <v>0</v>
      </c>
      <c r="D90" s="194">
        <f>Escenarios!D18</f>
        <v>0</v>
      </c>
      <c r="E90" s="132" t="e">
        <f t="shared" si="4"/>
        <v>#DIV/0!</v>
      </c>
    </row>
    <row r="91" spans="2:5" x14ac:dyDescent="0.25">
      <c r="B91" s="364">
        <f>Escenarios!B19</f>
        <v>11</v>
      </c>
      <c r="C91" s="194">
        <f>Escenarios!C19</f>
        <v>0</v>
      </c>
      <c r="D91" s="194">
        <f>Escenarios!D19</f>
        <v>0</v>
      </c>
      <c r="E91" s="132" t="e">
        <f t="shared" si="4"/>
        <v>#DIV/0!</v>
      </c>
    </row>
    <row r="92" spans="2:5" x14ac:dyDescent="0.25">
      <c r="B92" s="364">
        <f>Escenarios!B20</f>
        <v>12</v>
      </c>
      <c r="C92" s="194">
        <f>Escenarios!C20</f>
        <v>0</v>
      </c>
      <c r="D92" s="194">
        <f>Escenarios!D20</f>
        <v>0</v>
      </c>
      <c r="E92" s="132" t="e">
        <f t="shared" si="4"/>
        <v>#DIV/0!</v>
      </c>
    </row>
    <row r="93" spans="2:5" x14ac:dyDescent="0.25">
      <c r="B93" s="364">
        <f>Escenarios!B21</f>
        <v>13</v>
      </c>
      <c r="C93" s="194">
        <f>Escenarios!C21</f>
        <v>0</v>
      </c>
      <c r="D93" s="194">
        <f>Escenarios!D21</f>
        <v>0</v>
      </c>
      <c r="E93" s="132" t="e">
        <f t="shared" si="4"/>
        <v>#DIV/0!</v>
      </c>
    </row>
    <row r="94" spans="2:5" x14ac:dyDescent="0.25">
      <c r="B94" s="364">
        <f>Escenarios!B22</f>
        <v>14</v>
      </c>
      <c r="C94" s="194">
        <f>Escenarios!C22</f>
        <v>0</v>
      </c>
      <c r="D94" s="194">
        <f>Escenarios!D22</f>
        <v>0</v>
      </c>
      <c r="E94" s="132" t="e">
        <f t="shared" si="4"/>
        <v>#DIV/0!</v>
      </c>
    </row>
    <row r="95" spans="2:5" x14ac:dyDescent="0.25">
      <c r="B95" s="364">
        <f>Escenarios!B23</f>
        <v>15</v>
      </c>
      <c r="C95" s="194">
        <f>Escenarios!C23</f>
        <v>0</v>
      </c>
      <c r="D95" s="194">
        <f>Escenarios!D23</f>
        <v>0</v>
      </c>
      <c r="E95" s="132" t="e">
        <f t="shared" si="4"/>
        <v>#DIV/0!</v>
      </c>
    </row>
    <row r="96" spans="2:5" x14ac:dyDescent="0.25">
      <c r="B96" s="114"/>
      <c r="C96" s="15"/>
      <c r="D96" s="15"/>
      <c r="E96" s="115"/>
    </row>
    <row r="97" spans="2:5" x14ac:dyDescent="0.25">
      <c r="B97" s="114"/>
      <c r="C97" s="15"/>
      <c r="D97" s="15"/>
      <c r="E97" s="115"/>
    </row>
    <row r="100" spans="2:5" ht="15" customHeight="1" x14ac:dyDescent="0.3">
      <c r="B100" s="535" t="s">
        <v>158</v>
      </c>
      <c r="C100" s="535"/>
      <c r="D100" s="535"/>
      <c r="E100" s="535"/>
    </row>
    <row r="101" spans="2:5" ht="15" customHeight="1" x14ac:dyDescent="0.25">
      <c r="B101" s="308" t="s">
        <v>91</v>
      </c>
      <c r="C101" s="41" t="s">
        <v>56</v>
      </c>
      <c r="D101" s="41" t="s">
        <v>99</v>
      </c>
      <c r="E101" s="41" t="s">
        <v>39</v>
      </c>
    </row>
    <row r="102" spans="2:5" ht="30" x14ac:dyDescent="0.25">
      <c r="B102" s="309" t="s">
        <v>121</v>
      </c>
      <c r="C102" s="137" t="e">
        <f>'Cálculos Línea Base'!C35</f>
        <v>#DIV/0!</v>
      </c>
      <c r="D102" s="137" t="e">
        <f>'Cálculos Zona DOT'!C59</f>
        <v>#DIV/0!</v>
      </c>
      <c r="E102" s="132" t="e">
        <f t="shared" ref="E102:E105" si="5">IF(C102=0,  "", (D102-C102)/C102)</f>
        <v>#DIV/0!</v>
      </c>
    </row>
    <row r="103" spans="2:5" x14ac:dyDescent="0.25">
      <c r="B103" s="309" t="s">
        <v>174</v>
      </c>
      <c r="C103" s="137" t="e">
        <f>'Cálculos Línea Base'!C36</f>
        <v>#DIV/0!</v>
      </c>
      <c r="D103" s="137" t="e">
        <f>'Cálculos Zona DOT'!C60</f>
        <v>#DIV/0!</v>
      </c>
      <c r="E103" s="132" t="e">
        <f>IF(C103=0,  "", (D103-C103)/C103)</f>
        <v>#DIV/0!</v>
      </c>
    </row>
    <row r="104" spans="2:5" ht="30" x14ac:dyDescent="0.25">
      <c r="B104" s="309" t="s">
        <v>299</v>
      </c>
      <c r="C104" s="134" t="e">
        <f>'Cálculos Línea Base'!C37</f>
        <v>#DIV/0!</v>
      </c>
      <c r="D104" s="134" t="e">
        <f>'Cálculos Zona DOT'!C61</f>
        <v>#DIV/0!</v>
      </c>
      <c r="E104" s="132" t="e">
        <f t="shared" si="5"/>
        <v>#DIV/0!</v>
      </c>
    </row>
    <row r="105" spans="2:5" ht="30" x14ac:dyDescent="0.25">
      <c r="B105" s="309" t="s">
        <v>170</v>
      </c>
      <c r="C105" s="134" t="e">
        <f>'Cálculos Línea Base'!C38</f>
        <v>#DIV/0!</v>
      </c>
      <c r="D105" s="134" t="e">
        <f>'Cálculos Zona DOT'!C62</f>
        <v>#DIV/0!</v>
      </c>
      <c r="E105" s="132" t="e">
        <f t="shared" si="5"/>
        <v>#DIV/0!</v>
      </c>
    </row>
    <row r="106" spans="2:5" x14ac:dyDescent="0.25">
      <c r="B106" s="310"/>
    </row>
  </sheetData>
  <mergeCells count="9">
    <mergeCell ref="B1:V1"/>
    <mergeCell ref="B48:E48"/>
    <mergeCell ref="B59:E59"/>
    <mergeCell ref="B78:E78"/>
    <mergeCell ref="B100:E100"/>
    <mergeCell ref="B3:F3"/>
    <mergeCell ref="E24:F24"/>
    <mergeCell ref="C24:D24"/>
    <mergeCell ref="B23:F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R39"/>
  <sheetViews>
    <sheetView showGridLines="0" zoomScale="80" zoomScaleNormal="80" zoomScalePageLayoutView="80" workbookViewId="0">
      <pane ySplit="1" topLeftCell="A2" activePane="bottomLeft" state="frozen"/>
      <selection pane="bottomLeft" activeCell="H27" sqref="H27"/>
    </sheetView>
  </sheetViews>
  <sheetFormatPr defaultColWidth="9.140625" defaultRowHeight="15" x14ac:dyDescent="0.25"/>
  <cols>
    <col min="1" max="1" width="1.7109375" customWidth="1"/>
    <col min="2" max="2" width="47.28515625" bestFit="1" customWidth="1"/>
    <col min="3" max="3" width="12.140625" customWidth="1"/>
    <col min="4" max="4" width="17.28515625" customWidth="1"/>
    <col min="5" max="5" width="11.85546875" customWidth="1"/>
    <col min="6" max="6" width="17.7109375" customWidth="1"/>
    <col min="7" max="7" width="12" customWidth="1"/>
    <col min="8" max="8" width="20" bestFit="1" customWidth="1"/>
    <col min="9" max="9" width="17.140625" customWidth="1"/>
    <col min="10" max="10" width="20.140625" customWidth="1"/>
    <col min="11" max="11" width="19" customWidth="1"/>
    <col min="12" max="12" width="13.28515625" customWidth="1"/>
    <col min="13" max="13" width="19.7109375" customWidth="1"/>
    <col min="14" max="18" width="15.85546875" customWidth="1"/>
  </cols>
  <sheetData>
    <row r="1" spans="2:18" ht="26.25" x14ac:dyDescent="0.4">
      <c r="B1" s="537" t="s">
        <v>172</v>
      </c>
      <c r="C1" s="537"/>
      <c r="D1" s="537"/>
      <c r="E1" s="537"/>
      <c r="F1" s="537"/>
      <c r="G1" s="537"/>
      <c r="H1" s="537"/>
      <c r="I1" s="537"/>
      <c r="J1" s="537"/>
      <c r="K1" s="537"/>
      <c r="L1" s="537"/>
      <c r="M1" s="537"/>
      <c r="N1" s="537"/>
      <c r="O1" s="537"/>
      <c r="P1" s="537"/>
      <c r="Q1" s="537"/>
      <c r="R1" s="537"/>
    </row>
    <row r="3" spans="2:18" s="18" customFormat="1" ht="27" thickBot="1" x14ac:dyDescent="0.45">
      <c r="B3" s="33"/>
    </row>
    <row r="4" spans="2:18" ht="19.5" thickBot="1" x14ac:dyDescent="0.35">
      <c r="B4" s="540" t="s">
        <v>101</v>
      </c>
      <c r="C4" s="541"/>
      <c r="D4" s="542"/>
    </row>
    <row r="5" spans="2:18" ht="15" customHeight="1" x14ac:dyDescent="0.25">
      <c r="B5" s="40" t="str">
        <f>'Captura de Datos'!B7</f>
        <v>Nombre de la Ciudad</v>
      </c>
      <c r="C5" s="548">
        <f>'Captura de Datos'!C7</f>
        <v>0</v>
      </c>
      <c r="D5" s="549"/>
    </row>
    <row r="6" spans="2:18" ht="15" customHeight="1" thickBot="1" x14ac:dyDescent="0.3">
      <c r="B6" s="300" t="str">
        <f>'Captura de Datos'!B10</f>
        <v>Población Total (hab)</v>
      </c>
      <c r="C6" s="543">
        <f>'Captura de Datos'!C10</f>
        <v>0</v>
      </c>
      <c r="D6" s="544"/>
    </row>
    <row r="7" spans="2:18" ht="15" customHeight="1" thickBot="1" x14ac:dyDescent="0.3"/>
    <row r="8" spans="2:18" x14ac:dyDescent="0.25">
      <c r="B8" s="106" t="s">
        <v>0</v>
      </c>
      <c r="C8" s="107" t="s">
        <v>1</v>
      </c>
    </row>
    <row r="9" spans="2:18" x14ac:dyDescent="0.25">
      <c r="B9" s="108" t="str">
        <f>'Captura de Datos'!B14</f>
        <v>Densidad Poblacional (hab/ha)</v>
      </c>
      <c r="C9" s="366">
        <f>'Captura de Datos'!C14</f>
        <v>0</v>
      </c>
    </row>
    <row r="10" spans="2:18" x14ac:dyDescent="0.25">
      <c r="B10" s="108" t="str">
        <f>'Captura de Datos'!B15</f>
        <v>Índice de Uso Mixto (adimensional)</v>
      </c>
      <c r="C10" s="367">
        <f>'Captura de Datos'!C15</f>
        <v>0</v>
      </c>
    </row>
    <row r="11" spans="2:18" x14ac:dyDescent="0.25">
      <c r="B11" s="108"/>
      <c r="C11" s="196"/>
    </row>
    <row r="12" spans="2:18" x14ac:dyDescent="0.25">
      <c r="B12" s="108"/>
      <c r="C12" s="196"/>
    </row>
    <row r="13" spans="2:18" x14ac:dyDescent="0.25">
      <c r="B13" s="108"/>
      <c r="C13" s="196"/>
    </row>
    <row r="14" spans="2:18" ht="15.75" thickBot="1" x14ac:dyDescent="0.3">
      <c r="B14" s="301"/>
      <c r="C14" s="302"/>
    </row>
    <row r="15" spans="2:18" ht="15.75" thickBot="1" x14ac:dyDescent="0.3">
      <c r="B15" s="2"/>
    </row>
    <row r="16" spans="2:18" ht="19.5" thickBot="1" x14ac:dyDescent="0.35">
      <c r="B16" s="292" t="s">
        <v>124</v>
      </c>
    </row>
    <row r="17" spans="2:18" x14ac:dyDescent="0.25">
      <c r="B17" s="545" t="s">
        <v>59</v>
      </c>
      <c r="C17" s="546"/>
      <c r="D17" s="546"/>
      <c r="E17" s="546"/>
      <c r="F17" s="546"/>
      <c r="G17" s="546"/>
      <c r="H17" s="545" t="s">
        <v>58</v>
      </c>
      <c r="I17" s="546"/>
      <c r="J17" s="547"/>
      <c r="K17" s="545" t="s">
        <v>67</v>
      </c>
      <c r="L17" s="547"/>
      <c r="M17" s="42"/>
      <c r="N17" s="545" t="s">
        <v>68</v>
      </c>
      <c r="O17" s="546"/>
      <c r="P17" s="546"/>
      <c r="Q17" s="546"/>
      <c r="R17" s="547"/>
    </row>
    <row r="18" spans="2:18" s="3" customFormat="1" ht="45.75" customHeight="1" x14ac:dyDescent="0.25">
      <c r="B18" s="46" t="s">
        <v>122</v>
      </c>
      <c r="C18" s="46" t="s">
        <v>4</v>
      </c>
      <c r="D18" s="46" t="s">
        <v>335</v>
      </c>
      <c r="E18" s="46" t="s">
        <v>9</v>
      </c>
      <c r="F18" s="46" t="s">
        <v>11</v>
      </c>
      <c r="G18" s="293" t="s">
        <v>12</v>
      </c>
      <c r="H18" s="294" t="s">
        <v>10</v>
      </c>
      <c r="I18" s="46" t="s">
        <v>35</v>
      </c>
      <c r="J18" s="295" t="s">
        <v>96</v>
      </c>
      <c r="K18" s="297" t="s">
        <v>79</v>
      </c>
      <c r="L18" s="298" t="s">
        <v>34</v>
      </c>
      <c r="M18" s="299" t="s">
        <v>102</v>
      </c>
      <c r="N18" s="294" t="s">
        <v>60</v>
      </c>
      <c r="O18" s="46" t="s">
        <v>61</v>
      </c>
      <c r="P18" s="46" t="s">
        <v>62</v>
      </c>
      <c r="Q18" s="46" t="s">
        <v>315</v>
      </c>
      <c r="R18" s="295" t="s">
        <v>33</v>
      </c>
    </row>
    <row r="19" spans="2:18" x14ac:dyDescent="0.25">
      <c r="B19" s="47" t="str">
        <f>'Captura de Datos'!B20</f>
        <v>Motocicleta</v>
      </c>
      <c r="C19" s="49" t="str">
        <f>'Captura de Datos'!C20</f>
        <v>Gasolina</v>
      </c>
      <c r="D19" s="49">
        <f>'Captura de Datos'!F20</f>
        <v>23.9</v>
      </c>
      <c r="E19" s="49">
        <f>'Captura de Datos'!G20</f>
        <v>1</v>
      </c>
      <c r="F19" s="195">
        <f>'Captura de Datos'!E20</f>
        <v>0</v>
      </c>
      <c r="G19" s="195">
        <f>'Captura de Datos'!D20</f>
        <v>0</v>
      </c>
      <c r="H19" s="55">
        <f>F19*G19</f>
        <v>0</v>
      </c>
      <c r="I19" s="51" t="e">
        <f>H19/$H$31</f>
        <v>#DIV/0!</v>
      </c>
      <c r="J19" s="460">
        <f>H19/D19</f>
        <v>0</v>
      </c>
      <c r="K19" s="55">
        <f>E19*H19</f>
        <v>0</v>
      </c>
      <c r="L19" s="52" t="e">
        <f>K19/$K$31</f>
        <v>#DIV/0!</v>
      </c>
      <c r="M19" s="123">
        <f>IF(C19="Gasolina",J19*Constantes!$C$18*Constantes!$C$16,J19*Constantes!$C$19*Constantes!$C$17)</f>
        <v>0</v>
      </c>
      <c r="N19" s="394">
        <f>IF(C19="Gasolina",M19*Constantes!$C$4,M19*Constantes!$C$5)/1000</f>
        <v>0</v>
      </c>
      <c r="O19" s="125">
        <f>IF(C19="Gasolina",M19*Constantes!$C$6, M19*Constantes!$C$7)/1000</f>
        <v>0</v>
      </c>
      <c r="P19" s="125">
        <f>IF(C19="Gasolina",M19*Constantes!$C$8,M19*Constantes!$C$9)/1000</f>
        <v>0</v>
      </c>
      <c r="Q19" s="123">
        <f>IF(C19="Gasolina",Constantes!$C$24,Constantes!$C$25)*Constantes!$C$27*Constantes!$C$12*H19/1000000</f>
        <v>0</v>
      </c>
      <c r="R19" s="118">
        <f>N19+(O19*Constantes!$C$10)+(P19*Constantes!$C$11)</f>
        <v>0</v>
      </c>
    </row>
    <row r="20" spans="2:18" x14ac:dyDescent="0.25">
      <c r="B20" s="47" t="str">
        <f>'Captura de Datos'!B21</f>
        <v>Automóvil particular</v>
      </c>
      <c r="C20" s="49" t="str">
        <f>'Captura de Datos'!C21</f>
        <v>Gasolina</v>
      </c>
      <c r="D20" s="49">
        <f>'Captura de Datos'!F21</f>
        <v>9.6</v>
      </c>
      <c r="E20" s="49">
        <f>'Captura de Datos'!G21</f>
        <v>1.2</v>
      </c>
      <c r="F20" s="195">
        <f>'Captura de Datos'!E21</f>
        <v>0</v>
      </c>
      <c r="G20" s="195">
        <f>'Captura de Datos'!D21</f>
        <v>0</v>
      </c>
      <c r="H20" s="55">
        <f>F20*G20</f>
        <v>0</v>
      </c>
      <c r="I20" s="51" t="e">
        <f t="shared" ref="I20:I23" si="0">H20/$H$31</f>
        <v>#DIV/0!</v>
      </c>
      <c r="J20" s="124">
        <f t="shared" ref="J20:J25" si="1">H20/D20</f>
        <v>0</v>
      </c>
      <c r="K20" s="55">
        <f>E20*H20</f>
        <v>0</v>
      </c>
      <c r="L20" s="52" t="e">
        <f t="shared" ref="L20:L25" si="2">K20/$K$31</f>
        <v>#DIV/0!</v>
      </c>
      <c r="M20" s="123">
        <f>IF(C20="Gasolina",J20*Constantes!$C$18*Constantes!$C$16,J20*Constantes!$C$19*Constantes!$C$17)</f>
        <v>0</v>
      </c>
      <c r="N20" s="394">
        <f>IF(C20="Gasolina",M20*Constantes!$C$4,M20*Constantes!$C$5)/1000</f>
        <v>0</v>
      </c>
      <c r="O20" s="125">
        <f>IF(C20="Gasolina",M20*Constantes!$C$6, M20*Constantes!$C$7)/1000</f>
        <v>0</v>
      </c>
      <c r="P20" s="125">
        <f>IF(C20="Gasolina",M20*Constantes!$C$8,M20*Constantes!$C$9)/1000</f>
        <v>0</v>
      </c>
      <c r="Q20" s="123">
        <f>IF(C20="Gasolina",Constantes!$C$24,Constantes!$C$25)*Constantes!$C$27*Constantes!$C$12*H20/1000000</f>
        <v>0</v>
      </c>
      <c r="R20" s="118">
        <f>N20+(O20*Constantes!$C$10)+(P20*Constantes!$C$11)</f>
        <v>0</v>
      </c>
    </row>
    <row r="21" spans="2:18" x14ac:dyDescent="0.25">
      <c r="B21" s="47" t="str">
        <f>'Captura de Datos'!B22</f>
        <v>Taxi</v>
      </c>
      <c r="C21" s="49" t="str">
        <f>'Captura de Datos'!C22</f>
        <v>Gasolina</v>
      </c>
      <c r="D21" s="49">
        <f>'Captura de Datos'!F22</f>
        <v>9.6</v>
      </c>
      <c r="E21" s="49">
        <f>'Captura de Datos'!G22</f>
        <v>1.2</v>
      </c>
      <c r="F21" s="195">
        <f>'Captura de Datos'!E22</f>
        <v>0</v>
      </c>
      <c r="G21" s="195">
        <f>'Captura de Datos'!D22</f>
        <v>0</v>
      </c>
      <c r="H21" s="55">
        <f>F21*G21</f>
        <v>0</v>
      </c>
      <c r="I21" s="51" t="e">
        <f t="shared" si="0"/>
        <v>#DIV/0!</v>
      </c>
      <c r="J21" s="124">
        <f t="shared" si="1"/>
        <v>0</v>
      </c>
      <c r="K21" s="55">
        <f>E21*H21</f>
        <v>0</v>
      </c>
      <c r="L21" s="52" t="e">
        <f t="shared" si="2"/>
        <v>#DIV/0!</v>
      </c>
      <c r="M21" s="123">
        <f>IF(C21="Gasolina",J21*Constantes!$C$18*Constantes!$C$16,J21*Constantes!$C$19*Constantes!$C$17)</f>
        <v>0</v>
      </c>
      <c r="N21" s="394">
        <f>IF(C21="Gasolina",M21*Constantes!$C$4,M21*Constantes!$C$5)/1000</f>
        <v>0</v>
      </c>
      <c r="O21" s="125">
        <f>IF(C21="Gasolina",M21*Constantes!$C$6, M21*Constantes!$C$7)/1000</f>
        <v>0</v>
      </c>
      <c r="P21" s="125">
        <f>IF(C21="Gasolina",M21*Constantes!$C$8,M21*Constantes!$C$9)/1000</f>
        <v>0</v>
      </c>
      <c r="Q21" s="123">
        <f>IF(C21="Gasolina",Constantes!$C$24,Constantes!$C$25)*Constantes!$C$27*Constantes!$C$12*H21/1000000</f>
        <v>0</v>
      </c>
      <c r="R21" s="118">
        <f>N21+(O21*Constantes!$C$10)+(P21*Constantes!$C$11)</f>
        <v>0</v>
      </c>
    </row>
    <row r="22" spans="2:18" x14ac:dyDescent="0.25">
      <c r="B22" s="47" t="str">
        <f>'Captura de Datos'!B23</f>
        <v>Camioneta particular</v>
      </c>
      <c r="C22" s="49" t="str">
        <f>'Captura de Datos'!C23</f>
        <v>Gasolina</v>
      </c>
      <c r="D22" s="49">
        <f>'Captura de Datos'!F23</f>
        <v>7.5</v>
      </c>
      <c r="E22" s="49">
        <f>'Captura de Datos'!G23</f>
        <v>1.2</v>
      </c>
      <c r="F22" s="195">
        <f>'Captura de Datos'!E23</f>
        <v>0</v>
      </c>
      <c r="G22" s="195">
        <f>'Captura de Datos'!D23</f>
        <v>0</v>
      </c>
      <c r="H22" s="55">
        <f>F22*G22</f>
        <v>0</v>
      </c>
      <c r="I22" s="51" t="e">
        <f t="shared" si="0"/>
        <v>#DIV/0!</v>
      </c>
      <c r="J22" s="124">
        <f t="shared" si="1"/>
        <v>0</v>
      </c>
      <c r="K22" s="55">
        <f>E22*H22</f>
        <v>0</v>
      </c>
      <c r="L22" s="52" t="e">
        <f t="shared" si="2"/>
        <v>#DIV/0!</v>
      </c>
      <c r="M22" s="123">
        <f>IF(C22="Gasolina",J22*Constantes!$C$18*Constantes!$C$16,J22*Constantes!$C$19*Constantes!$C$17)</f>
        <v>0</v>
      </c>
      <c r="N22" s="394">
        <f>IF(C22="Gasolina",M22*Constantes!$C$4,M22*Constantes!$C$5)/1000</f>
        <v>0</v>
      </c>
      <c r="O22" s="125">
        <f>IF(C22="Gasolina",M22*Constantes!$C$6, M22*Constantes!$C$7)/1000</f>
        <v>0</v>
      </c>
      <c r="P22" s="125">
        <f>IF(C22="Gasolina",M22*Constantes!$C$8,M22*Constantes!$C$9)/1000</f>
        <v>0</v>
      </c>
      <c r="Q22" s="123">
        <f>IF(C22="Gasolina",Constantes!$C$24,Constantes!$C$25)*Constantes!$C$27*Constantes!$C$12*H22/1000000</f>
        <v>0</v>
      </c>
      <c r="R22" s="118">
        <f>N22+(O22*Constantes!$C$10)+(P22*Constantes!$C$11)</f>
        <v>0</v>
      </c>
    </row>
    <row r="23" spans="2:18" x14ac:dyDescent="0.25">
      <c r="B23" s="47" t="str">
        <f>'Captura de Datos'!B25</f>
        <v>Autobús transporte público</v>
      </c>
      <c r="C23" s="49" t="str">
        <f>'Captura de Datos'!C25</f>
        <v>Diésel</v>
      </c>
      <c r="D23" s="49">
        <f>'Captura de Datos'!F25</f>
        <v>2.8</v>
      </c>
      <c r="E23" s="49">
        <f>'Captura de Datos'!G25</f>
        <v>40</v>
      </c>
      <c r="F23" s="195">
        <f>'Captura de Datos'!E25</f>
        <v>0</v>
      </c>
      <c r="G23" s="195">
        <f>'Captura de Datos'!D25</f>
        <v>0</v>
      </c>
      <c r="H23" s="55">
        <f>F23*G23</f>
        <v>0</v>
      </c>
      <c r="I23" s="51" t="e">
        <f t="shared" si="0"/>
        <v>#DIV/0!</v>
      </c>
      <c r="J23" s="124">
        <f>H23/D23</f>
        <v>0</v>
      </c>
      <c r="K23" s="55">
        <f>E23*H23</f>
        <v>0</v>
      </c>
      <c r="L23" s="52" t="e">
        <f t="shared" si="2"/>
        <v>#DIV/0!</v>
      </c>
      <c r="M23" s="123">
        <f>IF(C23="Gasolina",J23*Constantes!$C$18*Constantes!$C$16,J23*Constantes!$C$19*Constantes!$C$17)</f>
        <v>0</v>
      </c>
      <c r="N23" s="394">
        <f>IF(C23="Gasolina",M23*Constantes!$C$4,M23*Constantes!$C$5)/1000</f>
        <v>0</v>
      </c>
      <c r="O23" s="125">
        <f>IF(C23="Gasolina",M23*Constantes!$C$6, M23*Constantes!$C$7)/1000</f>
        <v>0</v>
      </c>
      <c r="P23" s="125">
        <f>IF(C23="Gasolina",M23*Constantes!$C$8,M23*Constantes!$C$9)/1000</f>
        <v>0</v>
      </c>
      <c r="Q23" s="123">
        <f>IF(C23="Gasolina",Constantes!$C$24,Constantes!$C$25)*Constantes!$C$27*Constantes!$C$12*H23/1000000</f>
        <v>0</v>
      </c>
      <c r="R23" s="118">
        <f>N23+(O23*Constantes!$C$10)+(P23*Constantes!$C$11)</f>
        <v>0</v>
      </c>
    </row>
    <row r="24" spans="2:18" x14ac:dyDescent="0.25">
      <c r="B24" s="47" t="str">
        <f>'Captura de Datos'!B24</f>
        <v>Microbús transporte público</v>
      </c>
      <c r="C24" s="49" t="str">
        <f>'Captura de Datos'!C24</f>
        <v>Gasolina</v>
      </c>
      <c r="D24" s="49">
        <f>'Captura de Datos'!F24</f>
        <v>5.2</v>
      </c>
      <c r="E24" s="49">
        <f>'Captura de Datos'!G24</f>
        <v>20</v>
      </c>
      <c r="F24" s="195">
        <f>'Captura de Datos'!E24</f>
        <v>0</v>
      </c>
      <c r="G24" s="195">
        <f>'Captura de Datos'!D24</f>
        <v>0</v>
      </c>
      <c r="H24" s="55">
        <f t="shared" ref="H24" si="3">F24*G24</f>
        <v>0</v>
      </c>
      <c r="I24" s="51" t="e">
        <f>H24/$H$31</f>
        <v>#DIV/0!</v>
      </c>
      <c r="J24" s="124">
        <f t="shared" si="1"/>
        <v>0</v>
      </c>
      <c r="K24" s="55">
        <f t="shared" ref="K24:K25" si="4">E24*H24</f>
        <v>0</v>
      </c>
      <c r="L24" s="52" t="e">
        <f t="shared" si="2"/>
        <v>#DIV/0!</v>
      </c>
      <c r="M24" s="123">
        <f>IF(C24="Gasolina",J24*Constantes!$C$18*Constantes!$C$16,J24*Constantes!$C$19*Constantes!$C$17)</f>
        <v>0</v>
      </c>
      <c r="N24" s="394">
        <f>IF(C24="Gasolina",M24*Constantes!$C$4,M24*Constantes!$C$5)/1000</f>
        <v>0</v>
      </c>
      <c r="O24" s="125">
        <f>IF(C24="Gasolina",M24*Constantes!$C$6, M24*Constantes!$C$7)/1000</f>
        <v>0</v>
      </c>
      <c r="P24" s="125">
        <f>IF(C24="Gasolina",M24*Constantes!$C$8,M24*Constantes!$C$9)/1000</f>
        <v>0</v>
      </c>
      <c r="Q24" s="123">
        <f>IF(C24="Gasolina",Constantes!$C$24,Constantes!$C$25)*Constantes!$C$27*Constantes!$C$12*H24/1000000</f>
        <v>0</v>
      </c>
      <c r="R24" s="118">
        <f>N24+(O24*Constantes!$C$10)+(P24*Constantes!$C$11)</f>
        <v>0</v>
      </c>
    </row>
    <row r="25" spans="2:18" ht="15.75" thickBot="1" x14ac:dyDescent="0.3">
      <c r="B25" s="47" t="str">
        <f>'Captura de Datos'!B26</f>
        <v>Sistema articulado (BRT)</v>
      </c>
      <c r="C25" s="49" t="str">
        <f>'Captura de Datos'!C26</f>
        <v>Diésel</v>
      </c>
      <c r="D25" s="49">
        <f>'Captura de Datos'!F26</f>
        <v>1.2</v>
      </c>
      <c r="E25" s="49">
        <f>'Captura de Datos'!G26</f>
        <v>44</v>
      </c>
      <c r="F25" s="195">
        <f>'Captura de Datos'!E26</f>
        <v>0</v>
      </c>
      <c r="G25" s="195">
        <f>'Captura de Datos'!D26</f>
        <v>0</v>
      </c>
      <c r="H25" s="55">
        <f>F25*G25</f>
        <v>0</v>
      </c>
      <c r="I25" s="51" t="e">
        <f>H25/$H$31</f>
        <v>#DIV/0!</v>
      </c>
      <c r="J25" s="124">
        <f t="shared" si="1"/>
        <v>0</v>
      </c>
      <c r="K25" s="55">
        <f t="shared" si="4"/>
        <v>0</v>
      </c>
      <c r="L25" s="52" t="e">
        <f t="shared" si="2"/>
        <v>#DIV/0!</v>
      </c>
      <c r="M25" s="123">
        <f>IF(C25="Gasolina",J25*Constantes!$C$18*Constantes!$C$16,J25*Constantes!$C$19*Constantes!$C$17)</f>
        <v>0</v>
      </c>
      <c r="N25" s="394">
        <f>IF(C25="Gasolina",M25*Constantes!$C$4,M25*Constantes!$C$5)/1000</f>
        <v>0</v>
      </c>
      <c r="O25" s="125">
        <f>IF(C25="Gasolina",M25*Constantes!$C$6, M25*Constantes!$C$7)/1000</f>
        <v>0</v>
      </c>
      <c r="P25" s="125">
        <f>IF(C25="Gasolina",M25*Constantes!$C$8,M25*Constantes!$C$9)/1000</f>
        <v>0</v>
      </c>
      <c r="Q25" s="123">
        <f>IF(C25="Gasolina",Constantes!$C$24,Constantes!$C$25)*Constantes!$C$27*Constantes!$C$12*H25/1000000</f>
        <v>0</v>
      </c>
      <c r="R25" s="120">
        <f>N25+(O25*Constantes!$C$10)+(P25*Constantes!$C$11)</f>
        <v>0</v>
      </c>
    </row>
    <row r="26" spans="2:18" x14ac:dyDescent="0.25">
      <c r="B26" s="149" t="s">
        <v>123</v>
      </c>
      <c r="C26" s="150"/>
      <c r="D26" s="151"/>
      <c r="E26" s="151"/>
      <c r="F26" s="151"/>
      <c r="G26" s="151"/>
      <c r="H26" s="154"/>
      <c r="I26" s="419"/>
      <c r="J26" s="395"/>
      <c r="K26" s="154"/>
      <c r="L26" s="420"/>
      <c r="M26" s="395"/>
      <c r="N26" s="396"/>
      <c r="O26" s="397"/>
      <c r="P26" s="397"/>
      <c r="Q26" s="398"/>
      <c r="R26" s="399"/>
    </row>
    <row r="27" spans="2:18" ht="15.75" thickBot="1" x14ac:dyDescent="0.3">
      <c r="B27" s="48" t="str">
        <f>'Captura de Datos'!B27</f>
        <v>Trolebús</v>
      </c>
      <c r="C27" s="50" t="str">
        <f>'Captura de Datos'!C27</f>
        <v>Electricidad</v>
      </c>
      <c r="D27" s="50">
        <f>'Captura de Datos'!F27</f>
        <v>0.85</v>
      </c>
      <c r="E27" s="50">
        <f>'Captura de Datos'!G27</f>
        <v>100</v>
      </c>
      <c r="F27" s="50">
        <f>'Captura de Datos'!E27</f>
        <v>0</v>
      </c>
      <c r="G27" s="50">
        <f>'Captura de Datos'!D27</f>
        <v>0</v>
      </c>
      <c r="H27" s="56">
        <f>F27*G27</f>
        <v>0</v>
      </c>
      <c r="I27" s="206" t="e">
        <f>H27/$H$31</f>
        <v>#DIV/0!</v>
      </c>
      <c r="J27" s="400">
        <f>IF(H27=0,0,D27*'Captura de Datos'!N27*365)</f>
        <v>0</v>
      </c>
      <c r="K27" s="401">
        <f>E27*H27</f>
        <v>0</v>
      </c>
      <c r="L27" s="95" t="e">
        <f>K27/$K$31</f>
        <v>#DIV/0!</v>
      </c>
      <c r="M27" s="400">
        <f>J27*Constantes!$C$20</f>
        <v>0</v>
      </c>
      <c r="N27" s="402"/>
      <c r="O27" s="403"/>
      <c r="P27" s="403"/>
      <c r="Q27" s="404">
        <f>J27*Constantes!$C$26*Constantes!$C$28*Constantes!$C$12/1000000</f>
        <v>0</v>
      </c>
      <c r="R27" s="120">
        <f>J27*Constantes!$C$15/1000</f>
        <v>0</v>
      </c>
    </row>
    <row r="28" spans="2:18" ht="15.75" thickBot="1" x14ac:dyDescent="0.3">
      <c r="B28" s="48" t="str">
        <f>'Captura de Datos'!B28</f>
        <v>Tren Ligero</v>
      </c>
      <c r="C28" s="50" t="str">
        <f>'Captura de Datos'!C28</f>
        <v>Electricidad</v>
      </c>
      <c r="D28" s="50">
        <f>'Captura de Datos'!F28</f>
        <v>0.64</v>
      </c>
      <c r="E28" s="50">
        <f>'Captura de Datos'!G28</f>
        <v>635</v>
      </c>
      <c r="F28" s="50">
        <f>'Captura de Datos'!E28</f>
        <v>0</v>
      </c>
      <c r="G28" s="50">
        <f>'Captura de Datos'!D28</f>
        <v>0</v>
      </c>
      <c r="H28" s="56">
        <f>F28*G28</f>
        <v>0</v>
      </c>
      <c r="I28" s="206" t="e">
        <f>H28/$H$31</f>
        <v>#DIV/0!</v>
      </c>
      <c r="J28" s="400">
        <f>IF(H28=0,0,D28*'Captura de Datos'!N28*365)</f>
        <v>0</v>
      </c>
      <c r="K28" s="401">
        <f>E28*H28</f>
        <v>0</v>
      </c>
      <c r="L28" s="95" t="e">
        <f>K28/$K$31</f>
        <v>#DIV/0!</v>
      </c>
      <c r="M28" s="400">
        <f>J28*Constantes!$C$20</f>
        <v>0</v>
      </c>
      <c r="N28" s="402"/>
      <c r="O28" s="403"/>
      <c r="P28" s="403"/>
      <c r="Q28" s="404">
        <f>J28*Constantes!$C$26*Constantes!$C$28*Constantes!$C$12/1000000</f>
        <v>0</v>
      </c>
      <c r="R28" s="120">
        <f>J28*Constantes!$C$15/1000</f>
        <v>0</v>
      </c>
    </row>
    <row r="29" spans="2:18" x14ac:dyDescent="0.25">
      <c r="B29" s="159" t="s">
        <v>209</v>
      </c>
      <c r="C29" s="26"/>
      <c r="D29" s="26"/>
      <c r="E29" s="26"/>
      <c r="F29" s="26"/>
      <c r="G29" s="26"/>
      <c r="H29" s="155"/>
      <c r="I29" s="146"/>
      <c r="J29" s="156"/>
      <c r="K29" s="152"/>
      <c r="L29" s="153"/>
      <c r="M29" s="156"/>
      <c r="N29" s="157"/>
      <c r="O29" s="147"/>
      <c r="P29" s="147"/>
      <c r="Q29" s="148"/>
      <c r="R29" s="158"/>
    </row>
    <row r="30" spans="2:18" ht="15.75" thickBot="1" x14ac:dyDescent="0.3">
      <c r="B30" s="48" t="str">
        <f>'Captura de Datos'!B29</f>
        <v>Transporte no motorizado (peatón y bicicleta)</v>
      </c>
      <c r="C30" s="50" t="str">
        <f>'Captura de Datos'!$C$29</f>
        <v>NA</v>
      </c>
      <c r="D30" s="50">
        <f>'Captura de Datos'!$F$29</f>
        <v>0</v>
      </c>
      <c r="E30" s="50">
        <f>'Captura de Datos'!$G$29</f>
        <v>1</v>
      </c>
      <c r="F30" s="50">
        <f>'Captura de Datos'!$E$29</f>
        <v>0</v>
      </c>
      <c r="G30" s="50">
        <f>'Captura de Datos'!$D$29</f>
        <v>0</v>
      </c>
      <c r="H30" s="56">
        <f>F30*G30</f>
        <v>0</v>
      </c>
      <c r="I30" s="206" t="e">
        <f>H30/$H$31</f>
        <v>#DIV/0!</v>
      </c>
      <c r="J30" s="296">
        <v>0</v>
      </c>
      <c r="K30" s="285">
        <f t="shared" ref="K30" si="5">E30*H30</f>
        <v>0</v>
      </c>
      <c r="L30" s="95" t="e">
        <f>K30/$K$31</f>
        <v>#DIV/0!</v>
      </c>
      <c r="M30" s="57">
        <v>0</v>
      </c>
      <c r="N30" s="59">
        <v>0</v>
      </c>
      <c r="O30" s="59">
        <v>0</v>
      </c>
      <c r="P30" s="59">
        <v>0</v>
      </c>
      <c r="Q30" s="59">
        <v>0</v>
      </c>
      <c r="R30" s="60">
        <v>0</v>
      </c>
    </row>
    <row r="31" spans="2:18" x14ac:dyDescent="0.25">
      <c r="E31" s="61" t="s">
        <v>64</v>
      </c>
      <c r="F31" s="405">
        <f>SUM(F19:F30)</f>
        <v>0</v>
      </c>
      <c r="G31" s="365">
        <f>SUM(G19:G30)</f>
        <v>0</v>
      </c>
      <c r="H31" s="62">
        <f>SUM(H19:H30)</f>
        <v>0</v>
      </c>
      <c r="I31" s="197" t="e">
        <f>SUM(I19:I30)</f>
        <v>#DIV/0!</v>
      </c>
      <c r="J31" s="62"/>
      <c r="K31" s="405">
        <f t="shared" ref="K31:Q31" si="6">SUM(K19:K30)</f>
        <v>0</v>
      </c>
      <c r="L31" s="197" t="e">
        <f t="shared" si="6"/>
        <v>#DIV/0!</v>
      </c>
      <c r="M31" s="405">
        <f t="shared" si="6"/>
        <v>0</v>
      </c>
      <c r="N31" s="405">
        <f t="shared" si="6"/>
        <v>0</v>
      </c>
      <c r="O31" s="405">
        <f t="shared" si="6"/>
        <v>0</v>
      </c>
      <c r="P31" s="405">
        <f t="shared" si="6"/>
        <v>0</v>
      </c>
      <c r="Q31" s="405">
        <f t="shared" si="6"/>
        <v>0</v>
      </c>
      <c r="R31" s="405">
        <f>SUM(R19:R30)</f>
        <v>0</v>
      </c>
    </row>
    <row r="32" spans="2:18" ht="15.75" thickBot="1" x14ac:dyDescent="0.3">
      <c r="E32" s="1"/>
      <c r="F32" s="23"/>
      <c r="G32" s="23"/>
      <c r="H32" s="23"/>
      <c r="I32" s="22"/>
      <c r="J32" s="23"/>
      <c r="K32" s="16"/>
      <c r="L32" s="22"/>
      <c r="M32" s="16"/>
      <c r="N32" s="16"/>
      <c r="O32" s="16"/>
      <c r="P32" s="16"/>
      <c r="Q32" s="16"/>
      <c r="R32" s="16"/>
    </row>
    <row r="33" spans="2:16" ht="16.5" thickBot="1" x14ac:dyDescent="0.3">
      <c r="B33" s="538" t="s">
        <v>125</v>
      </c>
      <c r="C33" s="539"/>
      <c r="D33" s="16"/>
      <c r="E33" s="16"/>
      <c r="F33" s="16"/>
      <c r="G33" s="16"/>
      <c r="H33" s="24"/>
      <c r="I33" s="21"/>
      <c r="J33" s="6"/>
      <c r="K33" s="6"/>
      <c r="L33" s="6"/>
      <c r="P33" s="14"/>
    </row>
    <row r="34" spans="2:16" x14ac:dyDescent="0.25">
      <c r="B34" s="63" t="s">
        <v>120</v>
      </c>
      <c r="C34" s="66" t="e">
        <f>K31/C6</f>
        <v>#DIV/0!</v>
      </c>
      <c r="D34" s="16"/>
      <c r="E34" s="16"/>
      <c r="F34" s="16"/>
      <c r="G34" s="16"/>
      <c r="H34" s="24"/>
      <c r="I34" s="21"/>
      <c r="J34" s="6"/>
      <c r="K34" s="6"/>
      <c r="L34" s="6"/>
      <c r="P34" s="14"/>
    </row>
    <row r="35" spans="2:16" x14ac:dyDescent="0.25">
      <c r="B35" s="64" t="s">
        <v>121</v>
      </c>
      <c r="C35" s="67" t="e">
        <f>C34/365</f>
        <v>#DIV/0!</v>
      </c>
      <c r="D35" s="16"/>
      <c r="E35" s="16"/>
      <c r="F35" s="16"/>
      <c r="G35" s="16"/>
      <c r="H35" s="24"/>
      <c r="I35" s="21"/>
      <c r="J35" s="6"/>
      <c r="K35" s="6"/>
      <c r="L35" s="6"/>
      <c r="P35" s="14"/>
    </row>
    <row r="36" spans="2:16" x14ac:dyDescent="0.25">
      <c r="B36" s="64" t="s">
        <v>106</v>
      </c>
      <c r="C36" s="67" t="e">
        <f>M31/C6</f>
        <v>#DIV/0!</v>
      </c>
      <c r="D36" s="16"/>
      <c r="E36" s="16"/>
      <c r="F36" s="16"/>
      <c r="G36" s="16"/>
      <c r="H36" s="24"/>
      <c r="I36" s="21"/>
      <c r="J36" s="6"/>
      <c r="K36" s="6"/>
      <c r="L36" s="6"/>
      <c r="P36" s="14"/>
    </row>
    <row r="37" spans="2:16" x14ac:dyDescent="0.25">
      <c r="B37" s="64" t="s">
        <v>119</v>
      </c>
      <c r="C37" s="111" t="e">
        <f>R31/C6</f>
        <v>#DIV/0!</v>
      </c>
      <c r="D37" s="16"/>
      <c r="E37" s="16"/>
      <c r="F37" s="16"/>
      <c r="G37" s="16"/>
      <c r="H37" s="24"/>
      <c r="I37" s="21"/>
      <c r="J37" s="6"/>
      <c r="K37" s="6"/>
      <c r="L37" s="6"/>
      <c r="P37" s="14"/>
    </row>
    <row r="38" spans="2:16" ht="15.75" thickBot="1" x14ac:dyDescent="0.3">
      <c r="B38" s="65" t="s">
        <v>128</v>
      </c>
      <c r="C38" s="112" t="e">
        <f>Q31/C6</f>
        <v>#DIV/0!</v>
      </c>
      <c r="D38" s="16"/>
      <c r="E38" s="16"/>
      <c r="F38" s="16"/>
      <c r="G38" s="16"/>
      <c r="H38" s="24"/>
      <c r="I38" s="21"/>
      <c r="J38" s="6"/>
      <c r="K38" s="6"/>
      <c r="L38" s="6"/>
      <c r="P38" s="14"/>
    </row>
    <row r="39" spans="2:16" x14ac:dyDescent="0.25">
      <c r="B39" s="1"/>
      <c r="C39" s="1"/>
      <c r="D39" s="16"/>
      <c r="E39" s="16"/>
      <c r="F39" s="16"/>
      <c r="G39" s="16"/>
      <c r="H39" s="24"/>
      <c r="I39" s="21"/>
      <c r="J39" s="6"/>
      <c r="K39" s="6"/>
      <c r="L39" s="6"/>
      <c r="P39" s="14"/>
    </row>
  </sheetData>
  <mergeCells count="9">
    <mergeCell ref="B1:R1"/>
    <mergeCell ref="B33:C33"/>
    <mergeCell ref="B4:D4"/>
    <mergeCell ref="C6:D6"/>
    <mergeCell ref="N17:R17"/>
    <mergeCell ref="C5:D5"/>
    <mergeCell ref="B17:G17"/>
    <mergeCell ref="H17:J17"/>
    <mergeCell ref="K17:L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B1:T73"/>
  <sheetViews>
    <sheetView showGridLines="0" tabSelected="1" topLeftCell="B1" zoomScale="80" zoomScaleNormal="80" zoomScalePageLayoutView="80" workbookViewId="0">
      <pane ySplit="1" topLeftCell="A20" activePane="bottomLeft" state="frozen"/>
      <selection pane="bottomLeft" activeCell="J51" sqref="J51"/>
    </sheetView>
  </sheetViews>
  <sheetFormatPr defaultColWidth="9.140625" defaultRowHeight="15" x14ac:dyDescent="0.25"/>
  <cols>
    <col min="1" max="1" width="1.42578125" customWidth="1"/>
    <col min="2" max="2" width="57.42578125" customWidth="1"/>
    <col min="3" max="3" width="12.7109375" customWidth="1"/>
    <col min="4" max="4" width="21.5703125" customWidth="1"/>
    <col min="5" max="5" width="15.85546875" customWidth="1"/>
    <col min="6" max="6" width="14.28515625" customWidth="1"/>
    <col min="7" max="7" width="22.28515625" customWidth="1"/>
    <col min="8" max="8" width="18.42578125" customWidth="1"/>
    <col min="9" max="9" width="17.7109375" bestFit="1" customWidth="1"/>
    <col min="10" max="10" width="24" customWidth="1"/>
    <col min="11" max="11" width="22.28515625" customWidth="1"/>
    <col min="12" max="12" width="19.85546875" customWidth="1"/>
    <col min="13" max="13" width="26.140625" customWidth="1"/>
    <col min="14" max="14" width="20.140625" bestFit="1" customWidth="1"/>
    <col min="15" max="15" width="21.42578125" bestFit="1" customWidth="1"/>
    <col min="16" max="16" width="14.42578125" customWidth="1"/>
    <col min="17" max="17" width="17.42578125" customWidth="1"/>
    <col min="18" max="18" width="22.85546875" customWidth="1"/>
  </cols>
  <sheetData>
    <row r="1" spans="2:16" ht="26.25" x14ac:dyDescent="0.4">
      <c r="B1" s="537" t="s">
        <v>173</v>
      </c>
      <c r="C1" s="537"/>
      <c r="D1" s="537"/>
      <c r="E1" s="537"/>
      <c r="F1" s="537"/>
      <c r="G1" s="537"/>
      <c r="H1" s="537"/>
      <c r="I1" s="537"/>
      <c r="J1" s="537"/>
      <c r="K1" s="537"/>
      <c r="L1" s="537"/>
    </row>
    <row r="2" spans="2:16" x14ac:dyDescent="0.25">
      <c r="B2" s="1"/>
      <c r="C2" s="1"/>
      <c r="D2" s="16"/>
      <c r="E2" s="16"/>
      <c r="F2" s="16"/>
      <c r="G2" s="16"/>
      <c r="H2" s="24"/>
      <c r="I2" s="21"/>
      <c r="J2" s="6"/>
      <c r="K2" s="6"/>
      <c r="L2" s="6"/>
      <c r="P2" s="14"/>
    </row>
    <row r="3" spans="2:16" x14ac:dyDescent="0.25">
      <c r="B3" s="2"/>
    </row>
    <row r="4" spans="2:16" s="18" customFormat="1" x14ac:dyDescent="0.25">
      <c r="B4" s="362" t="s">
        <v>107</v>
      </c>
      <c r="C4" s="554" t="s">
        <v>99</v>
      </c>
      <c r="D4" s="554"/>
      <c r="E4" s="32"/>
      <c r="F4" s="32"/>
      <c r="G4" s="32"/>
      <c r="H4" s="32"/>
      <c r="I4" s="32"/>
    </row>
    <row r="5" spans="2:16" s="18" customFormat="1" x14ac:dyDescent="0.25">
      <c r="B5" s="362" t="s">
        <v>135</v>
      </c>
      <c r="C5" s="557">
        <f>'Captura de Datos'!M39</f>
        <v>0</v>
      </c>
      <c r="D5" s="557"/>
      <c r="G5" s="32"/>
      <c r="H5" s="32"/>
      <c r="I5" s="32"/>
    </row>
    <row r="6" spans="2:16" s="18" customFormat="1" x14ac:dyDescent="0.25">
      <c r="B6" s="362" t="s">
        <v>108</v>
      </c>
      <c r="C6" s="558" t="e">
        <f>C5/'Captura de Datos'!C10</f>
        <v>#DIV/0!</v>
      </c>
      <c r="D6" s="558"/>
      <c r="E6" s="34"/>
      <c r="F6" s="34"/>
      <c r="G6" s="32"/>
      <c r="H6" s="32"/>
      <c r="I6" s="32"/>
    </row>
    <row r="7" spans="2:16" s="18" customFormat="1" ht="15.75" thickBot="1" x14ac:dyDescent="0.3">
      <c r="B7" s="371"/>
      <c r="C7" s="370"/>
      <c r="D7" s="370"/>
      <c r="E7" s="34"/>
      <c r="F7" s="34"/>
      <c r="G7" s="32"/>
      <c r="H7" s="32"/>
      <c r="I7" s="32"/>
    </row>
    <row r="8" spans="2:16" s="18" customFormat="1" ht="15.75" thickBot="1" x14ac:dyDescent="0.3">
      <c r="B8" s="272" t="s">
        <v>300</v>
      </c>
      <c r="C8" s="370"/>
      <c r="D8" s="370"/>
      <c r="E8" s="34"/>
      <c r="F8" s="34"/>
      <c r="G8" s="32"/>
      <c r="H8" s="32"/>
      <c r="I8" s="32"/>
    </row>
    <row r="9" spans="2:16" ht="15" customHeight="1" x14ac:dyDescent="0.25">
      <c r="B9" s="267"/>
      <c r="C9" s="493" t="s">
        <v>36</v>
      </c>
      <c r="D9" s="494"/>
      <c r="E9" s="555"/>
      <c r="F9" s="494" t="s">
        <v>37</v>
      </c>
      <c r="G9" s="494"/>
      <c r="H9" s="556" t="s">
        <v>38</v>
      </c>
      <c r="I9" s="555"/>
      <c r="J9" s="550" t="s">
        <v>237</v>
      </c>
      <c r="K9" s="551"/>
      <c r="L9" s="551"/>
    </row>
    <row r="10" spans="2:16" ht="30" x14ac:dyDescent="0.25">
      <c r="B10" s="268" t="s">
        <v>0</v>
      </c>
      <c r="C10" s="368" t="s">
        <v>90</v>
      </c>
      <c r="D10" s="369" t="s">
        <v>72</v>
      </c>
      <c r="E10" s="69" t="s">
        <v>39</v>
      </c>
      <c r="F10" s="70" t="s">
        <v>40</v>
      </c>
      <c r="G10" s="70" t="s">
        <v>41</v>
      </c>
      <c r="H10" s="71" t="s">
        <v>40</v>
      </c>
      <c r="I10" s="69" t="s">
        <v>41</v>
      </c>
      <c r="J10" s="550"/>
      <c r="K10" s="551"/>
      <c r="L10" s="551"/>
    </row>
    <row r="11" spans="2:16" x14ac:dyDescent="0.25">
      <c r="B11" s="269" t="str">
        <f>'Captura de Datos'!B14</f>
        <v>Densidad Poblacional (hab/ha)</v>
      </c>
      <c r="C11" s="421">
        <f>'Captura de Datos'!C38</f>
        <v>0</v>
      </c>
      <c r="D11" s="422">
        <f>'Captura de Datos'!C14</f>
        <v>0</v>
      </c>
      <c r="E11" s="262">
        <f>IF(C11=0, 0, (C11-D11)/C11)</f>
        <v>0</v>
      </c>
      <c r="F11" s="84">
        <f>IF('Captura de Datos'!$C$44="", Constantes!$D$47, VLOOKUP('Captura de Datos'!$C$44, Constantes!$B$45:$E$47, 3,FALSE))</f>
        <v>-9.3333333333333338E-2</v>
      </c>
      <c r="G11" s="161">
        <f>F11*E11</f>
        <v>0</v>
      </c>
      <c r="H11" s="85">
        <f>IF('Captura de Datos'!C44="", Constantes!E47, VLOOKUP('Captura de Datos'!$C$44, Constantes!$B$45:$E$47, 4,FALSE))</f>
        <v>-7.6666666666666675E-2</v>
      </c>
      <c r="I11" s="160">
        <f>H11*E11</f>
        <v>0</v>
      </c>
      <c r="J11" s="550"/>
      <c r="K11" s="551"/>
      <c r="L11" s="551"/>
    </row>
    <row r="12" spans="2:16" x14ac:dyDescent="0.25">
      <c r="B12" s="269" t="str">
        <f>'Captura de Datos'!B15</f>
        <v>Índice de Uso Mixto (adimensional)</v>
      </c>
      <c r="C12" s="421">
        <f>'Captura de Datos'!C39</f>
        <v>0</v>
      </c>
      <c r="D12" s="422">
        <f>'Captura de Datos'!C15</f>
        <v>0</v>
      </c>
      <c r="E12" s="262">
        <f t="shared" ref="E12:E16" si="0">IF(C12=0, 0, (C12-D12)/C12)</f>
        <v>0</v>
      </c>
      <c r="F12" s="84">
        <f>IF('Captura de Datos'!$C$45="", Constantes!$D$53, VLOOKUP('Captura de Datos'!$C$45, Constantes!B51:$E$53,3,FALSE))</f>
        <v>0</v>
      </c>
      <c r="G12" s="161">
        <f>F12*E12</f>
        <v>0</v>
      </c>
      <c r="H12" s="85">
        <f>IF('Captura de Datos'!$C$45="", Constantes!$E$53, VLOOKUP('Captura de Datos'!$C$45, Constantes!B51:$E$53,4,FALSE))</f>
        <v>-0.10500000000000001</v>
      </c>
      <c r="I12" s="160">
        <f t="shared" ref="I12:I16" si="1">H12*E12</f>
        <v>0</v>
      </c>
      <c r="J12" s="550"/>
      <c r="K12" s="551"/>
      <c r="L12" s="551"/>
    </row>
    <row r="13" spans="2:16" x14ac:dyDescent="0.25">
      <c r="B13" s="269"/>
      <c r="C13" s="263"/>
      <c r="D13" s="261"/>
      <c r="E13" s="262">
        <f t="shared" si="0"/>
        <v>0</v>
      </c>
      <c r="F13" s="84"/>
      <c r="G13" s="161">
        <f t="shared" ref="G13:G16" si="2">F13*E13</f>
        <v>0</v>
      </c>
      <c r="H13" s="85"/>
      <c r="I13" s="160">
        <f t="shared" si="1"/>
        <v>0</v>
      </c>
      <c r="J13" s="550"/>
      <c r="K13" s="551"/>
      <c r="L13" s="551"/>
    </row>
    <row r="14" spans="2:16" x14ac:dyDescent="0.25">
      <c r="B14" s="270"/>
      <c r="C14" s="263"/>
      <c r="D14" s="261"/>
      <c r="E14" s="262">
        <f t="shared" si="0"/>
        <v>0</v>
      </c>
      <c r="F14" s="86"/>
      <c r="G14" s="161">
        <f t="shared" si="2"/>
        <v>0</v>
      </c>
      <c r="H14" s="85"/>
      <c r="I14" s="160">
        <f t="shared" si="1"/>
        <v>0</v>
      </c>
      <c r="J14" s="550"/>
      <c r="K14" s="551"/>
      <c r="L14" s="551"/>
    </row>
    <row r="15" spans="2:16" x14ac:dyDescent="0.25">
      <c r="B15" s="270"/>
      <c r="C15" s="263"/>
      <c r="D15" s="261"/>
      <c r="E15" s="262">
        <f t="shared" si="0"/>
        <v>0</v>
      </c>
      <c r="F15" s="84"/>
      <c r="G15" s="161">
        <f t="shared" si="2"/>
        <v>0</v>
      </c>
      <c r="H15" s="85"/>
      <c r="I15" s="160">
        <f t="shared" si="1"/>
        <v>0</v>
      </c>
      <c r="J15" s="25"/>
    </row>
    <row r="16" spans="2:16" x14ac:dyDescent="0.25">
      <c r="B16" s="270"/>
      <c r="C16" s="263"/>
      <c r="D16" s="261"/>
      <c r="E16" s="262">
        <f t="shared" si="0"/>
        <v>0</v>
      </c>
      <c r="F16" s="84"/>
      <c r="G16" s="161">
        <f t="shared" si="2"/>
        <v>0</v>
      </c>
      <c r="H16" s="85"/>
      <c r="I16" s="160">
        <f t="shared" si="1"/>
        <v>0</v>
      </c>
      <c r="J16" s="25"/>
    </row>
    <row r="17" spans="2:16" ht="31.5" customHeight="1" thickBot="1" x14ac:dyDescent="0.3">
      <c r="B17" s="271"/>
      <c r="C17" s="264"/>
      <c r="D17" s="265"/>
      <c r="E17" s="266"/>
      <c r="F17" s="88" t="s">
        <v>42</v>
      </c>
      <c r="G17" s="453">
        <f>(SUM(G11:G16))</f>
        <v>0</v>
      </c>
      <c r="H17" s="89"/>
      <c r="I17" s="453">
        <f>SUM(I11:I16)</f>
        <v>0</v>
      </c>
      <c r="J17" s="72" t="s">
        <v>55</v>
      </c>
      <c r="K17" s="452">
        <f>(1+G17)*(1+I17)-1</f>
        <v>0</v>
      </c>
    </row>
    <row r="18" spans="2:16" ht="15" customHeight="1" thickBot="1" x14ac:dyDescent="0.3">
      <c r="F18" s="447"/>
      <c r="K18" s="442"/>
    </row>
    <row r="19" spans="2:16" ht="15.75" thickBot="1" x14ac:dyDescent="0.3">
      <c r="B19" s="272" t="s">
        <v>65</v>
      </c>
      <c r="C19" s="10"/>
      <c r="K19" s="442"/>
      <c r="O19" s="14"/>
    </row>
    <row r="20" spans="2:16" ht="18.95" customHeight="1" x14ac:dyDescent="0.25">
      <c r="B20" s="75" t="s">
        <v>57</v>
      </c>
      <c r="C20" s="119" t="e">
        <f>'Cálculos Línea Base'!C34</f>
        <v>#DIV/0!</v>
      </c>
      <c r="K20" s="442"/>
      <c r="O20" s="14"/>
    </row>
    <row r="21" spans="2:16" ht="18.95" customHeight="1" thickBot="1" x14ac:dyDescent="0.3">
      <c r="B21" s="76" t="s">
        <v>210</v>
      </c>
      <c r="C21" s="120" t="e">
        <f>C20*(1+$K$17)</f>
        <v>#DIV/0!</v>
      </c>
      <c r="K21" s="442"/>
      <c r="O21" s="17"/>
    </row>
    <row r="22" spans="2:16" ht="15" customHeight="1" thickBot="1" x14ac:dyDescent="0.3">
      <c r="B22" s="20"/>
      <c r="C22" s="6"/>
      <c r="O22" s="17"/>
    </row>
    <row r="23" spans="2:16" ht="15.75" thickBot="1" x14ac:dyDescent="0.3">
      <c r="B23" s="559" t="s">
        <v>97</v>
      </c>
      <c r="C23" s="560"/>
      <c r="D23" s="560"/>
      <c r="E23" s="560"/>
      <c r="F23" s="560"/>
      <c r="G23" s="561"/>
      <c r="H23" s="6"/>
      <c r="I23" s="6"/>
      <c r="J23" s="6"/>
      <c r="K23" s="6"/>
      <c r="O23" s="14"/>
    </row>
    <row r="24" spans="2:16" ht="15.75" thickBot="1" x14ac:dyDescent="0.3">
      <c r="B24" s="73"/>
      <c r="C24" s="74"/>
      <c r="D24" s="552" t="s">
        <v>111</v>
      </c>
      <c r="E24" s="553"/>
      <c r="F24" s="552" t="s">
        <v>99</v>
      </c>
      <c r="G24" s="553"/>
      <c r="H24" s="6"/>
      <c r="I24" s="6"/>
      <c r="J24" s="6"/>
      <c r="K24" s="6"/>
      <c r="L24" s="6"/>
      <c r="P24" s="14"/>
    </row>
    <row r="25" spans="2:16" ht="36" customHeight="1" thickBot="1" x14ac:dyDescent="0.3">
      <c r="B25" s="176" t="s">
        <v>6</v>
      </c>
      <c r="C25" s="314" t="s">
        <v>4</v>
      </c>
      <c r="D25" s="413" t="s">
        <v>100</v>
      </c>
      <c r="E25" s="414" t="s">
        <v>98</v>
      </c>
      <c r="F25" s="455" t="s">
        <v>98</v>
      </c>
      <c r="G25" s="414" t="s">
        <v>100</v>
      </c>
      <c r="H25" s="445"/>
      <c r="I25" s="6"/>
      <c r="J25" s="6"/>
      <c r="K25" s="6"/>
      <c r="L25" s="6"/>
      <c r="P25" s="14"/>
    </row>
    <row r="26" spans="2:16" x14ac:dyDescent="0.25">
      <c r="B26" s="91" t="str">
        <f>'Cálculos Línea Base'!B19</f>
        <v>Motocicleta</v>
      </c>
      <c r="C26" s="92" t="str">
        <f>'Cálculos Línea Base'!C19</f>
        <v>Gasolina</v>
      </c>
      <c r="D26" s="423" t="e">
        <f>'Cálculos Línea Base'!K19/'Cálculos Línea Base'!$C$6</f>
        <v>#DIV/0!</v>
      </c>
      <c r="E26" s="424" t="e">
        <f>'Cálculos Línea Base'!L19</f>
        <v>#DIV/0!</v>
      </c>
      <c r="F26" s="427" t="e">
        <f>IF('Captura de Datos'!J41="",E26,'Captura de Datos'!J41)</f>
        <v>#DIV/0!</v>
      </c>
      <c r="G26" s="121" t="e">
        <f>$C$21*F26</f>
        <v>#DIV/0!</v>
      </c>
      <c r="H26" s="6"/>
      <c r="I26" s="6"/>
      <c r="J26" s="6"/>
      <c r="K26" s="6"/>
      <c r="L26" s="6"/>
      <c r="P26" s="14"/>
    </row>
    <row r="27" spans="2:16" x14ac:dyDescent="0.25">
      <c r="B27" s="91" t="str">
        <f>'Cálculos Línea Base'!B20</f>
        <v>Automóvil particular</v>
      </c>
      <c r="C27" s="92" t="str">
        <f>'Cálculos Línea Base'!C20</f>
        <v>Gasolina</v>
      </c>
      <c r="D27" s="423" t="e">
        <f>'Cálculos Línea Base'!K20/'Cálculos Línea Base'!$C$6</f>
        <v>#DIV/0!</v>
      </c>
      <c r="E27" s="424" t="e">
        <f>'Cálculos Línea Base'!L20</f>
        <v>#DIV/0!</v>
      </c>
      <c r="F27" s="427" t="e">
        <f>IF('Captura de Datos'!J42="",E27,'Captura de Datos'!J42)</f>
        <v>#DIV/0!</v>
      </c>
      <c r="G27" s="121" t="e">
        <f>$C$21*F27</f>
        <v>#DIV/0!</v>
      </c>
      <c r="H27" s="6"/>
      <c r="I27" s="6"/>
      <c r="J27" s="6"/>
      <c r="K27" s="6"/>
      <c r="L27" s="6"/>
      <c r="P27" s="14"/>
    </row>
    <row r="28" spans="2:16" x14ac:dyDescent="0.25">
      <c r="B28" s="91" t="str">
        <f>'Cálculos Línea Base'!B21</f>
        <v>Taxi</v>
      </c>
      <c r="C28" s="92" t="str">
        <f>'Cálculos Línea Base'!C21</f>
        <v>Gasolina</v>
      </c>
      <c r="D28" s="423" t="e">
        <f>'Cálculos Línea Base'!K21/'Cálculos Línea Base'!$C$6</f>
        <v>#DIV/0!</v>
      </c>
      <c r="E28" s="424" t="e">
        <f>'Cálculos Línea Base'!L21</f>
        <v>#DIV/0!</v>
      </c>
      <c r="F28" s="427" t="e">
        <f>IF('Captura de Datos'!J43="",E28,'Captura de Datos'!J43)</f>
        <v>#DIV/0!</v>
      </c>
      <c r="G28" s="121" t="e">
        <f t="shared" ref="G28:G32" si="3">$C$21*F28</f>
        <v>#DIV/0!</v>
      </c>
      <c r="H28" s="6"/>
      <c r="I28" s="6"/>
      <c r="J28" s="6"/>
      <c r="K28" s="6"/>
      <c r="L28" s="6"/>
      <c r="P28" s="14"/>
    </row>
    <row r="29" spans="2:16" x14ac:dyDescent="0.25">
      <c r="B29" s="91" t="str">
        <f>'Cálculos Línea Base'!B22</f>
        <v>Camioneta particular</v>
      </c>
      <c r="C29" s="92" t="str">
        <f>'Cálculos Línea Base'!C22</f>
        <v>Gasolina</v>
      </c>
      <c r="D29" s="423" t="e">
        <f>'Cálculos Línea Base'!K22/'Cálculos Línea Base'!$C$6</f>
        <v>#DIV/0!</v>
      </c>
      <c r="E29" s="424" t="e">
        <f>'Cálculos Línea Base'!L22</f>
        <v>#DIV/0!</v>
      </c>
      <c r="F29" s="427" t="e">
        <f>IF('Captura de Datos'!J44="",E29,'Captura de Datos'!J44)</f>
        <v>#DIV/0!</v>
      </c>
      <c r="G29" s="121" t="e">
        <f t="shared" si="3"/>
        <v>#DIV/0!</v>
      </c>
      <c r="H29" s="6"/>
      <c r="I29" s="6"/>
      <c r="J29" s="6"/>
      <c r="K29" s="6"/>
      <c r="L29" s="6"/>
      <c r="P29" s="14"/>
    </row>
    <row r="30" spans="2:16" x14ac:dyDescent="0.25">
      <c r="B30" s="91" t="str">
        <f>'Cálculos Línea Base'!B24</f>
        <v>Microbús transporte público</v>
      </c>
      <c r="C30" s="92" t="str">
        <f>'Cálculos Línea Base'!C24</f>
        <v>Gasolina</v>
      </c>
      <c r="D30" s="423" t="e">
        <f>'Cálculos Línea Base'!K24/'Cálculos Línea Base'!$C$6</f>
        <v>#DIV/0!</v>
      </c>
      <c r="E30" s="424" t="e">
        <f>'Cálculos Línea Base'!L24</f>
        <v>#DIV/0!</v>
      </c>
      <c r="F30" s="427" t="e">
        <f>IF('Captura de Datos'!J45="",E30,'Captura de Datos'!J45)</f>
        <v>#DIV/0!</v>
      </c>
      <c r="G30" s="121" t="e">
        <f t="shared" si="3"/>
        <v>#DIV/0!</v>
      </c>
      <c r="H30" s="6"/>
      <c r="I30" s="6"/>
      <c r="J30" s="6"/>
      <c r="K30" s="6"/>
      <c r="L30" s="6"/>
      <c r="P30" s="14"/>
    </row>
    <row r="31" spans="2:16" x14ac:dyDescent="0.25">
      <c r="B31" s="91" t="str">
        <f>'Cálculos Línea Base'!B23</f>
        <v>Autobús transporte público</v>
      </c>
      <c r="C31" s="92" t="str">
        <f>'Cálculos Línea Base'!C23</f>
        <v>Diésel</v>
      </c>
      <c r="D31" s="423" t="e">
        <f>'Cálculos Línea Base'!K23/'Cálculos Línea Base'!$C$6</f>
        <v>#DIV/0!</v>
      </c>
      <c r="E31" s="424" t="e">
        <f>'Cálculos Línea Base'!L23</f>
        <v>#DIV/0!</v>
      </c>
      <c r="F31" s="427" t="e">
        <f>IF('Captura de Datos'!J46="",E31,'Captura de Datos'!J46)</f>
        <v>#DIV/0!</v>
      </c>
      <c r="G31" s="121" t="e">
        <f t="shared" si="3"/>
        <v>#DIV/0!</v>
      </c>
      <c r="H31" s="6"/>
      <c r="I31" s="6"/>
      <c r="J31" s="6"/>
      <c r="K31" s="6"/>
      <c r="L31" s="6"/>
      <c r="P31" s="14"/>
    </row>
    <row r="32" spans="2:16" x14ac:dyDescent="0.25">
      <c r="B32" s="91" t="str">
        <f>'Cálculos Línea Base'!B25</f>
        <v>Sistema articulado (BRT)</v>
      </c>
      <c r="C32" s="92" t="str">
        <f>'Cálculos Línea Base'!C25</f>
        <v>Diésel</v>
      </c>
      <c r="D32" s="423" t="e">
        <f>'Cálculos Línea Base'!K25/'Cálculos Línea Base'!$C$6</f>
        <v>#DIV/0!</v>
      </c>
      <c r="E32" s="424" t="e">
        <f>'Cálculos Línea Base'!L25</f>
        <v>#DIV/0!</v>
      </c>
      <c r="F32" s="427" t="e">
        <f>IF('Captura de Datos'!J47="",E32,'Captura de Datos'!J47)</f>
        <v>#DIV/0!</v>
      </c>
      <c r="G32" s="121" t="e">
        <f t="shared" si="3"/>
        <v>#DIV/0!</v>
      </c>
      <c r="H32" s="6"/>
      <c r="I32" s="6"/>
      <c r="J32" s="6"/>
      <c r="K32" s="6"/>
      <c r="L32" s="6"/>
      <c r="P32" s="14"/>
    </row>
    <row r="33" spans="2:20" x14ac:dyDescent="0.25">
      <c r="B33" s="91" t="str">
        <f>'Cálculos Línea Base'!B27</f>
        <v>Trolebús</v>
      </c>
      <c r="C33" s="92" t="str">
        <f>'Cálculos Línea Base'!C27</f>
        <v>Electricidad</v>
      </c>
      <c r="D33" s="423" t="e">
        <f>'Cálculos Línea Base'!K27/'Cálculos Línea Base'!$C$6</f>
        <v>#DIV/0!</v>
      </c>
      <c r="E33" s="424" t="e">
        <f>'Cálculos Línea Base'!L27</f>
        <v>#DIV/0!</v>
      </c>
      <c r="F33" s="427" t="e">
        <f>IF('Captura de Datos'!J48="",E33,'Captura de Datos'!J48)</f>
        <v>#DIV/0!</v>
      </c>
      <c r="G33" s="121" t="e">
        <f>$C$21*F33</f>
        <v>#DIV/0!</v>
      </c>
      <c r="H33" s="6"/>
      <c r="I33" s="6"/>
      <c r="J33" s="6"/>
      <c r="K33" s="6"/>
      <c r="L33" s="6"/>
      <c r="P33" s="14"/>
    </row>
    <row r="34" spans="2:20" x14ac:dyDescent="0.25">
      <c r="B34" s="91" t="str">
        <f>'Cálculos Línea Base'!B28</f>
        <v>Tren Ligero</v>
      </c>
      <c r="C34" s="92" t="str">
        <f>'Cálculos Línea Base'!C28</f>
        <v>Electricidad</v>
      </c>
      <c r="D34" s="423" t="e">
        <f>'Cálculos Línea Base'!K28/'Cálculos Línea Base'!$C$6</f>
        <v>#DIV/0!</v>
      </c>
      <c r="E34" s="424" t="e">
        <f>'Cálculos Línea Base'!L28</f>
        <v>#DIV/0!</v>
      </c>
      <c r="F34" s="427" t="e">
        <f>IF('Captura de Datos'!J49="",E34,'Captura de Datos'!J49)</f>
        <v>#DIV/0!</v>
      </c>
      <c r="G34" s="121" t="e">
        <f>$C$21*F34</f>
        <v>#DIV/0!</v>
      </c>
      <c r="H34" s="6"/>
      <c r="I34" s="6"/>
      <c r="J34" s="6"/>
      <c r="K34" s="6"/>
      <c r="L34" s="6"/>
      <c r="P34" s="14"/>
    </row>
    <row r="35" spans="2:20" ht="15.75" thickBot="1" x14ac:dyDescent="0.3">
      <c r="B35" s="93" t="str">
        <f>'Cálculos Línea Base'!B$30</f>
        <v>Transporte no motorizado (peatón y bicicleta)</v>
      </c>
      <c r="C35" s="94" t="str">
        <f>'Cálculos Línea Base'!C$30</f>
        <v>NA</v>
      </c>
      <c r="D35" s="425" t="e">
        <f>'Cálculos Línea Base'!K30/'Cálculos Línea Base'!$C$6</f>
        <v>#DIV/0!</v>
      </c>
      <c r="E35" s="426" t="e">
        <f>'Cálculos Línea Base'!L30</f>
        <v>#DIV/0!</v>
      </c>
      <c r="F35" s="428" t="e">
        <f>IF('Captura de Datos'!J50="",E35,'Captura de Datos'!J50)</f>
        <v>#DIV/0!</v>
      </c>
      <c r="G35" s="122" t="e">
        <f>$C$21*F35</f>
        <v>#DIV/0!</v>
      </c>
      <c r="H35" s="6"/>
      <c r="I35" s="6"/>
      <c r="J35" s="6"/>
      <c r="K35" s="6"/>
      <c r="L35" s="6"/>
      <c r="P35" s="14"/>
    </row>
    <row r="36" spans="2:20" ht="15.75" thickBot="1" x14ac:dyDescent="0.3">
      <c r="O36" s="14"/>
    </row>
    <row r="37" spans="2:20" ht="19.5" thickBot="1" x14ac:dyDescent="0.35">
      <c r="B37" s="562" t="s">
        <v>231</v>
      </c>
      <c r="C37" s="563"/>
      <c r="D37" s="563"/>
      <c r="E37" s="563"/>
      <c r="F37" s="563"/>
      <c r="G37" s="563"/>
      <c r="H37" s="563"/>
      <c r="I37" s="563"/>
      <c r="J37" s="563"/>
      <c r="K37" s="563"/>
      <c r="L37" s="563"/>
      <c r="M37" s="563"/>
      <c r="N37" s="563"/>
      <c r="O37" s="563"/>
      <c r="P37" s="563"/>
      <c r="Q37" s="563"/>
      <c r="R37" s="564"/>
    </row>
    <row r="38" spans="2:20" x14ac:dyDescent="0.25">
      <c r="B38" s="77" t="s">
        <v>59</v>
      </c>
      <c r="C38" s="78"/>
      <c r="D38" s="78"/>
      <c r="E38" s="42"/>
      <c r="F38" s="78"/>
      <c r="G38" s="79"/>
      <c r="H38" s="545" t="s">
        <v>233</v>
      </c>
      <c r="I38" s="547"/>
      <c r="J38" s="545" t="s">
        <v>232</v>
      </c>
      <c r="K38" s="546"/>
      <c r="L38" s="547"/>
      <c r="M38" s="286"/>
      <c r="N38" s="546" t="s">
        <v>68</v>
      </c>
      <c r="O38" s="546"/>
      <c r="P38" s="546"/>
      <c r="Q38" s="546"/>
      <c r="R38" s="547"/>
    </row>
    <row r="39" spans="2:20" ht="45" customHeight="1" x14ac:dyDescent="0.25">
      <c r="B39" s="43" t="s">
        <v>6</v>
      </c>
      <c r="C39" s="44" t="s">
        <v>4</v>
      </c>
      <c r="D39" s="44" t="s">
        <v>13</v>
      </c>
      <c r="E39" s="44" t="s">
        <v>9</v>
      </c>
      <c r="F39" s="44" t="s">
        <v>11</v>
      </c>
      <c r="G39" s="45" t="s">
        <v>336</v>
      </c>
      <c r="H39" s="43" t="s">
        <v>235</v>
      </c>
      <c r="I39" s="45" t="s">
        <v>34</v>
      </c>
      <c r="J39" s="43" t="s">
        <v>234</v>
      </c>
      <c r="K39" s="44" t="s">
        <v>35</v>
      </c>
      <c r="L39" s="45" t="s">
        <v>96</v>
      </c>
      <c r="M39" s="287" t="s">
        <v>102</v>
      </c>
      <c r="N39" s="44" t="s">
        <v>60</v>
      </c>
      <c r="O39" s="44" t="s">
        <v>61</v>
      </c>
      <c r="P39" s="44" t="s">
        <v>62</v>
      </c>
      <c r="Q39" s="44" t="s">
        <v>315</v>
      </c>
      <c r="R39" s="45" t="s">
        <v>223</v>
      </c>
    </row>
    <row r="40" spans="2:20" x14ac:dyDescent="0.25">
      <c r="B40" s="47" t="str">
        <f>'Cálculos Línea Base'!B19</f>
        <v>Motocicleta</v>
      </c>
      <c r="C40" s="49" t="str">
        <f>'Cálculos Línea Base'!C19</f>
        <v>Gasolina</v>
      </c>
      <c r="D40" s="49">
        <f>'Cálculos Línea Base'!D19</f>
        <v>23.9</v>
      </c>
      <c r="E40" s="49">
        <f>'Cálculos Línea Base'!E19</f>
        <v>1</v>
      </c>
      <c r="F40" s="198">
        <f>'Cálculos Línea Base'!F19</f>
        <v>0</v>
      </c>
      <c r="G40" s="199">
        <f>IF(F40=0,0,J40/F40)</f>
        <v>0</v>
      </c>
      <c r="H40" s="55" t="e">
        <f>$C$21*$C$5*F26</f>
        <v>#DIV/0!</v>
      </c>
      <c r="I40" s="458" t="e">
        <f>H40/$H$54</f>
        <v>#DIV/0!</v>
      </c>
      <c r="J40" s="55" t="e">
        <f>H40/E40</f>
        <v>#DIV/0!</v>
      </c>
      <c r="K40" s="51" t="e">
        <f>J40/$J$54</f>
        <v>#DIV/0!</v>
      </c>
      <c r="L40" s="124" t="e">
        <f>J40/D40</f>
        <v>#DIV/0!</v>
      </c>
      <c r="M40" s="123" t="e">
        <f>IF(C40="Gasolina",L40*Constantes!$C$18*Constantes!$C$16,L40*Constantes!$C$19*Constantes!$C$17)</f>
        <v>#DIV/0!</v>
      </c>
      <c r="N40" s="53" t="e">
        <f>IF(C40="Gasolina",M40*Constantes!$C$4,M40*Constantes!$C$5)/1000</f>
        <v>#DIV/0!</v>
      </c>
      <c r="O40" s="54" t="e">
        <f>IF(C40="Gasolina",M40*Constantes!$C$6, M40*Constantes!$C$7)/1000</f>
        <v>#DIV/0!</v>
      </c>
      <c r="P40" s="125" t="e">
        <f>IF(C40="Gasolina",M40*Constantes!$C$8,M40*Constantes!$C$9)/1000</f>
        <v>#DIV/0!</v>
      </c>
      <c r="Q40" s="123" t="e">
        <f>IF(C40="Gasolina",Constantes!$C$24,Constantes!$C$25)*Constantes!$C$27*Constantes!$C$12*J40/1000000</f>
        <v>#DIV/0!</v>
      </c>
      <c r="R40" s="118" t="e">
        <f>N40+(O40*Constantes!$C$10)+(P40*Constantes!$C$11)</f>
        <v>#DIV/0!</v>
      </c>
    </row>
    <row r="41" spans="2:20" x14ac:dyDescent="0.25">
      <c r="B41" s="47" t="str">
        <f>'Cálculos Línea Base'!B20</f>
        <v>Automóvil particular</v>
      </c>
      <c r="C41" s="49" t="str">
        <f>'Cálculos Línea Base'!C20</f>
        <v>Gasolina</v>
      </c>
      <c r="D41" s="49">
        <f>'Cálculos Línea Base'!D20</f>
        <v>9.6</v>
      </c>
      <c r="E41" s="49">
        <f>'Cálculos Línea Base'!E20</f>
        <v>1.2</v>
      </c>
      <c r="F41" s="198">
        <f>'Cálculos Línea Base'!F20</f>
        <v>0</v>
      </c>
      <c r="G41" s="199">
        <f t="shared" ref="G41:G42" si="4">IF(F41=0,0,J41/F41)</f>
        <v>0</v>
      </c>
      <c r="H41" s="55" t="e">
        <f>$C$21*$C$5*F27</f>
        <v>#DIV/0!</v>
      </c>
      <c r="I41" s="52" t="e">
        <f t="shared" ref="I41:I45" si="5">H41/$H$54</f>
        <v>#DIV/0!</v>
      </c>
      <c r="J41" s="55" t="e">
        <f t="shared" ref="J41:J45" si="6">H41/E41</f>
        <v>#DIV/0!</v>
      </c>
      <c r="K41" s="51" t="e">
        <f t="shared" ref="K41:K45" si="7">J41/$J$54</f>
        <v>#DIV/0!</v>
      </c>
      <c r="L41" s="124" t="e">
        <f t="shared" ref="L41:L44" si="8">J41/D41</f>
        <v>#DIV/0!</v>
      </c>
      <c r="M41" s="123" t="e">
        <f>IF(C41="Gasolina",L41*Constantes!$C$18*Constantes!$C$16,L41*Constantes!$C$19*Constantes!$C$17)</f>
        <v>#DIV/0!</v>
      </c>
      <c r="N41" s="53" t="e">
        <f>IF(C41="Gasolina",M41*Constantes!$C$4,M41*Constantes!$C$5)/1000</f>
        <v>#DIV/0!</v>
      </c>
      <c r="O41" s="54" t="e">
        <f>IF(C41="Gasolina",M41*Constantes!$C$6, M41*Constantes!$C$7)/1000</f>
        <v>#DIV/0!</v>
      </c>
      <c r="P41" s="125" t="e">
        <f>IF(C41="Gasolina",M41*Constantes!$C$8,M41*Constantes!$C$9)/1000</f>
        <v>#DIV/0!</v>
      </c>
      <c r="Q41" s="123" t="e">
        <f>IF(C41="Gasolina",Constantes!$C$24,Constantes!$C$25)*Constantes!$C$27*Constantes!$C$12*J41/1000000</f>
        <v>#DIV/0!</v>
      </c>
      <c r="R41" s="118" t="e">
        <f>N41+(O41*Constantes!$C$10)+(P41*Constantes!$C$11)</f>
        <v>#DIV/0!</v>
      </c>
    </row>
    <row r="42" spans="2:20" x14ac:dyDescent="0.25">
      <c r="B42" s="47" t="str">
        <f>'Cálculos Línea Base'!B21</f>
        <v>Taxi</v>
      </c>
      <c r="C42" s="49" t="str">
        <f>'Cálculos Línea Base'!C21</f>
        <v>Gasolina</v>
      </c>
      <c r="D42" s="49">
        <f>'Cálculos Línea Base'!D21</f>
        <v>9.6</v>
      </c>
      <c r="E42" s="49">
        <f>'Cálculos Línea Base'!E21</f>
        <v>1.2</v>
      </c>
      <c r="F42" s="198">
        <f>'Cálculos Línea Base'!F21</f>
        <v>0</v>
      </c>
      <c r="G42" s="199">
        <f t="shared" si="4"/>
        <v>0</v>
      </c>
      <c r="H42" s="55" t="e">
        <f>$C$21*$C$5*F28</f>
        <v>#DIV/0!</v>
      </c>
      <c r="I42" s="52" t="e">
        <f t="shared" si="5"/>
        <v>#DIV/0!</v>
      </c>
      <c r="J42" s="55" t="e">
        <f t="shared" si="6"/>
        <v>#DIV/0!</v>
      </c>
      <c r="K42" s="51" t="e">
        <f t="shared" si="7"/>
        <v>#DIV/0!</v>
      </c>
      <c r="L42" s="124" t="e">
        <f t="shared" si="8"/>
        <v>#DIV/0!</v>
      </c>
      <c r="M42" s="123" t="e">
        <f>IF(C42="Gasolina",L42*Constantes!$C$18*Constantes!$C$16,L42*Constantes!$C$19*Constantes!$C$17)</f>
        <v>#DIV/0!</v>
      </c>
      <c r="N42" s="53" t="e">
        <f>IF(C42="Gasolina",M42*Constantes!$C$4,M42*Constantes!$C$5)/1000</f>
        <v>#DIV/0!</v>
      </c>
      <c r="O42" s="54" t="e">
        <f>IF(C42="Gasolina",M42*Constantes!$C$6, M42*Constantes!$C$7)/1000</f>
        <v>#DIV/0!</v>
      </c>
      <c r="P42" s="125" t="e">
        <f>IF(C42="Gasolina",M42*Constantes!$C$8,M42*Constantes!$C$9)/1000</f>
        <v>#DIV/0!</v>
      </c>
      <c r="Q42" s="123" t="e">
        <f>IF(C42="Gasolina",Constantes!$C$24,Constantes!$C$25)*Constantes!$C$27*Constantes!$C$12*J42/1000000</f>
        <v>#DIV/0!</v>
      </c>
      <c r="R42" s="118" t="e">
        <f>N42+(O42*Constantes!$C$10)+(P42*Constantes!$C$11)</f>
        <v>#DIV/0!</v>
      </c>
    </row>
    <row r="43" spans="2:20" x14ac:dyDescent="0.25">
      <c r="B43" s="47" t="str">
        <f>'Cálculos Línea Base'!B22</f>
        <v>Camioneta particular</v>
      </c>
      <c r="C43" s="49" t="str">
        <f>'Cálculos Línea Base'!C22</f>
        <v>Gasolina</v>
      </c>
      <c r="D43" s="49">
        <f>'Cálculos Línea Base'!D22</f>
        <v>7.5</v>
      </c>
      <c r="E43" s="49">
        <f>'Cálculos Línea Base'!E22</f>
        <v>1.2</v>
      </c>
      <c r="F43" s="198">
        <f>'Cálculos Línea Base'!F22</f>
        <v>0</v>
      </c>
      <c r="G43" s="199">
        <f>IF(F43=0,0,J43/F43)</f>
        <v>0</v>
      </c>
      <c r="H43" s="55" t="e">
        <f>$C$21*$C$5*F29</f>
        <v>#DIV/0!</v>
      </c>
      <c r="I43" s="52" t="e">
        <f t="shared" si="5"/>
        <v>#DIV/0!</v>
      </c>
      <c r="J43" s="55" t="e">
        <f t="shared" si="6"/>
        <v>#DIV/0!</v>
      </c>
      <c r="K43" s="51" t="e">
        <f t="shared" si="7"/>
        <v>#DIV/0!</v>
      </c>
      <c r="L43" s="124" t="e">
        <f t="shared" si="8"/>
        <v>#DIV/0!</v>
      </c>
      <c r="M43" s="123" t="e">
        <f>IF(C43="Gasolina",L43*Constantes!$C$18*Constantes!$C$16,L43*Constantes!$C$19*Constantes!$C$17)</f>
        <v>#DIV/0!</v>
      </c>
      <c r="N43" s="53" t="e">
        <f>IF(C43="Gasolina",M43*Constantes!$C$4,M43*Constantes!$C$5)/1000</f>
        <v>#DIV/0!</v>
      </c>
      <c r="O43" s="54" t="e">
        <f>IF(C43="Gasolina",M43*Constantes!$C$6, M43*Constantes!$C$7)/1000</f>
        <v>#DIV/0!</v>
      </c>
      <c r="P43" s="125" t="e">
        <f>IF(C43="Gasolina",M43*Constantes!$C$8,M43*Constantes!$C$9)/1000</f>
        <v>#DIV/0!</v>
      </c>
      <c r="Q43" s="123" t="e">
        <f>IF(C43="Gasolina",Constantes!$C$24,Constantes!$C$25)*Constantes!$C$27*Constantes!$C$12*J43/1000000</f>
        <v>#DIV/0!</v>
      </c>
      <c r="R43" s="118" t="e">
        <f>N43+(O43*Constantes!$C$10)+(P43*Constantes!$C$11)</f>
        <v>#DIV/0!</v>
      </c>
    </row>
    <row r="44" spans="2:20" x14ac:dyDescent="0.25">
      <c r="B44" s="47" t="str">
        <f>'Cálculos Línea Base'!B23</f>
        <v>Autobús transporte público</v>
      </c>
      <c r="C44" s="49" t="str">
        <f>'Cálculos Línea Base'!C23</f>
        <v>Diésel</v>
      </c>
      <c r="D44" s="49">
        <f>'Cálculos Línea Base'!D23</f>
        <v>2.8</v>
      </c>
      <c r="E44" s="49">
        <f>'Cálculos Línea Base'!E23</f>
        <v>40</v>
      </c>
      <c r="F44" s="198">
        <f>'Cálculos Línea Base'!F23</f>
        <v>0</v>
      </c>
      <c r="G44" s="430">
        <f>IF(F44=0,0,J44/F44)</f>
        <v>0</v>
      </c>
      <c r="H44" s="55" t="e">
        <f>$C$21*$C$5*F31</f>
        <v>#DIV/0!</v>
      </c>
      <c r="I44" s="52" t="e">
        <f t="shared" si="5"/>
        <v>#DIV/0!</v>
      </c>
      <c r="J44" s="55" t="e">
        <f t="shared" si="6"/>
        <v>#DIV/0!</v>
      </c>
      <c r="K44" s="51" t="e">
        <f t="shared" si="7"/>
        <v>#DIV/0!</v>
      </c>
      <c r="L44" s="124" t="e">
        <f t="shared" si="8"/>
        <v>#DIV/0!</v>
      </c>
      <c r="M44" s="123" t="e">
        <f>IF(C44="Gasolina",L44*Constantes!$C$18*Constantes!$C$16,L44*Constantes!$C$19*Constantes!$C$17)</f>
        <v>#DIV/0!</v>
      </c>
      <c r="N44" s="53" t="e">
        <f>IF(C44="Gasolina",M44*Constantes!$C$4,M44*Constantes!$C$5)/1000</f>
        <v>#DIV/0!</v>
      </c>
      <c r="O44" s="54" t="e">
        <f>IF(C44="Gasolina",M44*Constantes!$C$6, M44*Constantes!$C$7)/1000</f>
        <v>#DIV/0!</v>
      </c>
      <c r="P44" s="125" t="e">
        <f>IF(C44="Gasolina",M44*Constantes!$C$8,M44*Constantes!$C$9)/1000</f>
        <v>#DIV/0!</v>
      </c>
      <c r="Q44" s="123" t="e">
        <f>IF(C44="Gasolina",Constantes!$C$24,Constantes!$C$25)*Constantes!$C$27*Constantes!$C$12*J44/1000000</f>
        <v>#DIV/0!</v>
      </c>
      <c r="R44" s="118" t="e">
        <f>N44+(O44*Constantes!$C$10)+(P44*Constantes!$C$11)</f>
        <v>#DIV/0!</v>
      </c>
    </row>
    <row r="45" spans="2:20" x14ac:dyDescent="0.25">
      <c r="B45" s="47" t="str">
        <f>'Cálculos Línea Base'!B24</f>
        <v>Microbús transporte público</v>
      </c>
      <c r="C45" s="49" t="str">
        <f>'Cálculos Línea Base'!C24</f>
        <v>Gasolina</v>
      </c>
      <c r="D45" s="49">
        <f>'Cálculos Línea Base'!D24</f>
        <v>5.2</v>
      </c>
      <c r="E45" s="49">
        <f>'Cálculos Línea Base'!E24</f>
        <v>20</v>
      </c>
      <c r="F45" s="198">
        <f>'Cálculos Línea Base'!F24</f>
        <v>0</v>
      </c>
      <c r="G45" s="430">
        <f>IF(F45=0,0,J45/F45)</f>
        <v>0</v>
      </c>
      <c r="H45" s="55" t="e">
        <f>$C$21*$C$5*F30</f>
        <v>#DIV/0!</v>
      </c>
      <c r="I45" s="52" t="e">
        <f t="shared" si="5"/>
        <v>#DIV/0!</v>
      </c>
      <c r="J45" s="55" t="e">
        <f t="shared" si="6"/>
        <v>#DIV/0!</v>
      </c>
      <c r="K45" s="51" t="e">
        <f t="shared" si="7"/>
        <v>#DIV/0!</v>
      </c>
      <c r="L45" s="124" t="e">
        <f>J45/D45</f>
        <v>#DIV/0!</v>
      </c>
      <c r="M45" s="123" t="e">
        <f>IF(C45="Gasolina",L45*Constantes!$C$18*Constantes!$C$16,L45*Constantes!$C$19*Constantes!$C$17)</f>
        <v>#DIV/0!</v>
      </c>
      <c r="N45" s="53" t="e">
        <f>IF(C45="Gasolina",M45*Constantes!$C$4,M45*Constantes!$C$5)/1000</f>
        <v>#DIV/0!</v>
      </c>
      <c r="O45" s="54" t="e">
        <f>IF(C45="Gasolina",M45*Constantes!$C$6, M45*Constantes!$C$7)/1000</f>
        <v>#DIV/0!</v>
      </c>
      <c r="P45" s="125" t="e">
        <f>IF(C45="Gasolina",M45*Constantes!$C$8,M45*Constantes!$C$9)/1000</f>
        <v>#DIV/0!</v>
      </c>
      <c r="Q45" s="123" t="e">
        <f>IF(C45="Gasolina",Constantes!$C$24,Constantes!$C$25)*Constantes!$C$27*Constantes!$C$12*J45/1000000</f>
        <v>#DIV/0!</v>
      </c>
      <c r="R45" s="118" t="e">
        <f>N45+(O45*Constantes!$C$10)+(P45*Constantes!$C$11)</f>
        <v>#DIV/0!</v>
      </c>
    </row>
    <row r="46" spans="2:20" x14ac:dyDescent="0.25">
      <c r="B46" s="165"/>
      <c r="C46" s="26"/>
      <c r="D46" s="26"/>
      <c r="E46" s="26"/>
      <c r="F46" s="200"/>
      <c r="G46" s="201"/>
      <c r="H46" s="155"/>
      <c r="I46" s="167"/>
      <c r="J46" s="155"/>
      <c r="K46" s="162"/>
      <c r="L46" s="168"/>
      <c r="M46" s="288"/>
      <c r="N46" s="163"/>
      <c r="O46" s="163"/>
      <c r="P46" s="163"/>
      <c r="Q46" s="145"/>
      <c r="R46" s="166"/>
      <c r="S46" s="18"/>
      <c r="T46" s="18"/>
    </row>
    <row r="47" spans="2:20" x14ac:dyDescent="0.25">
      <c r="B47" s="165" t="s">
        <v>212</v>
      </c>
      <c r="C47" s="431" t="s">
        <v>213</v>
      </c>
      <c r="D47" s="431"/>
      <c r="E47" s="431"/>
      <c r="F47" s="432"/>
      <c r="G47" s="433"/>
      <c r="H47" s="434"/>
      <c r="I47" s="435"/>
      <c r="J47" s="434"/>
      <c r="K47" s="436"/>
      <c r="L47" s="437"/>
      <c r="M47" s="438"/>
      <c r="N47" s="439"/>
      <c r="O47" s="439"/>
      <c r="P47" s="439"/>
      <c r="Q47" s="440"/>
      <c r="R47" s="441"/>
      <c r="S47" s="18"/>
      <c r="T47" s="18"/>
    </row>
    <row r="48" spans="2:20" x14ac:dyDescent="0.25">
      <c r="B48" s="47" t="str">
        <f>'Cálculos Línea Base'!B25</f>
        <v>Sistema articulado (BRT)</v>
      </c>
      <c r="C48" s="49" t="str">
        <f>'Cálculos Línea Base'!C25</f>
        <v>Diésel</v>
      </c>
      <c r="D48" s="49">
        <f>'Cálculos Línea Base'!D25</f>
        <v>1.2</v>
      </c>
      <c r="E48" s="49">
        <f>'Cálculos Línea Base'!E25</f>
        <v>44</v>
      </c>
      <c r="F48" s="198">
        <v>0</v>
      </c>
      <c r="G48" s="199">
        <v>0</v>
      </c>
      <c r="H48" s="55" t="e">
        <f>$C$21*$C$5*F32</f>
        <v>#DIV/0!</v>
      </c>
      <c r="I48" s="52" t="e">
        <f>H48/$H$54</f>
        <v>#DIV/0!</v>
      </c>
      <c r="J48" s="55">
        <v>0</v>
      </c>
      <c r="K48" s="51" t="e">
        <f>J48/$J$54</f>
        <v>#DIV/0!</v>
      </c>
      <c r="L48" s="124">
        <f>J48/D48</f>
        <v>0</v>
      </c>
      <c r="M48" s="123">
        <f>IF(C48="Gasolina",L48*Constantes!$C$18*Constantes!$C$16,L48*Constantes!$C$19*Constantes!$C$17)</f>
        <v>0</v>
      </c>
      <c r="N48" s="53">
        <f>IF(C48="Gasolina",M48*Constantes!$C$4,M48*Constantes!$C$5)/1000</f>
        <v>0</v>
      </c>
      <c r="O48" s="54">
        <f>IF(C48="Gasolina",M48*Constantes!$C$6, M48*Constantes!$C$7)/1000</f>
        <v>0</v>
      </c>
      <c r="P48" s="125">
        <f>IF(C48="Gasolina",M48*Constantes!$C$8,M48*Constantes!$C$9)/1000</f>
        <v>0</v>
      </c>
      <c r="Q48" s="123">
        <f>IF(C48="Gasolina",Constantes!$C$24,Constantes!$C$25)*Constantes!$C$27*Constantes!$C$12*J48/1000000</f>
        <v>0</v>
      </c>
      <c r="R48" s="118">
        <f>N48+(O48*Constantes!$C$10)+(P48*Constantes!$C$11)</f>
        <v>0</v>
      </c>
    </row>
    <row r="49" spans="2:18" x14ac:dyDescent="0.25">
      <c r="B49" s="11" t="s">
        <v>123</v>
      </c>
      <c r="C49" s="6"/>
      <c r="D49" s="6"/>
      <c r="E49" s="6"/>
      <c r="F49" s="202"/>
      <c r="G49" s="203"/>
      <c r="H49" s="27"/>
      <c r="I49" s="9"/>
      <c r="J49" s="27"/>
      <c r="K49" s="5"/>
      <c r="L49" s="7"/>
      <c r="M49" s="289"/>
      <c r="N49" s="15"/>
      <c r="O49" s="15"/>
      <c r="P49" s="15"/>
      <c r="Q49" s="8"/>
      <c r="R49" s="19"/>
    </row>
    <row r="50" spans="2:18" ht="15.75" thickBot="1" x14ac:dyDescent="0.3">
      <c r="B50" s="87" t="str">
        <f>'Cálculos Línea Base'!B27</f>
        <v>Trolebús</v>
      </c>
      <c r="C50" s="50" t="str">
        <f>'Cálculos Línea Base'!C27</f>
        <v>Electricidad</v>
      </c>
      <c r="D50" s="50">
        <f>'Cálculos Línea Base'!D27</f>
        <v>0.85</v>
      </c>
      <c r="E50" s="50">
        <f>'Cálculos Línea Base'!E27</f>
        <v>100</v>
      </c>
      <c r="F50" s="204">
        <v>0</v>
      </c>
      <c r="G50" s="205">
        <v>0</v>
      </c>
      <c r="H50" s="55" t="e">
        <f>$C$21*$C$5*F32</f>
        <v>#DIV/0!</v>
      </c>
      <c r="I50" s="52" t="e">
        <f>H50/$H$54</f>
        <v>#DIV/0!</v>
      </c>
      <c r="J50" s="55">
        <v>0</v>
      </c>
      <c r="K50" s="51" t="e">
        <f>J50/$J$54</f>
        <v>#DIV/0!</v>
      </c>
      <c r="L50" s="275">
        <f>IF('Cálculos Línea Base'!H27=0,0,('Cálculos Línea Base'!J27/'Cálculos Línea Base'!H27)*'Cálculos Zona DOT'!J50)</f>
        <v>0</v>
      </c>
      <c r="M50" s="290">
        <f>L50*Constantes!$C$20</f>
        <v>0</v>
      </c>
      <c r="N50" s="123"/>
      <c r="O50" s="123"/>
      <c r="P50" s="123"/>
      <c r="Q50" s="123">
        <f>L50*Constantes!$C$26*Constantes!$C$28*Constantes!$C$12/1000000</f>
        <v>0</v>
      </c>
      <c r="R50" s="118">
        <f>L50*Constantes!$C$15/1000</f>
        <v>0</v>
      </c>
    </row>
    <row r="51" spans="2:18" ht="15.75" thickBot="1" x14ac:dyDescent="0.3">
      <c r="B51" s="87" t="str">
        <f>'Cálculos Línea Base'!B28</f>
        <v>Tren Ligero</v>
      </c>
      <c r="C51" s="50" t="str">
        <f>'Cálculos Línea Base'!C28</f>
        <v>Electricidad</v>
      </c>
      <c r="D51" s="50">
        <f>'Cálculos Línea Base'!D28</f>
        <v>0.64</v>
      </c>
      <c r="E51" s="50">
        <f>'Cálculos Línea Base'!E28</f>
        <v>635</v>
      </c>
      <c r="F51" s="204">
        <v>0</v>
      </c>
      <c r="G51" s="205">
        <v>0</v>
      </c>
      <c r="H51" s="55" t="e">
        <f>$C$21*$C$5*F34</f>
        <v>#DIV/0!</v>
      </c>
      <c r="I51" s="52" t="e">
        <f>H51/$H$54</f>
        <v>#DIV/0!</v>
      </c>
      <c r="J51" s="55">
        <v>0</v>
      </c>
      <c r="K51" s="51" t="e">
        <f>J51/$J$54</f>
        <v>#DIV/0!</v>
      </c>
      <c r="L51" s="275">
        <f>IF('Cálculos Línea Base'!H28=0,0,('Cálculos Línea Base'!J28/'Cálculos Línea Base'!H28)*'Cálculos Zona DOT'!J51)</f>
        <v>0</v>
      </c>
      <c r="M51" s="290">
        <f>L51*Constantes!$C$20</f>
        <v>0</v>
      </c>
      <c r="N51" s="123"/>
      <c r="O51" s="123"/>
      <c r="P51" s="123"/>
      <c r="Q51" s="123">
        <f>L51*Constantes!$C$26*Constantes!$C$28*Constantes!$C$12/1000000</f>
        <v>0</v>
      </c>
      <c r="R51" s="118">
        <f>L51*Constantes!$C$15/1000</f>
        <v>0</v>
      </c>
    </row>
    <row r="52" spans="2:18" s="18" customFormat="1" x14ac:dyDescent="0.25">
      <c r="B52" s="159" t="s">
        <v>209</v>
      </c>
      <c r="C52" s="26"/>
      <c r="D52" s="26"/>
      <c r="E52" s="26"/>
      <c r="F52" s="200"/>
      <c r="G52" s="201"/>
      <c r="H52" s="276"/>
      <c r="I52" s="277"/>
      <c r="J52" s="276"/>
      <c r="K52" s="278"/>
      <c r="L52" s="279"/>
      <c r="M52" s="280"/>
      <c r="N52" s="284"/>
      <c r="O52" s="281"/>
      <c r="P52" s="281"/>
      <c r="Q52" s="282"/>
      <c r="R52" s="283"/>
    </row>
    <row r="53" spans="2:18" ht="15.75" thickBot="1" x14ac:dyDescent="0.3">
      <c r="B53" s="87" t="str">
        <f>'Cálculos Línea Base'!B30</f>
        <v>Transporte no motorizado (peatón y bicicleta)</v>
      </c>
      <c r="C53" s="50" t="str">
        <f>'Cálculos Línea Base'!C30</f>
        <v>NA</v>
      </c>
      <c r="D53" s="50">
        <f>'Cálculos Línea Base'!D30</f>
        <v>0</v>
      </c>
      <c r="E53" s="50">
        <f>'Cálculos Línea Base'!E30</f>
        <v>1</v>
      </c>
      <c r="F53" s="204">
        <f>'Cálculos Línea Base'!F30</f>
        <v>0</v>
      </c>
      <c r="G53" s="205">
        <v>0</v>
      </c>
      <c r="H53" s="56" t="e">
        <f>$C$21*$C$5*F35</f>
        <v>#DIV/0!</v>
      </c>
      <c r="I53" s="95" t="e">
        <f>H53/$H$54</f>
        <v>#DIV/0!</v>
      </c>
      <c r="J53" s="56" t="e">
        <f>H53/E53</f>
        <v>#DIV/0!</v>
      </c>
      <c r="K53" s="206" t="e">
        <f>J53/$J$54</f>
        <v>#DIV/0!</v>
      </c>
      <c r="L53" s="274">
        <v>0</v>
      </c>
      <c r="M53" s="58">
        <v>0</v>
      </c>
      <c r="N53" s="285">
        <v>0</v>
      </c>
      <c r="O53" s="59">
        <v>0</v>
      </c>
      <c r="P53" s="59">
        <v>0</v>
      </c>
      <c r="Q53" s="59">
        <v>0</v>
      </c>
      <c r="R53" s="60">
        <v>0</v>
      </c>
    </row>
    <row r="54" spans="2:18" ht="15.75" thickBot="1" x14ac:dyDescent="0.3">
      <c r="B54" s="323"/>
      <c r="C54" s="324"/>
      <c r="D54" s="324"/>
      <c r="E54" s="346"/>
      <c r="F54" s="347">
        <f>SUM(F40:F53)</f>
        <v>0</v>
      </c>
      <c r="G54" s="347">
        <f>SUM(G40:G53)</f>
        <v>0</v>
      </c>
      <c r="H54" s="349" t="e">
        <f>SUM(H40:H53)</f>
        <v>#DIV/0!</v>
      </c>
      <c r="I54" s="348" t="e">
        <f>SUM(I40:I53)</f>
        <v>#DIV/0!</v>
      </c>
      <c r="J54" s="349" t="e">
        <f>SUM(J40:J53)</f>
        <v>#DIV/0!</v>
      </c>
      <c r="K54" s="350"/>
      <c r="L54" s="351"/>
      <c r="M54" s="349" t="e">
        <f t="shared" ref="M54:R54" si="9">SUM(M40:M53)</f>
        <v>#DIV/0!</v>
      </c>
      <c r="N54" s="349" t="e">
        <f t="shared" si="9"/>
        <v>#DIV/0!</v>
      </c>
      <c r="O54" s="349" t="e">
        <f t="shared" si="9"/>
        <v>#DIV/0!</v>
      </c>
      <c r="P54" s="349" t="e">
        <f t="shared" si="9"/>
        <v>#DIV/0!</v>
      </c>
      <c r="Q54" s="349" t="e">
        <f t="shared" si="9"/>
        <v>#DIV/0!</v>
      </c>
      <c r="R54" s="352" t="e">
        <f t="shared" si="9"/>
        <v>#DIV/0!</v>
      </c>
    </row>
    <row r="55" spans="2:18" x14ac:dyDescent="0.25">
      <c r="E55" s="1"/>
      <c r="F55" s="23"/>
      <c r="G55" s="23"/>
      <c r="H55" s="23"/>
      <c r="I55" s="22"/>
      <c r="J55" s="23"/>
      <c r="K55" s="16"/>
      <c r="L55" s="22"/>
      <c r="M55" s="21"/>
      <c r="N55" s="6"/>
      <c r="O55" s="6"/>
      <c r="P55" s="24"/>
      <c r="Q55" s="21"/>
    </row>
    <row r="56" spans="2:18" ht="15.75" thickBot="1" x14ac:dyDescent="0.3"/>
    <row r="57" spans="2:18" ht="30.75" thickBot="1" x14ac:dyDescent="0.3">
      <c r="B57" s="177" t="s">
        <v>278</v>
      </c>
      <c r="C57" s="178" t="s">
        <v>136</v>
      </c>
      <c r="D57" s="179" t="s">
        <v>109</v>
      </c>
    </row>
    <row r="58" spans="2:18" x14ac:dyDescent="0.25">
      <c r="B58" s="63" t="s">
        <v>120</v>
      </c>
      <c r="C58" s="126" t="e">
        <f>H54/C5</f>
        <v>#DIV/0!</v>
      </c>
      <c r="D58" s="109" t="e">
        <f>(C58-'Cálculos Línea Base'!C34)/'Cálculos Línea Base'!C34</f>
        <v>#DIV/0!</v>
      </c>
    </row>
    <row r="59" spans="2:18" x14ac:dyDescent="0.25">
      <c r="B59" s="64" t="s">
        <v>121</v>
      </c>
      <c r="C59" s="127" t="e">
        <f>C58/365</f>
        <v>#DIV/0!</v>
      </c>
      <c r="D59" s="52" t="e">
        <f>(C59-'Cálculos Línea Base'!C35)/'Cálculos Línea Base'!C35</f>
        <v>#DIV/0!</v>
      </c>
    </row>
    <row r="60" spans="2:18" x14ac:dyDescent="0.25">
      <c r="B60" s="64" t="s">
        <v>106</v>
      </c>
      <c r="C60" s="127" t="e">
        <f>M54/C5</f>
        <v>#DIV/0!</v>
      </c>
      <c r="D60" s="52" t="e">
        <f>(C60-'Cálculos Línea Base'!C36)/'Cálculos Línea Base'!C36</f>
        <v>#DIV/0!</v>
      </c>
    </row>
    <row r="61" spans="2:18" x14ac:dyDescent="0.25">
      <c r="B61" s="64" t="s">
        <v>119</v>
      </c>
      <c r="C61" s="127" t="e">
        <f>R54/C5</f>
        <v>#DIV/0!</v>
      </c>
      <c r="D61" s="52" t="e">
        <f>(C61-'Cálculos Línea Base'!C37)/'Cálculos Línea Base'!C37</f>
        <v>#DIV/0!</v>
      </c>
    </row>
    <row r="62" spans="2:18" x14ac:dyDescent="0.25">
      <c r="B62" s="64" t="s">
        <v>128</v>
      </c>
      <c r="C62" s="127" t="e">
        <f>Q54/C5</f>
        <v>#DIV/0!</v>
      </c>
      <c r="D62" s="52" t="e">
        <f>(C62-'Cálculos Línea Base'!C38)/'Cálculos Línea Base'!C38</f>
        <v>#DIV/0!</v>
      </c>
    </row>
    <row r="63" spans="2:18" ht="15.75" thickBot="1" x14ac:dyDescent="0.3">
      <c r="B63" s="65"/>
      <c r="C63" s="110"/>
      <c r="D63" s="95"/>
    </row>
    <row r="65" spans="2:17" ht="15.75" thickBot="1" x14ac:dyDescent="0.3">
      <c r="J65" s="6"/>
      <c r="K65" s="15"/>
      <c r="L65" s="6"/>
      <c r="M65" s="6"/>
      <c r="N65" s="6"/>
      <c r="O65" s="6"/>
      <c r="P65" s="6"/>
    </row>
    <row r="66" spans="2:17" ht="16.5" thickBot="1" x14ac:dyDescent="0.3">
      <c r="B66" s="291" t="s">
        <v>69</v>
      </c>
      <c r="C66" s="18"/>
      <c r="J66" s="6"/>
      <c r="K66" s="6"/>
      <c r="L66" s="6"/>
      <c r="M66" s="6"/>
      <c r="N66" s="6"/>
      <c r="O66" s="6"/>
      <c r="P66" s="6"/>
    </row>
    <row r="67" spans="2:17" s="18" customFormat="1" ht="15.75" x14ac:dyDescent="0.25">
      <c r="B67" s="80" t="s">
        <v>126</v>
      </c>
      <c r="C67" s="207"/>
      <c r="D67" s="207"/>
      <c r="E67" s="208"/>
      <c r="J67" s="26"/>
      <c r="K67" s="26"/>
      <c r="L67" s="26"/>
      <c r="M67" s="26"/>
      <c r="N67" s="26"/>
      <c r="O67" s="26"/>
      <c r="P67" s="26"/>
    </row>
    <row r="68" spans="2:17" s="18" customFormat="1" ht="30" x14ac:dyDescent="0.25">
      <c r="B68" s="81" t="s">
        <v>91</v>
      </c>
      <c r="C68" s="209" t="s">
        <v>93</v>
      </c>
      <c r="D68" s="117" t="s">
        <v>92</v>
      </c>
      <c r="E68" s="210" t="s">
        <v>94</v>
      </c>
      <c r="J68" s="26"/>
      <c r="K68" s="26"/>
      <c r="L68" s="26"/>
      <c r="M68" s="26"/>
      <c r="N68" s="26"/>
      <c r="O68" s="26"/>
      <c r="P68" s="26"/>
    </row>
    <row r="69" spans="2:17" s="18" customFormat="1" ht="15.75" thickBot="1" x14ac:dyDescent="0.3">
      <c r="B69" s="65" t="s">
        <v>95</v>
      </c>
      <c r="C69" s="212" t="e">
        <f>SUM(D26:D34)</f>
        <v>#DIV/0!</v>
      </c>
      <c r="D69" s="212" t="e">
        <f>SUM(G26:G34)</f>
        <v>#DIV/0!</v>
      </c>
      <c r="E69" s="211" t="e">
        <f>(D69-C69)/C69</f>
        <v>#DIV/0!</v>
      </c>
      <c r="J69" s="26"/>
      <c r="K69" s="26"/>
      <c r="L69" s="26"/>
      <c r="M69" s="26"/>
      <c r="N69" s="26"/>
      <c r="O69" s="26"/>
      <c r="P69" s="26"/>
    </row>
    <row r="70" spans="2:17" s="18" customFormat="1" ht="16.5" thickBot="1" x14ac:dyDescent="0.3">
      <c r="B70" s="31"/>
      <c r="J70" s="26"/>
      <c r="K70" s="26"/>
      <c r="L70" s="26"/>
      <c r="M70" s="26"/>
      <c r="N70" s="26"/>
      <c r="O70" s="26"/>
      <c r="P70" s="26"/>
    </row>
    <row r="71" spans="2:17" s="18" customFormat="1" ht="16.5" thickBot="1" x14ac:dyDescent="0.3">
      <c r="B71" s="291" t="s">
        <v>127</v>
      </c>
      <c r="J71" s="26"/>
      <c r="K71" s="26"/>
      <c r="L71" s="26"/>
      <c r="M71" s="26"/>
      <c r="N71" s="26"/>
      <c r="O71" s="26"/>
      <c r="P71" s="26"/>
    </row>
    <row r="72" spans="2:17" ht="36.75" customHeight="1" x14ac:dyDescent="0.25">
      <c r="B72" s="82"/>
      <c r="C72" s="185" t="s">
        <v>60</v>
      </c>
      <c r="D72" s="185" t="s">
        <v>61</v>
      </c>
      <c r="E72" s="185" t="s">
        <v>62</v>
      </c>
      <c r="F72" s="185" t="s">
        <v>236</v>
      </c>
      <c r="G72" s="186" t="s">
        <v>223</v>
      </c>
      <c r="K72" s="6"/>
      <c r="L72" s="6"/>
      <c r="M72" s="6"/>
      <c r="N72" s="6"/>
      <c r="O72" s="6"/>
      <c r="P72" s="6"/>
      <c r="Q72" s="6"/>
    </row>
    <row r="73" spans="2:17" ht="15.75" thickBot="1" x14ac:dyDescent="0.3">
      <c r="B73" s="83" t="s">
        <v>110</v>
      </c>
      <c r="C73" s="273" t="e">
        <f>(N54/$C$5)-('Cálculos Línea Base'!N31/'Cálculos Línea Base'!$C$6)</f>
        <v>#DIV/0!</v>
      </c>
      <c r="D73" s="273" t="e">
        <f>(O54/$C$5)-('Cálculos Línea Base'!O31/'Cálculos Línea Base'!$C$6)</f>
        <v>#DIV/0!</v>
      </c>
      <c r="E73" s="273" t="e">
        <f>(P54/$C$5)-('Cálculos Línea Base'!P31/'Cálculos Línea Base'!$C$6)</f>
        <v>#DIV/0!</v>
      </c>
      <c r="F73" s="273" t="e">
        <f>(Q54/$C$5)-('Cálculos Línea Base'!Q31/'Cálculos Línea Base'!$C$6)</f>
        <v>#DIV/0!</v>
      </c>
      <c r="G73" s="273" t="e">
        <f>(R54/$C$5)-('Cálculos Línea Base'!R31/'Cálculos Línea Base'!$C$6)</f>
        <v>#DIV/0!</v>
      </c>
    </row>
  </sheetData>
  <mergeCells count="15">
    <mergeCell ref="B1:L1"/>
    <mergeCell ref="J9:L14"/>
    <mergeCell ref="N38:R38"/>
    <mergeCell ref="D24:E24"/>
    <mergeCell ref="F24:G24"/>
    <mergeCell ref="C4:D4"/>
    <mergeCell ref="C9:E9"/>
    <mergeCell ref="F9:G9"/>
    <mergeCell ref="H9:I9"/>
    <mergeCell ref="C5:D5"/>
    <mergeCell ref="C6:D6"/>
    <mergeCell ref="H38:I38"/>
    <mergeCell ref="J38:L38"/>
    <mergeCell ref="B23:G23"/>
    <mergeCell ref="B37:R37"/>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1:H62"/>
  <sheetViews>
    <sheetView showGridLines="0" zoomScale="90" zoomScaleNormal="90" workbookViewId="0">
      <pane ySplit="1" topLeftCell="A2" activePane="bottomLeft" state="frozen"/>
      <selection pane="bottomLeft" activeCell="F10" sqref="F10"/>
    </sheetView>
  </sheetViews>
  <sheetFormatPr defaultColWidth="9.140625" defaultRowHeight="15" x14ac:dyDescent="0.25"/>
  <cols>
    <col min="1" max="1" width="1.7109375" customWidth="1"/>
    <col min="2" max="2" width="8.42578125" customWidth="1"/>
    <col min="3" max="7" width="25.7109375" customWidth="1"/>
    <col min="8" max="8" width="10.28515625" customWidth="1"/>
  </cols>
  <sheetData>
    <row r="1" spans="2:8" ht="26.25" x14ac:dyDescent="0.4">
      <c r="B1" s="537" t="s">
        <v>112</v>
      </c>
      <c r="C1" s="537"/>
      <c r="D1" s="537"/>
      <c r="E1" s="537"/>
      <c r="F1" s="537"/>
      <c r="G1" s="537"/>
      <c r="H1" s="537"/>
    </row>
    <row r="2" spans="2:8" ht="15.75" thickBot="1" x14ac:dyDescent="0.3"/>
    <row r="3" spans="2:8" ht="30.75" thickBot="1" x14ac:dyDescent="0.3">
      <c r="C3" s="259" t="s">
        <v>116</v>
      </c>
      <c r="D3" s="260">
        <f>'Captura de Datos'!C11</f>
        <v>0</v>
      </c>
    </row>
    <row r="5" spans="2:8" ht="15.75" thickBot="1" x14ac:dyDescent="0.3"/>
    <row r="6" spans="2:8" ht="15.75" customHeight="1" thickBot="1" x14ac:dyDescent="0.3">
      <c r="B6" s="559" t="s">
        <v>117</v>
      </c>
      <c r="C6" s="560"/>
      <c r="D6" s="560"/>
      <c r="E6" s="561"/>
    </row>
    <row r="7" spans="2:8" ht="15.75" thickBot="1" x14ac:dyDescent="0.3">
      <c r="B7" s="180" t="s">
        <v>113</v>
      </c>
      <c r="C7" s="181" t="s">
        <v>5</v>
      </c>
      <c r="D7" s="181" t="s">
        <v>115</v>
      </c>
      <c r="E7" s="182" t="s">
        <v>114</v>
      </c>
    </row>
    <row r="8" spans="2:8" x14ac:dyDescent="0.25">
      <c r="B8" s="257">
        <f>'Captura de Datos'!L39</f>
        <v>0</v>
      </c>
      <c r="C8" s="213">
        <f>'Captura de Datos'!C10</f>
        <v>0</v>
      </c>
      <c r="D8" s="213">
        <f>'Captura de Datos'!M39</f>
        <v>0</v>
      </c>
      <c r="E8" s="214">
        <f>C8-D8</f>
        <v>0</v>
      </c>
    </row>
    <row r="9" spans="2:8" x14ac:dyDescent="0.25">
      <c r="B9" s="257">
        <f>'Captura de Datos'!L40</f>
        <v>1</v>
      </c>
      <c r="C9" s="213">
        <f>C8*(1+$D$3)</f>
        <v>0</v>
      </c>
      <c r="D9" s="213">
        <f>'Captura de Datos'!M40</f>
        <v>0</v>
      </c>
      <c r="E9" s="214">
        <f t="shared" ref="E9:E23" si="0">C9-D9</f>
        <v>0</v>
      </c>
    </row>
    <row r="10" spans="2:8" x14ac:dyDescent="0.25">
      <c r="B10" s="257">
        <f>'Captura de Datos'!L41</f>
        <v>2</v>
      </c>
      <c r="C10" s="213">
        <f t="shared" ref="C10:C23" si="1">C9*(1+$D$3)</f>
        <v>0</v>
      </c>
      <c r="D10" s="213">
        <f>'Captura de Datos'!M41</f>
        <v>0</v>
      </c>
      <c r="E10" s="214">
        <f t="shared" si="0"/>
        <v>0</v>
      </c>
    </row>
    <row r="11" spans="2:8" x14ac:dyDescent="0.25">
      <c r="B11" s="257">
        <f>'Captura de Datos'!L42</f>
        <v>3</v>
      </c>
      <c r="C11" s="213">
        <f t="shared" si="1"/>
        <v>0</v>
      </c>
      <c r="D11" s="213">
        <f>'Captura de Datos'!M42</f>
        <v>0</v>
      </c>
      <c r="E11" s="214">
        <f t="shared" si="0"/>
        <v>0</v>
      </c>
    </row>
    <row r="12" spans="2:8" x14ac:dyDescent="0.25">
      <c r="B12" s="257">
        <f>'Captura de Datos'!L43</f>
        <v>4</v>
      </c>
      <c r="C12" s="213">
        <f t="shared" si="1"/>
        <v>0</v>
      </c>
      <c r="D12" s="213">
        <f>'Captura de Datos'!M43</f>
        <v>0</v>
      </c>
      <c r="E12" s="214">
        <f t="shared" si="0"/>
        <v>0</v>
      </c>
    </row>
    <row r="13" spans="2:8" x14ac:dyDescent="0.25">
      <c r="B13" s="257">
        <f>'Captura de Datos'!L44</f>
        <v>5</v>
      </c>
      <c r="C13" s="213">
        <f t="shared" si="1"/>
        <v>0</v>
      </c>
      <c r="D13" s="213">
        <f>'Captura de Datos'!M44</f>
        <v>0</v>
      </c>
      <c r="E13" s="214">
        <f t="shared" si="0"/>
        <v>0</v>
      </c>
    </row>
    <row r="14" spans="2:8" x14ac:dyDescent="0.25">
      <c r="B14" s="257">
        <f>'Captura de Datos'!L45</f>
        <v>6</v>
      </c>
      <c r="C14" s="213">
        <f t="shared" si="1"/>
        <v>0</v>
      </c>
      <c r="D14" s="213">
        <f>'Captura de Datos'!M45</f>
        <v>0</v>
      </c>
      <c r="E14" s="214">
        <f t="shared" si="0"/>
        <v>0</v>
      </c>
    </row>
    <row r="15" spans="2:8" x14ac:dyDescent="0.25">
      <c r="B15" s="257">
        <f>'Captura de Datos'!L46</f>
        <v>7</v>
      </c>
      <c r="C15" s="213">
        <f t="shared" si="1"/>
        <v>0</v>
      </c>
      <c r="D15" s="213">
        <f>'Captura de Datos'!M46</f>
        <v>0</v>
      </c>
      <c r="E15" s="214">
        <f t="shared" si="0"/>
        <v>0</v>
      </c>
    </row>
    <row r="16" spans="2:8" x14ac:dyDescent="0.25">
      <c r="B16" s="257">
        <f>'Captura de Datos'!L47</f>
        <v>8</v>
      </c>
      <c r="C16" s="213">
        <f t="shared" si="1"/>
        <v>0</v>
      </c>
      <c r="D16" s="213">
        <f>'Captura de Datos'!M47</f>
        <v>0</v>
      </c>
      <c r="E16" s="214">
        <f t="shared" si="0"/>
        <v>0</v>
      </c>
    </row>
    <row r="17" spans="2:8" x14ac:dyDescent="0.25">
      <c r="B17" s="257">
        <f>'Captura de Datos'!L48</f>
        <v>9</v>
      </c>
      <c r="C17" s="213">
        <f t="shared" si="1"/>
        <v>0</v>
      </c>
      <c r="D17" s="213">
        <f>'Captura de Datos'!M48</f>
        <v>0</v>
      </c>
      <c r="E17" s="214">
        <f t="shared" si="0"/>
        <v>0</v>
      </c>
    </row>
    <row r="18" spans="2:8" x14ac:dyDescent="0.25">
      <c r="B18" s="257">
        <f>'Captura de Datos'!L49</f>
        <v>10</v>
      </c>
      <c r="C18" s="213">
        <f t="shared" si="1"/>
        <v>0</v>
      </c>
      <c r="D18" s="213">
        <f>'Captura de Datos'!M49</f>
        <v>0</v>
      </c>
      <c r="E18" s="214">
        <f t="shared" si="0"/>
        <v>0</v>
      </c>
    </row>
    <row r="19" spans="2:8" x14ac:dyDescent="0.25">
      <c r="B19" s="257">
        <f>'Captura de Datos'!L50</f>
        <v>11</v>
      </c>
      <c r="C19" s="213">
        <f t="shared" si="1"/>
        <v>0</v>
      </c>
      <c r="D19" s="213">
        <f>'Captura de Datos'!M50</f>
        <v>0</v>
      </c>
      <c r="E19" s="214">
        <f t="shared" si="0"/>
        <v>0</v>
      </c>
    </row>
    <row r="20" spans="2:8" x14ac:dyDescent="0.25">
      <c r="B20" s="257">
        <f>'Captura de Datos'!L51</f>
        <v>12</v>
      </c>
      <c r="C20" s="213">
        <f t="shared" si="1"/>
        <v>0</v>
      </c>
      <c r="D20" s="213">
        <f>'Captura de Datos'!M51</f>
        <v>0</v>
      </c>
      <c r="E20" s="214">
        <f t="shared" si="0"/>
        <v>0</v>
      </c>
    </row>
    <row r="21" spans="2:8" x14ac:dyDescent="0.25">
      <c r="B21" s="257">
        <f>'Captura de Datos'!L52</f>
        <v>13</v>
      </c>
      <c r="C21" s="213">
        <f t="shared" si="1"/>
        <v>0</v>
      </c>
      <c r="D21" s="213">
        <f>'Captura de Datos'!M52</f>
        <v>0</v>
      </c>
      <c r="E21" s="214">
        <f t="shared" si="0"/>
        <v>0</v>
      </c>
    </row>
    <row r="22" spans="2:8" x14ac:dyDescent="0.25">
      <c r="B22" s="257">
        <f>'Captura de Datos'!L53</f>
        <v>14</v>
      </c>
      <c r="C22" s="213">
        <f t="shared" si="1"/>
        <v>0</v>
      </c>
      <c r="D22" s="213">
        <f>'Captura de Datos'!M53</f>
        <v>0</v>
      </c>
      <c r="E22" s="214">
        <f t="shared" si="0"/>
        <v>0</v>
      </c>
    </row>
    <row r="23" spans="2:8" ht="15.75" thickBot="1" x14ac:dyDescent="0.3">
      <c r="B23" s="258">
        <f>'Captura de Datos'!L54</f>
        <v>15</v>
      </c>
      <c r="C23" s="215">
        <f t="shared" si="1"/>
        <v>0</v>
      </c>
      <c r="D23" s="215">
        <f>'Captura de Datos'!M54</f>
        <v>0</v>
      </c>
      <c r="E23" s="216">
        <f t="shared" si="0"/>
        <v>0</v>
      </c>
    </row>
    <row r="24" spans="2:8" ht="15.75" thickBot="1" x14ac:dyDescent="0.3"/>
    <row r="25" spans="2:8" ht="15.75" customHeight="1" thickBot="1" x14ac:dyDescent="0.3">
      <c r="B25" s="559" t="s">
        <v>118</v>
      </c>
      <c r="C25" s="560"/>
      <c r="D25" s="560"/>
      <c r="E25" s="560"/>
      <c r="F25" s="560"/>
      <c r="G25" s="561"/>
    </row>
    <row r="26" spans="2:8" s="3" customFormat="1" ht="45.75" thickBot="1" x14ac:dyDescent="0.3">
      <c r="B26" s="180" t="s">
        <v>113</v>
      </c>
      <c r="C26" s="181" t="s">
        <v>148</v>
      </c>
      <c r="D26" s="181" t="s">
        <v>149</v>
      </c>
      <c r="E26" s="181" t="s">
        <v>151</v>
      </c>
      <c r="F26" s="181" t="s">
        <v>238</v>
      </c>
      <c r="G26" s="182" t="s">
        <v>150</v>
      </c>
      <c r="H26" s="12"/>
    </row>
    <row r="27" spans="2:8" x14ac:dyDescent="0.25">
      <c r="B27" s="140">
        <f>B8</f>
        <v>0</v>
      </c>
      <c r="C27" s="217" t="e">
        <f>(('Cálculos Línea Base'!$C$34*Escenarios!E8)+('Cálculos Zona DOT'!$C$58*Escenarios!D8))/1000000</f>
        <v>#DIV/0!</v>
      </c>
      <c r="D27" s="217" t="e">
        <f>(('Cálculos Línea Base'!$C$35*Escenarios!E8)+('Cálculos Zona DOT'!$C$59*Escenarios!D8))/1000000</f>
        <v>#DIV/0!</v>
      </c>
      <c r="E27" s="218" t="e">
        <f>(('Cálculos Línea Base'!$C$36*Escenarios!E8)+('Cálculos Zona DOT'!$C$60*Escenarios!D8))/(Constantes!$C$20*1000*1000)</f>
        <v>#DIV/0!</v>
      </c>
      <c r="F27" s="218" t="e">
        <f>(('Cálculos Línea Base'!$C$38*Escenarios!E8)+('Cálculos Zona DOT'!$C$62*Escenarios!D8))/1000</f>
        <v>#DIV/0!</v>
      </c>
      <c r="G27" s="219" t="e">
        <f>(('Cálculos Línea Base'!$C$37*Escenarios!E8)+('Cálculos Zona DOT'!$C$61*Escenarios!D8))/1000</f>
        <v>#DIV/0!</v>
      </c>
      <c r="H27" s="15"/>
    </row>
    <row r="28" spans="2:8" x14ac:dyDescent="0.25">
      <c r="B28" s="140">
        <f t="shared" ref="B28:B42" si="2">B9</f>
        <v>1</v>
      </c>
      <c r="C28" s="217" t="e">
        <f>(('Cálculos Línea Base'!$C$34*Escenarios!E9)+('Cálculos Zona DOT'!$C$58*Escenarios!D9))/1000000</f>
        <v>#DIV/0!</v>
      </c>
      <c r="D28" s="217" t="e">
        <f>(('Cálculos Línea Base'!$C$35*Escenarios!E9)+('Cálculos Zona DOT'!$C$59*Escenarios!D9))/1000000</f>
        <v>#DIV/0!</v>
      </c>
      <c r="E28" s="218" t="e">
        <f>(('Cálculos Línea Base'!$C$36*Escenarios!E9)+('Cálculos Zona DOT'!$C$60*Escenarios!D9))/(Constantes!$C$20*1000*1000)</f>
        <v>#DIV/0!</v>
      </c>
      <c r="F28" s="218" t="e">
        <f>(('Cálculos Línea Base'!$C$38*Escenarios!E9)+('Cálculos Zona DOT'!$C$62*Escenarios!D9))/1000</f>
        <v>#DIV/0!</v>
      </c>
      <c r="G28" s="219" t="e">
        <f>(('Cálculos Línea Base'!$C$37*Escenarios!E9)+('Cálculos Zona DOT'!$C$61*Escenarios!D9))/1000</f>
        <v>#DIV/0!</v>
      </c>
      <c r="H28" s="15"/>
    </row>
    <row r="29" spans="2:8" x14ac:dyDescent="0.25">
      <c r="B29" s="140">
        <f t="shared" si="2"/>
        <v>2</v>
      </c>
      <c r="C29" s="217" t="e">
        <f>(('Cálculos Línea Base'!$C$34*Escenarios!E10)+('Cálculos Zona DOT'!$C$58*Escenarios!D10))/1000000</f>
        <v>#DIV/0!</v>
      </c>
      <c r="D29" s="217" t="e">
        <f>(('Cálculos Línea Base'!$C$35*Escenarios!E10)+('Cálculos Zona DOT'!$C$59*Escenarios!D10))/1000000</f>
        <v>#DIV/0!</v>
      </c>
      <c r="E29" s="218" t="e">
        <f>(('Cálculos Línea Base'!$C$36*Escenarios!E10)+('Cálculos Zona DOT'!$C$60*Escenarios!D10))/(Constantes!$C$20*1000*1000)</f>
        <v>#DIV/0!</v>
      </c>
      <c r="F29" s="218" t="e">
        <f>(('Cálculos Línea Base'!$C$38*Escenarios!E10)+('Cálculos Zona DOT'!$C$62*Escenarios!D10))/1000</f>
        <v>#DIV/0!</v>
      </c>
      <c r="G29" s="219" t="e">
        <f>(('Cálculos Línea Base'!$C$37*Escenarios!E10)+('Cálculos Zona DOT'!$C$61*Escenarios!D10))/1000</f>
        <v>#DIV/0!</v>
      </c>
      <c r="H29" s="15"/>
    </row>
    <row r="30" spans="2:8" x14ac:dyDescent="0.25">
      <c r="B30" s="140">
        <f t="shared" si="2"/>
        <v>3</v>
      </c>
      <c r="C30" s="217" t="e">
        <f>(('Cálculos Línea Base'!$C$34*Escenarios!E11)+('Cálculos Zona DOT'!$C$58*Escenarios!D11))/1000000</f>
        <v>#DIV/0!</v>
      </c>
      <c r="D30" s="217" t="e">
        <f>(('Cálculos Línea Base'!$C$35*Escenarios!E11)+('Cálculos Zona DOT'!$C$59*Escenarios!D11))/1000000</f>
        <v>#DIV/0!</v>
      </c>
      <c r="E30" s="218" t="e">
        <f>(('Cálculos Línea Base'!$C$36*Escenarios!E11)+('Cálculos Zona DOT'!$C$60*Escenarios!D11))/(Constantes!$C$20*1000*1000)</f>
        <v>#DIV/0!</v>
      </c>
      <c r="F30" s="218" t="e">
        <f>(('Cálculos Línea Base'!$C$38*Escenarios!E11)+('Cálculos Zona DOT'!$C$62*Escenarios!D11))/1000</f>
        <v>#DIV/0!</v>
      </c>
      <c r="G30" s="219" t="e">
        <f>(('Cálculos Línea Base'!$C$37*Escenarios!E11)+('Cálculos Zona DOT'!$C$61*Escenarios!D11))/1000</f>
        <v>#DIV/0!</v>
      </c>
      <c r="H30" s="15"/>
    </row>
    <row r="31" spans="2:8" x14ac:dyDescent="0.25">
      <c r="B31" s="140">
        <f t="shared" si="2"/>
        <v>4</v>
      </c>
      <c r="C31" s="217" t="e">
        <f>(('Cálculos Línea Base'!$C$34*Escenarios!E12)+('Cálculos Zona DOT'!$C$58*Escenarios!D12))/1000000</f>
        <v>#DIV/0!</v>
      </c>
      <c r="D31" s="217" t="e">
        <f>(('Cálculos Línea Base'!$C$35*Escenarios!E12)+('Cálculos Zona DOT'!$C$59*Escenarios!D12))/1000000</f>
        <v>#DIV/0!</v>
      </c>
      <c r="E31" s="218" t="e">
        <f>(('Cálculos Línea Base'!$C$36*Escenarios!E12)+('Cálculos Zona DOT'!$C$60*Escenarios!D12))/(Constantes!$C$20*1000*1000)</f>
        <v>#DIV/0!</v>
      </c>
      <c r="F31" s="218" t="e">
        <f>(('Cálculos Línea Base'!$C$38*Escenarios!E12)+('Cálculos Zona DOT'!$C$62*Escenarios!D12))/1000</f>
        <v>#DIV/0!</v>
      </c>
      <c r="G31" s="219" t="e">
        <f>(('Cálculos Línea Base'!$C$37*Escenarios!E12)+('Cálculos Zona DOT'!$C$61*Escenarios!D12))/1000</f>
        <v>#DIV/0!</v>
      </c>
      <c r="H31" s="15"/>
    </row>
    <row r="32" spans="2:8" x14ac:dyDescent="0.25">
      <c r="B32" s="140">
        <f t="shared" si="2"/>
        <v>5</v>
      </c>
      <c r="C32" s="217" t="e">
        <f>(('Cálculos Línea Base'!$C$34*Escenarios!E13)+('Cálculos Zona DOT'!$C$58*Escenarios!D13))/1000000</f>
        <v>#DIV/0!</v>
      </c>
      <c r="D32" s="217" t="e">
        <f>(('Cálculos Línea Base'!$C$35*Escenarios!E13)+('Cálculos Zona DOT'!$C$59*Escenarios!D13))/1000000</f>
        <v>#DIV/0!</v>
      </c>
      <c r="E32" s="218" t="e">
        <f>(('Cálculos Línea Base'!$C$36*Escenarios!E13)+('Cálculos Zona DOT'!$C$60*Escenarios!D13))/(Constantes!$C$20*1000*1000)</f>
        <v>#DIV/0!</v>
      </c>
      <c r="F32" s="218" t="e">
        <f>(('Cálculos Línea Base'!$C$38*Escenarios!E13)+('Cálculos Zona DOT'!$C$62*Escenarios!D13))/1000</f>
        <v>#DIV/0!</v>
      </c>
      <c r="G32" s="219" t="e">
        <f>(('Cálculos Línea Base'!$C$37*Escenarios!E13)+('Cálculos Zona DOT'!$C$61*Escenarios!D13))/1000</f>
        <v>#DIV/0!</v>
      </c>
      <c r="H32" s="15"/>
    </row>
    <row r="33" spans="2:8" x14ac:dyDescent="0.25">
      <c r="B33" s="140">
        <f t="shared" si="2"/>
        <v>6</v>
      </c>
      <c r="C33" s="217" t="e">
        <f>(('Cálculos Línea Base'!$C$34*Escenarios!E14)+('Cálculos Zona DOT'!$C$58*Escenarios!D14))/1000000</f>
        <v>#DIV/0!</v>
      </c>
      <c r="D33" s="217" t="e">
        <f>(('Cálculos Línea Base'!$C$35*Escenarios!E14)+('Cálculos Zona DOT'!$C$59*Escenarios!D14))/1000000</f>
        <v>#DIV/0!</v>
      </c>
      <c r="E33" s="218" t="e">
        <f>(('Cálculos Línea Base'!$C$36*Escenarios!E14)+('Cálculos Zona DOT'!$C$60*Escenarios!D14))/(Constantes!$C$20*1000*1000)</f>
        <v>#DIV/0!</v>
      </c>
      <c r="F33" s="218" t="e">
        <f>(('Cálculos Línea Base'!$C$38*Escenarios!E14)+('Cálculos Zona DOT'!$C$62*Escenarios!D14))/1000</f>
        <v>#DIV/0!</v>
      </c>
      <c r="G33" s="219" t="e">
        <f>(('Cálculos Línea Base'!$C$37*Escenarios!E14)+('Cálculos Zona DOT'!$C$61*Escenarios!D14))/1000</f>
        <v>#DIV/0!</v>
      </c>
      <c r="H33" s="15"/>
    </row>
    <row r="34" spans="2:8" x14ac:dyDescent="0.25">
      <c r="B34" s="140">
        <f t="shared" si="2"/>
        <v>7</v>
      </c>
      <c r="C34" s="217" t="e">
        <f>(('Cálculos Línea Base'!$C$34*Escenarios!E15)+('Cálculos Zona DOT'!$C$58*Escenarios!D15))/1000000</f>
        <v>#DIV/0!</v>
      </c>
      <c r="D34" s="217" t="e">
        <f>(('Cálculos Línea Base'!$C$35*Escenarios!E15)+('Cálculos Zona DOT'!$C$59*Escenarios!D15))/1000000</f>
        <v>#DIV/0!</v>
      </c>
      <c r="E34" s="218" t="e">
        <f>(('Cálculos Línea Base'!$C$36*Escenarios!E15)+('Cálculos Zona DOT'!$C$60*Escenarios!D15))/(Constantes!$C$20*1000*1000)</f>
        <v>#DIV/0!</v>
      </c>
      <c r="F34" s="218" t="e">
        <f>(('Cálculos Línea Base'!$C$38*Escenarios!E15)+('Cálculos Zona DOT'!$C$62*Escenarios!D15))/1000</f>
        <v>#DIV/0!</v>
      </c>
      <c r="G34" s="219" t="e">
        <f>(('Cálculos Línea Base'!$C$37*Escenarios!E15)+('Cálculos Zona DOT'!$C$61*Escenarios!D15))/1000</f>
        <v>#DIV/0!</v>
      </c>
      <c r="H34" s="15"/>
    </row>
    <row r="35" spans="2:8" x14ac:dyDescent="0.25">
      <c r="B35" s="140">
        <f t="shared" si="2"/>
        <v>8</v>
      </c>
      <c r="C35" s="217" t="e">
        <f>(('Cálculos Línea Base'!$C$34*Escenarios!E16)+('Cálculos Zona DOT'!$C$58*Escenarios!D16))/1000000</f>
        <v>#DIV/0!</v>
      </c>
      <c r="D35" s="217" t="e">
        <f>(('Cálculos Línea Base'!$C$35*Escenarios!E16)+('Cálculos Zona DOT'!$C$59*Escenarios!D16))/1000000</f>
        <v>#DIV/0!</v>
      </c>
      <c r="E35" s="218" t="e">
        <f>(('Cálculos Línea Base'!$C$36*Escenarios!E16)+('Cálculos Zona DOT'!$C$60*Escenarios!D16))/(Constantes!$C$20*1000*1000)</f>
        <v>#DIV/0!</v>
      </c>
      <c r="F35" s="218" t="e">
        <f>(('Cálculos Línea Base'!$C$38*Escenarios!E16)+('Cálculos Zona DOT'!$C$62*Escenarios!D16))/1000</f>
        <v>#DIV/0!</v>
      </c>
      <c r="G35" s="219" t="e">
        <f>(('Cálculos Línea Base'!$C$37*Escenarios!E16)+('Cálculos Zona DOT'!$C$61*Escenarios!D16))/1000</f>
        <v>#DIV/0!</v>
      </c>
      <c r="H35" s="15"/>
    </row>
    <row r="36" spans="2:8" x14ac:dyDescent="0.25">
      <c r="B36" s="140">
        <f t="shared" si="2"/>
        <v>9</v>
      </c>
      <c r="C36" s="217" t="e">
        <f>(('Cálculos Línea Base'!$C$34*Escenarios!E17)+('Cálculos Zona DOT'!$C$58*Escenarios!D17))/1000000</f>
        <v>#DIV/0!</v>
      </c>
      <c r="D36" s="217" t="e">
        <f>(('Cálculos Línea Base'!$C$35*Escenarios!E17)+('Cálculos Zona DOT'!$C$59*Escenarios!D17))/1000000</f>
        <v>#DIV/0!</v>
      </c>
      <c r="E36" s="218" t="e">
        <f>(('Cálculos Línea Base'!$C$36*Escenarios!E17)+('Cálculos Zona DOT'!$C$60*Escenarios!D17))/(Constantes!$C$20*1000*1000)</f>
        <v>#DIV/0!</v>
      </c>
      <c r="F36" s="218" t="e">
        <f>(('Cálculos Línea Base'!$C$38*Escenarios!E17)+('Cálculos Zona DOT'!$C$62*Escenarios!D17))/1000</f>
        <v>#DIV/0!</v>
      </c>
      <c r="G36" s="219" t="e">
        <f>(('Cálculos Línea Base'!$C$37*Escenarios!E17)+('Cálculos Zona DOT'!$C$61*Escenarios!D17))/1000</f>
        <v>#DIV/0!</v>
      </c>
      <c r="H36" s="15"/>
    </row>
    <row r="37" spans="2:8" x14ac:dyDescent="0.25">
      <c r="B37" s="140">
        <f t="shared" si="2"/>
        <v>10</v>
      </c>
      <c r="C37" s="217" t="e">
        <f>(('Cálculos Línea Base'!$C$34*Escenarios!E18)+('Cálculos Zona DOT'!$C$58*Escenarios!D18))/1000000</f>
        <v>#DIV/0!</v>
      </c>
      <c r="D37" s="217" t="e">
        <f>(('Cálculos Línea Base'!$C$35*Escenarios!E18)+('Cálculos Zona DOT'!$C$59*Escenarios!D18))/1000000</f>
        <v>#DIV/0!</v>
      </c>
      <c r="E37" s="218" t="e">
        <f>(('Cálculos Línea Base'!$C$36*Escenarios!E18)+('Cálculos Zona DOT'!$C$60*Escenarios!D18))/(Constantes!$C$20*1000*1000)</f>
        <v>#DIV/0!</v>
      </c>
      <c r="F37" s="218" t="e">
        <f>(('Cálculos Línea Base'!$C$38*Escenarios!E18)+('Cálculos Zona DOT'!$C$62*Escenarios!D18))/1000</f>
        <v>#DIV/0!</v>
      </c>
      <c r="G37" s="219" t="e">
        <f>(('Cálculos Línea Base'!$C$37*Escenarios!E18)+('Cálculos Zona DOT'!$C$61*Escenarios!D18))/1000</f>
        <v>#DIV/0!</v>
      </c>
      <c r="H37" s="15"/>
    </row>
    <row r="38" spans="2:8" x14ac:dyDescent="0.25">
      <c r="B38" s="140">
        <f t="shared" si="2"/>
        <v>11</v>
      </c>
      <c r="C38" s="217" t="e">
        <f>(('Cálculos Línea Base'!$C$34*Escenarios!E19)+('Cálculos Zona DOT'!$C$58*Escenarios!D19))/1000000</f>
        <v>#DIV/0!</v>
      </c>
      <c r="D38" s="217" t="e">
        <f>(('Cálculos Línea Base'!$C$35*Escenarios!E19)+('Cálculos Zona DOT'!$C$59*Escenarios!D19))/1000000</f>
        <v>#DIV/0!</v>
      </c>
      <c r="E38" s="218" t="e">
        <f>(('Cálculos Línea Base'!$C$36*Escenarios!E19)+('Cálculos Zona DOT'!$C$60*Escenarios!D19))/(Constantes!$C$20*1000*1000)</f>
        <v>#DIV/0!</v>
      </c>
      <c r="F38" s="218" t="e">
        <f>(('Cálculos Línea Base'!$C$38*Escenarios!E19)+('Cálculos Zona DOT'!$C$62*Escenarios!D19))/1000</f>
        <v>#DIV/0!</v>
      </c>
      <c r="G38" s="219" t="e">
        <f>(('Cálculos Línea Base'!$C$37*Escenarios!E19)+('Cálculos Zona DOT'!$C$61*Escenarios!D19))/1000</f>
        <v>#DIV/0!</v>
      </c>
      <c r="H38" s="15"/>
    </row>
    <row r="39" spans="2:8" x14ac:dyDescent="0.25">
      <c r="B39" s="140">
        <f t="shared" si="2"/>
        <v>12</v>
      </c>
      <c r="C39" s="217" t="e">
        <f>(('Cálculos Línea Base'!$C$34*Escenarios!E20)+('Cálculos Zona DOT'!$C$58*Escenarios!D20))/1000000</f>
        <v>#DIV/0!</v>
      </c>
      <c r="D39" s="217" t="e">
        <f>(('Cálculos Línea Base'!$C$35*Escenarios!E20)+('Cálculos Zona DOT'!$C$59*Escenarios!D20))/1000000</f>
        <v>#DIV/0!</v>
      </c>
      <c r="E39" s="218" t="e">
        <f>(('Cálculos Línea Base'!$C$36*Escenarios!E20)+('Cálculos Zona DOT'!$C$60*Escenarios!D20))/(Constantes!$C$20*1000*1000)</f>
        <v>#DIV/0!</v>
      </c>
      <c r="F39" s="218" t="e">
        <f>(('Cálculos Línea Base'!$C$38*Escenarios!E20)+('Cálculos Zona DOT'!$C$62*Escenarios!D20))/1000</f>
        <v>#DIV/0!</v>
      </c>
      <c r="G39" s="219" t="e">
        <f>(('Cálculos Línea Base'!$C$37*Escenarios!E20)+('Cálculos Zona DOT'!$C$61*Escenarios!D20))/1000</f>
        <v>#DIV/0!</v>
      </c>
      <c r="H39" s="15"/>
    </row>
    <row r="40" spans="2:8" x14ac:dyDescent="0.25">
      <c r="B40" s="140">
        <f t="shared" si="2"/>
        <v>13</v>
      </c>
      <c r="C40" s="217" t="e">
        <f>(('Cálculos Línea Base'!$C$34*Escenarios!E21)+('Cálculos Zona DOT'!$C$58*Escenarios!D21))/1000000</f>
        <v>#DIV/0!</v>
      </c>
      <c r="D40" s="217" t="e">
        <f>(('Cálculos Línea Base'!$C$35*Escenarios!E21)+('Cálculos Zona DOT'!$C$59*Escenarios!D21))/1000000</f>
        <v>#DIV/0!</v>
      </c>
      <c r="E40" s="218" t="e">
        <f>(('Cálculos Línea Base'!$C$36*Escenarios!E21)+('Cálculos Zona DOT'!$C$60*Escenarios!D21))/(Constantes!$C$20*1000*1000)</f>
        <v>#DIV/0!</v>
      </c>
      <c r="F40" s="218" t="e">
        <f>(('Cálculos Línea Base'!$C$38*Escenarios!E21)+('Cálculos Zona DOT'!$C$62*Escenarios!D21))/1000</f>
        <v>#DIV/0!</v>
      </c>
      <c r="G40" s="219" t="e">
        <f>(('Cálculos Línea Base'!$C$37*Escenarios!E21)+('Cálculos Zona DOT'!$C$61*Escenarios!D21))/1000</f>
        <v>#DIV/0!</v>
      </c>
      <c r="H40" s="15"/>
    </row>
    <row r="41" spans="2:8" x14ac:dyDescent="0.25">
      <c r="B41" s="140">
        <f t="shared" si="2"/>
        <v>14</v>
      </c>
      <c r="C41" s="217" t="e">
        <f>(('Cálculos Línea Base'!$C$34*Escenarios!E22)+('Cálculos Zona DOT'!$C$58*Escenarios!D22))/1000000</f>
        <v>#DIV/0!</v>
      </c>
      <c r="D41" s="217" t="e">
        <f>(('Cálculos Línea Base'!$C$35*Escenarios!E22)+('Cálculos Zona DOT'!$C$59*Escenarios!D22))/1000000</f>
        <v>#DIV/0!</v>
      </c>
      <c r="E41" s="218" t="e">
        <f>(('Cálculos Línea Base'!$C$36*Escenarios!E22)+('Cálculos Zona DOT'!$C$60*Escenarios!D22))/(Constantes!$C$20*1000*1000)</f>
        <v>#DIV/0!</v>
      </c>
      <c r="F41" s="218" t="e">
        <f>(('Cálculos Línea Base'!$C$38*Escenarios!E22)+('Cálculos Zona DOT'!$C$62*Escenarios!D22))/1000</f>
        <v>#DIV/0!</v>
      </c>
      <c r="G41" s="219" t="e">
        <f>(('Cálculos Línea Base'!$C$37*Escenarios!E22)+('Cálculos Zona DOT'!$C$61*Escenarios!D22))/1000</f>
        <v>#DIV/0!</v>
      </c>
      <c r="H41" s="15"/>
    </row>
    <row r="42" spans="2:8" ht="15.75" thickBot="1" x14ac:dyDescent="0.3">
      <c r="B42" s="141">
        <f t="shared" si="2"/>
        <v>15</v>
      </c>
      <c r="C42" s="220" t="e">
        <f>(('Cálculos Línea Base'!$C$34*Escenarios!E23)+('Cálculos Zona DOT'!$C$58*Escenarios!D23))/1000000</f>
        <v>#DIV/0!</v>
      </c>
      <c r="D42" s="220" t="e">
        <f>(('Cálculos Línea Base'!$C$35*Escenarios!E23)+('Cálculos Zona DOT'!$C$59*Escenarios!D23))/1000000</f>
        <v>#DIV/0!</v>
      </c>
      <c r="E42" s="221" t="e">
        <f>(('Cálculos Línea Base'!$C$36*Escenarios!E23)+('Cálculos Zona DOT'!$C$60*Escenarios!D23))/(Constantes!$C$20*1000*1000)</f>
        <v>#DIV/0!</v>
      </c>
      <c r="F42" s="221" t="e">
        <f>(('Cálculos Línea Base'!$C$38*Escenarios!E23)+('Cálculos Zona DOT'!$C$62*Escenarios!D23))/1000</f>
        <v>#DIV/0!</v>
      </c>
      <c r="G42" s="222" t="e">
        <f>(('Cálculos Línea Base'!$C$37*Escenarios!E23)+('Cálculos Zona DOT'!$C$61*Escenarios!D23))/1000</f>
        <v>#DIV/0!</v>
      </c>
      <c r="H42" s="15"/>
    </row>
    <row r="44" spans="2:8" ht="15.75" thickBot="1" x14ac:dyDescent="0.3"/>
    <row r="45" spans="2:8" ht="15.75" customHeight="1" thickBot="1" x14ac:dyDescent="0.3">
      <c r="B45" s="559" t="s">
        <v>276</v>
      </c>
      <c r="C45" s="560"/>
      <c r="D45" s="560"/>
      <c r="E45" s="560"/>
      <c r="F45" s="560"/>
      <c r="G45" s="561"/>
    </row>
    <row r="46" spans="2:8" s="3" customFormat="1" ht="45.75" thickBot="1" x14ac:dyDescent="0.3">
      <c r="B46" s="180" t="s">
        <v>113</v>
      </c>
      <c r="C46" s="181" t="s">
        <v>148</v>
      </c>
      <c r="D46" s="181" t="s">
        <v>149</v>
      </c>
      <c r="E46" s="181" t="s">
        <v>151</v>
      </c>
      <c r="F46" s="181" t="s">
        <v>277</v>
      </c>
      <c r="G46" s="182" t="s">
        <v>150</v>
      </c>
    </row>
    <row r="47" spans="2:8" x14ac:dyDescent="0.25">
      <c r="B47" s="140">
        <f>B8</f>
        <v>0</v>
      </c>
      <c r="C47" s="217" t="e">
        <f>('Cálculos Línea Base'!$C$34*Escenarios!C8)/1000000</f>
        <v>#DIV/0!</v>
      </c>
      <c r="D47" s="217" t="e">
        <f>('Cálculos Línea Base'!$C$35*Escenarios!C8)/1000000</f>
        <v>#DIV/0!</v>
      </c>
      <c r="E47" s="218" t="e">
        <f>('Cálculos Línea Base'!$C$36*Escenarios!C8)/(Constantes!$C$20*1000*1000)</f>
        <v>#DIV/0!</v>
      </c>
      <c r="F47" s="218" t="e">
        <f>'Cálculos Línea Base'!$C$38*Escenarios!C8/1000</f>
        <v>#DIV/0!</v>
      </c>
      <c r="G47" s="219" t="e">
        <f>('Cálculos Línea Base'!$C$37*Escenarios!C8)/1000</f>
        <v>#DIV/0!</v>
      </c>
    </row>
    <row r="48" spans="2:8" x14ac:dyDescent="0.25">
      <c r="B48" s="140">
        <f t="shared" ref="B48:B62" si="3">B9</f>
        <v>1</v>
      </c>
      <c r="C48" s="217" t="e">
        <f>('Cálculos Línea Base'!$C$34*Escenarios!C9)/1000000</f>
        <v>#DIV/0!</v>
      </c>
      <c r="D48" s="217" t="e">
        <f>('Cálculos Línea Base'!$C$35*Escenarios!C9)/1000000</f>
        <v>#DIV/0!</v>
      </c>
      <c r="E48" s="218" t="e">
        <f>('Cálculos Línea Base'!$C$36*Escenarios!C9)/(Constantes!$C$20*1000*1000)</f>
        <v>#DIV/0!</v>
      </c>
      <c r="F48" s="218" t="e">
        <f>'Cálculos Línea Base'!$C$38*Escenarios!C9/1000</f>
        <v>#DIV/0!</v>
      </c>
      <c r="G48" s="219" t="e">
        <f>('Cálculos Línea Base'!$C$37*Escenarios!C9)/1000</f>
        <v>#DIV/0!</v>
      </c>
    </row>
    <row r="49" spans="2:7" x14ac:dyDescent="0.25">
      <c r="B49" s="140">
        <f t="shared" si="3"/>
        <v>2</v>
      </c>
      <c r="C49" s="217" t="e">
        <f>('Cálculos Línea Base'!$C$34*Escenarios!C10)/1000000</f>
        <v>#DIV/0!</v>
      </c>
      <c r="D49" s="217" t="e">
        <f>('Cálculos Línea Base'!$C$35*Escenarios!C10)/1000000</f>
        <v>#DIV/0!</v>
      </c>
      <c r="E49" s="218" t="e">
        <f>('Cálculos Línea Base'!$C$36*Escenarios!C10)/(Constantes!$C$20*1000*1000)</f>
        <v>#DIV/0!</v>
      </c>
      <c r="F49" s="218" t="e">
        <f>'Cálculos Línea Base'!$C$38*Escenarios!C10/1000</f>
        <v>#DIV/0!</v>
      </c>
      <c r="G49" s="219" t="e">
        <f>('Cálculos Línea Base'!$C$37*Escenarios!C10)/1000</f>
        <v>#DIV/0!</v>
      </c>
    </row>
    <row r="50" spans="2:7" x14ac:dyDescent="0.25">
      <c r="B50" s="140">
        <f t="shared" si="3"/>
        <v>3</v>
      </c>
      <c r="C50" s="217" t="e">
        <f>('Cálculos Línea Base'!$C$34*Escenarios!C11)/1000000</f>
        <v>#DIV/0!</v>
      </c>
      <c r="D50" s="217" t="e">
        <f>('Cálculos Línea Base'!$C$35*Escenarios!C11)/1000000</f>
        <v>#DIV/0!</v>
      </c>
      <c r="E50" s="218" t="e">
        <f>('Cálculos Línea Base'!$C$36*Escenarios!C11)/(Constantes!$C$20*1000*1000)</f>
        <v>#DIV/0!</v>
      </c>
      <c r="F50" s="218" t="e">
        <f>'Cálculos Línea Base'!$C$38*Escenarios!C11/1000</f>
        <v>#DIV/0!</v>
      </c>
      <c r="G50" s="219" t="e">
        <f>('Cálculos Línea Base'!$C$37*Escenarios!C11)/1000</f>
        <v>#DIV/0!</v>
      </c>
    </row>
    <row r="51" spans="2:7" x14ac:dyDescent="0.25">
      <c r="B51" s="140">
        <f t="shared" si="3"/>
        <v>4</v>
      </c>
      <c r="C51" s="217" t="e">
        <f>('Cálculos Línea Base'!$C$34*Escenarios!C12)/1000000</f>
        <v>#DIV/0!</v>
      </c>
      <c r="D51" s="217" t="e">
        <f>('Cálculos Línea Base'!$C$35*Escenarios!C12)/1000000</f>
        <v>#DIV/0!</v>
      </c>
      <c r="E51" s="218" t="e">
        <f>('Cálculos Línea Base'!$C$36*Escenarios!C12)/(Constantes!$C$20*1000*1000)</f>
        <v>#DIV/0!</v>
      </c>
      <c r="F51" s="218" t="e">
        <f>'Cálculos Línea Base'!$C$38*Escenarios!C12/1000</f>
        <v>#DIV/0!</v>
      </c>
      <c r="G51" s="219" t="e">
        <f>('Cálculos Línea Base'!$C$37*Escenarios!C12)/1000</f>
        <v>#DIV/0!</v>
      </c>
    </row>
    <row r="52" spans="2:7" x14ac:dyDescent="0.25">
      <c r="B52" s="140">
        <f t="shared" si="3"/>
        <v>5</v>
      </c>
      <c r="C52" s="217" t="e">
        <f>('Cálculos Línea Base'!$C$34*Escenarios!C13)/1000000</f>
        <v>#DIV/0!</v>
      </c>
      <c r="D52" s="217" t="e">
        <f>('Cálculos Línea Base'!$C$35*Escenarios!C13)/1000000</f>
        <v>#DIV/0!</v>
      </c>
      <c r="E52" s="218" t="e">
        <f>('Cálculos Línea Base'!$C$36*Escenarios!C13)/(Constantes!$C$20*1000*1000)</f>
        <v>#DIV/0!</v>
      </c>
      <c r="F52" s="218" t="e">
        <f>'Cálculos Línea Base'!$C$38*Escenarios!C13/1000</f>
        <v>#DIV/0!</v>
      </c>
      <c r="G52" s="219" t="e">
        <f>('Cálculos Línea Base'!$C$37*Escenarios!C13)/1000</f>
        <v>#DIV/0!</v>
      </c>
    </row>
    <row r="53" spans="2:7" x14ac:dyDescent="0.25">
      <c r="B53" s="140">
        <f t="shared" si="3"/>
        <v>6</v>
      </c>
      <c r="C53" s="217" t="e">
        <f>('Cálculos Línea Base'!$C$34*Escenarios!C14)/1000000</f>
        <v>#DIV/0!</v>
      </c>
      <c r="D53" s="217" t="e">
        <f>('Cálculos Línea Base'!$C$35*Escenarios!C14)/1000000</f>
        <v>#DIV/0!</v>
      </c>
      <c r="E53" s="218" t="e">
        <f>('Cálculos Línea Base'!$C$36*Escenarios!C14)/(Constantes!$C$20*1000*1000)</f>
        <v>#DIV/0!</v>
      </c>
      <c r="F53" s="218" t="e">
        <f>'Cálculos Línea Base'!$C$38*Escenarios!C14/1000</f>
        <v>#DIV/0!</v>
      </c>
      <c r="G53" s="219" t="e">
        <f>('Cálculos Línea Base'!$C$37*Escenarios!C14)/1000</f>
        <v>#DIV/0!</v>
      </c>
    </row>
    <row r="54" spans="2:7" x14ac:dyDescent="0.25">
      <c r="B54" s="140">
        <f t="shared" si="3"/>
        <v>7</v>
      </c>
      <c r="C54" s="217" t="e">
        <f>('Cálculos Línea Base'!$C$34*Escenarios!C15)/1000000</f>
        <v>#DIV/0!</v>
      </c>
      <c r="D54" s="217" t="e">
        <f>('Cálculos Línea Base'!$C$35*Escenarios!C15)/1000000</f>
        <v>#DIV/0!</v>
      </c>
      <c r="E54" s="218" t="e">
        <f>('Cálculos Línea Base'!$C$36*Escenarios!C15)/(Constantes!$C$20*1000*1000)</f>
        <v>#DIV/0!</v>
      </c>
      <c r="F54" s="218" t="e">
        <f>'Cálculos Línea Base'!$C$38*Escenarios!C15/1000</f>
        <v>#DIV/0!</v>
      </c>
      <c r="G54" s="219" t="e">
        <f>('Cálculos Línea Base'!$C$37*Escenarios!C15)/1000</f>
        <v>#DIV/0!</v>
      </c>
    </row>
    <row r="55" spans="2:7" x14ac:dyDescent="0.25">
      <c r="B55" s="140">
        <f t="shared" si="3"/>
        <v>8</v>
      </c>
      <c r="C55" s="217" t="e">
        <f>('Cálculos Línea Base'!$C$34*Escenarios!C16)/1000000</f>
        <v>#DIV/0!</v>
      </c>
      <c r="D55" s="217" t="e">
        <f>('Cálculos Línea Base'!$C$35*Escenarios!C16)/1000000</f>
        <v>#DIV/0!</v>
      </c>
      <c r="E55" s="218" t="e">
        <f>('Cálculos Línea Base'!$C$36*Escenarios!C16)/(Constantes!$C$20*1000*1000)</f>
        <v>#DIV/0!</v>
      </c>
      <c r="F55" s="218" t="e">
        <f>'Cálculos Línea Base'!$C$38*Escenarios!C16/1000</f>
        <v>#DIV/0!</v>
      </c>
      <c r="G55" s="219" t="e">
        <f>('Cálculos Línea Base'!$C$37*Escenarios!C16)/1000</f>
        <v>#DIV/0!</v>
      </c>
    </row>
    <row r="56" spans="2:7" x14ac:dyDescent="0.25">
      <c r="B56" s="140">
        <f t="shared" si="3"/>
        <v>9</v>
      </c>
      <c r="C56" s="217" t="e">
        <f>('Cálculos Línea Base'!$C$34*Escenarios!C17)/1000000</f>
        <v>#DIV/0!</v>
      </c>
      <c r="D56" s="217" t="e">
        <f>('Cálculos Línea Base'!$C$35*Escenarios!C17)/1000000</f>
        <v>#DIV/0!</v>
      </c>
      <c r="E56" s="218" t="e">
        <f>('Cálculos Línea Base'!$C$36*Escenarios!C17)/(Constantes!$C$20*1000*1000)</f>
        <v>#DIV/0!</v>
      </c>
      <c r="F56" s="218" t="e">
        <f>'Cálculos Línea Base'!$C$38*Escenarios!C17/1000</f>
        <v>#DIV/0!</v>
      </c>
      <c r="G56" s="219" t="e">
        <f>('Cálculos Línea Base'!$C$37*Escenarios!C17)/1000</f>
        <v>#DIV/0!</v>
      </c>
    </row>
    <row r="57" spans="2:7" x14ac:dyDescent="0.25">
      <c r="B57" s="140">
        <f t="shared" si="3"/>
        <v>10</v>
      </c>
      <c r="C57" s="217" t="e">
        <f>('Cálculos Línea Base'!$C$34*Escenarios!C18)/1000000</f>
        <v>#DIV/0!</v>
      </c>
      <c r="D57" s="217" t="e">
        <f>('Cálculos Línea Base'!$C$35*Escenarios!C18)/1000000</f>
        <v>#DIV/0!</v>
      </c>
      <c r="E57" s="218" t="e">
        <f>('Cálculos Línea Base'!$C$36*Escenarios!C18)/(Constantes!$C$20*1000*1000)</f>
        <v>#DIV/0!</v>
      </c>
      <c r="F57" s="218" t="e">
        <f>'Cálculos Línea Base'!$C$38*Escenarios!C18/1000</f>
        <v>#DIV/0!</v>
      </c>
      <c r="G57" s="219" t="e">
        <f>('Cálculos Línea Base'!$C$37*Escenarios!C18)/1000</f>
        <v>#DIV/0!</v>
      </c>
    </row>
    <row r="58" spans="2:7" x14ac:dyDescent="0.25">
      <c r="B58" s="140">
        <f t="shared" si="3"/>
        <v>11</v>
      </c>
      <c r="C58" s="217" t="e">
        <f>('Cálculos Línea Base'!$C$34*Escenarios!C19)/1000000</f>
        <v>#DIV/0!</v>
      </c>
      <c r="D58" s="217" t="e">
        <f>('Cálculos Línea Base'!$C$35*Escenarios!C19)/1000000</f>
        <v>#DIV/0!</v>
      </c>
      <c r="E58" s="218" t="e">
        <f>('Cálculos Línea Base'!$C$36*Escenarios!C19)/(Constantes!$C$20*1000*1000)</f>
        <v>#DIV/0!</v>
      </c>
      <c r="F58" s="218" t="e">
        <f>'Cálculos Línea Base'!$C$38*Escenarios!C19/1000</f>
        <v>#DIV/0!</v>
      </c>
      <c r="G58" s="219" t="e">
        <f>('Cálculos Línea Base'!$C$37*Escenarios!C19)/1000</f>
        <v>#DIV/0!</v>
      </c>
    </row>
    <row r="59" spans="2:7" x14ac:dyDescent="0.25">
      <c r="B59" s="140">
        <f t="shared" si="3"/>
        <v>12</v>
      </c>
      <c r="C59" s="217" t="e">
        <f>('Cálculos Línea Base'!$C$34*Escenarios!C20)/1000000</f>
        <v>#DIV/0!</v>
      </c>
      <c r="D59" s="217" t="e">
        <f>('Cálculos Línea Base'!$C$35*Escenarios!C20)/1000000</f>
        <v>#DIV/0!</v>
      </c>
      <c r="E59" s="218" t="e">
        <f>('Cálculos Línea Base'!$C$36*Escenarios!C20)/(Constantes!$C$20*1000*1000)</f>
        <v>#DIV/0!</v>
      </c>
      <c r="F59" s="218" t="e">
        <f>'Cálculos Línea Base'!$C$38*Escenarios!C20/1000</f>
        <v>#DIV/0!</v>
      </c>
      <c r="G59" s="219" t="e">
        <f>('Cálculos Línea Base'!$C$37*Escenarios!C20)/1000</f>
        <v>#DIV/0!</v>
      </c>
    </row>
    <row r="60" spans="2:7" x14ac:dyDescent="0.25">
      <c r="B60" s="140">
        <f t="shared" si="3"/>
        <v>13</v>
      </c>
      <c r="C60" s="217" t="e">
        <f>('Cálculos Línea Base'!$C$34*Escenarios!C21)/1000000</f>
        <v>#DIV/0!</v>
      </c>
      <c r="D60" s="217" t="e">
        <f>('Cálculos Línea Base'!$C$35*Escenarios!C21)/1000000</f>
        <v>#DIV/0!</v>
      </c>
      <c r="E60" s="218" t="e">
        <f>('Cálculos Línea Base'!$C$36*Escenarios!C21)/(Constantes!$C$20*1000*1000)</f>
        <v>#DIV/0!</v>
      </c>
      <c r="F60" s="218" t="e">
        <f>'Cálculos Línea Base'!$C$38*Escenarios!C21/1000</f>
        <v>#DIV/0!</v>
      </c>
      <c r="G60" s="219" t="e">
        <f>('Cálculos Línea Base'!$C$37*Escenarios!C21)/1000</f>
        <v>#DIV/0!</v>
      </c>
    </row>
    <row r="61" spans="2:7" x14ac:dyDescent="0.25">
      <c r="B61" s="140">
        <f t="shared" si="3"/>
        <v>14</v>
      </c>
      <c r="C61" s="217" t="e">
        <f>('Cálculos Línea Base'!$C$34*Escenarios!C22)/1000000</f>
        <v>#DIV/0!</v>
      </c>
      <c r="D61" s="217" t="e">
        <f>('Cálculos Línea Base'!$C$35*Escenarios!C22)/1000000</f>
        <v>#DIV/0!</v>
      </c>
      <c r="E61" s="218" t="e">
        <f>('Cálculos Línea Base'!$C$36*Escenarios!C22)/(Constantes!$C$20*1000*1000)</f>
        <v>#DIV/0!</v>
      </c>
      <c r="F61" s="218" t="e">
        <f>'Cálculos Línea Base'!$C$38*Escenarios!C22/1000</f>
        <v>#DIV/0!</v>
      </c>
      <c r="G61" s="219" t="e">
        <f>('Cálculos Línea Base'!$C$37*Escenarios!C22)/1000</f>
        <v>#DIV/0!</v>
      </c>
    </row>
    <row r="62" spans="2:7" ht="15.75" thickBot="1" x14ac:dyDescent="0.3">
      <c r="B62" s="141">
        <f t="shared" si="3"/>
        <v>15</v>
      </c>
      <c r="C62" s="220" t="e">
        <f>('Cálculos Línea Base'!$C$34*Escenarios!C23)/1000000</f>
        <v>#DIV/0!</v>
      </c>
      <c r="D62" s="220" t="e">
        <f>('Cálculos Línea Base'!$C$35*Escenarios!C23)/1000000</f>
        <v>#DIV/0!</v>
      </c>
      <c r="E62" s="221" t="e">
        <f>('Cálculos Línea Base'!$C$36*Escenarios!C23)/(Constantes!$C$20*1000*1000)</f>
        <v>#DIV/0!</v>
      </c>
      <c r="F62" s="221" t="e">
        <f>'Cálculos Línea Base'!$C$38*Escenarios!C23/1000</f>
        <v>#DIV/0!</v>
      </c>
      <c r="G62" s="222" t="e">
        <f>('Cálculos Línea Base'!$C$37*Escenarios!C23)/1000</f>
        <v>#DIV/0!</v>
      </c>
    </row>
  </sheetData>
  <mergeCells count="4">
    <mergeCell ref="B1:H1"/>
    <mergeCell ref="B6:E6"/>
    <mergeCell ref="B25:G25"/>
    <mergeCell ref="B45:G4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1:L86"/>
  <sheetViews>
    <sheetView showGridLines="0" zoomScale="80" zoomScaleNormal="80" zoomScalePageLayoutView="80" workbookViewId="0">
      <pane ySplit="1" topLeftCell="A3" activePane="bottomLeft" state="frozen"/>
      <selection pane="bottomLeft" activeCell="B21" sqref="B21"/>
    </sheetView>
  </sheetViews>
  <sheetFormatPr defaultColWidth="9.140625" defaultRowHeight="15" x14ac:dyDescent="0.25"/>
  <cols>
    <col min="1" max="1" width="1.42578125" customWidth="1"/>
    <col min="2" max="2" width="59" bestFit="1" customWidth="1"/>
    <col min="3" max="3" width="24.7109375" customWidth="1"/>
    <col min="4" max="4" width="21.7109375" customWidth="1"/>
    <col min="5" max="5" width="35.42578125" customWidth="1"/>
    <col min="6" max="6" width="31.42578125" customWidth="1"/>
    <col min="7" max="7" width="100.28515625" customWidth="1"/>
    <col min="9" max="12" width="27.28515625" style="139" customWidth="1"/>
  </cols>
  <sheetData>
    <row r="1" spans="2:7" ht="26.25" customHeight="1" x14ac:dyDescent="0.4">
      <c r="B1" s="537" t="s">
        <v>134</v>
      </c>
      <c r="C1" s="537"/>
      <c r="D1" s="537"/>
      <c r="E1" s="537"/>
      <c r="F1" s="537"/>
      <c r="G1" s="537"/>
    </row>
    <row r="2" spans="2:7" ht="15.75" customHeight="1" thickBot="1" x14ac:dyDescent="0.3"/>
    <row r="3" spans="2:7" ht="15.75" thickBot="1" x14ac:dyDescent="0.3">
      <c r="B3" s="183" t="s">
        <v>152</v>
      </c>
      <c r="C3" s="178" t="s">
        <v>1</v>
      </c>
      <c r="D3" s="178" t="s">
        <v>2</v>
      </c>
      <c r="E3" s="574" t="s">
        <v>3</v>
      </c>
      <c r="F3" s="575"/>
    </row>
    <row r="4" spans="2:7" x14ac:dyDescent="0.25">
      <c r="B4" s="96" t="s">
        <v>21</v>
      </c>
      <c r="C4" s="100">
        <v>6.93E-2</v>
      </c>
      <c r="D4" s="100" t="s">
        <v>14</v>
      </c>
      <c r="E4" s="579" t="s">
        <v>211</v>
      </c>
      <c r="F4" s="580"/>
    </row>
    <row r="5" spans="2:7" x14ac:dyDescent="0.25">
      <c r="B5" s="97" t="s">
        <v>26</v>
      </c>
      <c r="C5" s="101">
        <v>7.4099999999999999E-2</v>
      </c>
      <c r="D5" s="101" t="s">
        <v>14</v>
      </c>
      <c r="E5" s="565" t="s">
        <v>211</v>
      </c>
      <c r="F5" s="566"/>
    </row>
    <row r="6" spans="2:7" ht="15" customHeight="1" x14ac:dyDescent="0.25">
      <c r="B6" s="97" t="s">
        <v>22</v>
      </c>
      <c r="C6" s="101">
        <v>3.7999999999999996E-6</v>
      </c>
      <c r="D6" s="101" t="s">
        <v>15</v>
      </c>
      <c r="E6" s="565" t="s">
        <v>16</v>
      </c>
      <c r="F6" s="566"/>
    </row>
    <row r="7" spans="2:7" x14ac:dyDescent="0.25">
      <c r="B7" s="97" t="s">
        <v>25</v>
      </c>
      <c r="C7" s="101">
        <v>3.8999999999999999E-6</v>
      </c>
      <c r="D7" s="101" t="s">
        <v>15</v>
      </c>
      <c r="E7" s="565" t="s">
        <v>16</v>
      </c>
      <c r="F7" s="566"/>
    </row>
    <row r="8" spans="2:7" ht="15" customHeight="1" x14ac:dyDescent="0.25">
      <c r="B8" s="97" t="s">
        <v>23</v>
      </c>
      <c r="C8" s="101">
        <v>5.7000000000000005E-6</v>
      </c>
      <c r="D8" s="101" t="s">
        <v>17</v>
      </c>
      <c r="E8" s="565" t="s">
        <v>16</v>
      </c>
      <c r="F8" s="566"/>
    </row>
    <row r="9" spans="2:7" x14ac:dyDescent="0.25">
      <c r="B9" s="97" t="s">
        <v>24</v>
      </c>
      <c r="C9" s="101">
        <v>3.8999999999999999E-6</v>
      </c>
      <c r="D9" s="101" t="s">
        <v>17</v>
      </c>
      <c r="E9" s="565" t="s">
        <v>16</v>
      </c>
      <c r="F9" s="566"/>
    </row>
    <row r="10" spans="2:7" ht="15" customHeight="1" x14ac:dyDescent="0.25">
      <c r="B10" s="97" t="s">
        <v>73</v>
      </c>
      <c r="C10" s="101">
        <v>28</v>
      </c>
      <c r="D10" s="101" t="s">
        <v>228</v>
      </c>
      <c r="E10" s="572" t="s">
        <v>329</v>
      </c>
      <c r="F10" s="573"/>
    </row>
    <row r="11" spans="2:7" ht="15" customHeight="1" x14ac:dyDescent="0.25">
      <c r="B11" s="97" t="s">
        <v>74</v>
      </c>
      <c r="C11" s="101">
        <v>265</v>
      </c>
      <c r="D11" s="101" t="s">
        <v>229</v>
      </c>
      <c r="E11" s="572"/>
      <c r="F11" s="573"/>
    </row>
    <row r="12" spans="2:7" ht="15.75" customHeight="1" x14ac:dyDescent="0.25">
      <c r="B12" s="97" t="s">
        <v>85</v>
      </c>
      <c r="C12" s="410">
        <v>900</v>
      </c>
      <c r="D12" s="101" t="s">
        <v>316</v>
      </c>
      <c r="E12" s="572"/>
      <c r="F12" s="573"/>
    </row>
    <row r="13" spans="2:7" ht="15" customHeight="1" x14ac:dyDescent="0.25">
      <c r="B13" s="97" t="s">
        <v>224</v>
      </c>
      <c r="C13" s="101">
        <f>C4+(C6*C10)+(C8*C11)</f>
        <v>7.0916900000000005E-2</v>
      </c>
      <c r="D13" s="101" t="s">
        <v>225</v>
      </c>
      <c r="E13" s="565" t="s">
        <v>18</v>
      </c>
      <c r="F13" s="566"/>
    </row>
    <row r="14" spans="2:7" x14ac:dyDescent="0.25">
      <c r="B14" s="97" t="s">
        <v>226</v>
      </c>
      <c r="C14" s="101">
        <f>C5+(C7*C10)+(C9*C11)</f>
        <v>7.524270000000001E-2</v>
      </c>
      <c r="D14" s="101" t="s">
        <v>225</v>
      </c>
      <c r="E14" s="565" t="s">
        <v>18</v>
      </c>
      <c r="F14" s="566"/>
    </row>
    <row r="15" spans="2:7" ht="15" customHeight="1" x14ac:dyDescent="0.25">
      <c r="B15" s="97" t="s">
        <v>227</v>
      </c>
      <c r="C15" s="101">
        <v>0.45400000000000001</v>
      </c>
      <c r="D15" s="101" t="s">
        <v>271</v>
      </c>
      <c r="E15" s="565" t="s">
        <v>216</v>
      </c>
      <c r="F15" s="566"/>
    </row>
    <row r="16" spans="2:7" x14ac:dyDescent="0.25">
      <c r="B16" s="97" t="s">
        <v>28</v>
      </c>
      <c r="C16" s="101">
        <v>44.5</v>
      </c>
      <c r="D16" s="101" t="s">
        <v>29</v>
      </c>
      <c r="E16" s="565" t="s">
        <v>19</v>
      </c>
      <c r="F16" s="566"/>
    </row>
    <row r="17" spans="2:7" x14ac:dyDescent="0.25">
      <c r="B17" s="97" t="s">
        <v>27</v>
      </c>
      <c r="C17" s="101">
        <v>43</v>
      </c>
      <c r="D17" s="101" t="s">
        <v>30</v>
      </c>
      <c r="E17" s="565" t="s">
        <v>19</v>
      </c>
      <c r="F17" s="566"/>
    </row>
    <row r="18" spans="2:7" x14ac:dyDescent="0.25">
      <c r="B18" s="97" t="s">
        <v>32</v>
      </c>
      <c r="C18" s="101">
        <v>0.73499999999999999</v>
      </c>
      <c r="D18" s="101" t="s">
        <v>20</v>
      </c>
      <c r="E18" s="581" t="s">
        <v>217</v>
      </c>
      <c r="F18" s="566"/>
    </row>
    <row r="19" spans="2:7" x14ac:dyDescent="0.25">
      <c r="B19" s="97" t="s">
        <v>31</v>
      </c>
      <c r="C19" s="101">
        <v>0.84499999999999997</v>
      </c>
      <c r="D19" s="101" t="s">
        <v>20</v>
      </c>
      <c r="E19" s="565" t="s">
        <v>217</v>
      </c>
      <c r="F19" s="566"/>
    </row>
    <row r="20" spans="2:7" x14ac:dyDescent="0.25">
      <c r="B20" s="97" t="s">
        <v>103</v>
      </c>
      <c r="C20" s="101">
        <v>3.6</v>
      </c>
      <c r="D20" s="101" t="s">
        <v>104</v>
      </c>
      <c r="E20" s="565" t="s">
        <v>105</v>
      </c>
      <c r="F20" s="566"/>
    </row>
    <row r="21" spans="2:7" x14ac:dyDescent="0.25">
      <c r="B21" s="97" t="s">
        <v>327</v>
      </c>
      <c r="C21" s="101">
        <v>10000</v>
      </c>
      <c r="D21" s="101" t="s">
        <v>75</v>
      </c>
      <c r="E21" s="565" t="s">
        <v>328</v>
      </c>
      <c r="F21" s="566"/>
    </row>
    <row r="22" spans="2:7" x14ac:dyDescent="0.25">
      <c r="B22" s="97" t="s">
        <v>310</v>
      </c>
      <c r="C22" s="101">
        <v>240000</v>
      </c>
      <c r="D22" s="101" t="s">
        <v>75</v>
      </c>
      <c r="E22" s="565" t="s">
        <v>77</v>
      </c>
      <c r="F22" s="566"/>
    </row>
    <row r="23" spans="2:7" ht="15" customHeight="1" x14ac:dyDescent="0.25">
      <c r="B23" s="97" t="s">
        <v>311</v>
      </c>
      <c r="C23" s="412" t="s">
        <v>334</v>
      </c>
      <c r="D23" s="101" t="s">
        <v>76</v>
      </c>
      <c r="E23" s="565" t="s">
        <v>78</v>
      </c>
      <c r="F23" s="566"/>
    </row>
    <row r="24" spans="2:7" ht="15" customHeight="1" x14ac:dyDescent="0.25">
      <c r="B24" s="97" t="s">
        <v>80</v>
      </c>
      <c r="C24" s="101">
        <v>2.0199999999999999E-2</v>
      </c>
      <c r="D24" s="101" t="s">
        <v>82</v>
      </c>
      <c r="E24" s="565" t="s">
        <v>317</v>
      </c>
      <c r="F24" s="566"/>
    </row>
    <row r="25" spans="2:7" ht="15" customHeight="1" x14ac:dyDescent="0.25">
      <c r="B25" s="97" t="s">
        <v>81</v>
      </c>
      <c r="C25" s="101">
        <v>0.3871</v>
      </c>
      <c r="D25" s="101" t="s">
        <v>82</v>
      </c>
      <c r="E25" s="565" t="s">
        <v>317</v>
      </c>
      <c r="F25" s="566"/>
    </row>
    <row r="26" spans="2:7" ht="15" customHeight="1" x14ac:dyDescent="0.25">
      <c r="B26" s="97" t="s">
        <v>86</v>
      </c>
      <c r="C26" s="101">
        <v>0.76700000000000002</v>
      </c>
      <c r="D26" s="101" t="s">
        <v>87</v>
      </c>
      <c r="E26" s="565" t="s">
        <v>318</v>
      </c>
      <c r="F26" s="566"/>
    </row>
    <row r="27" spans="2:7" x14ac:dyDescent="0.25">
      <c r="B27" s="97" t="s">
        <v>88</v>
      </c>
      <c r="C27" s="102">
        <v>0.43</v>
      </c>
      <c r="D27" s="101" t="s">
        <v>83</v>
      </c>
      <c r="E27" s="565" t="s">
        <v>84</v>
      </c>
      <c r="F27" s="566"/>
    </row>
    <row r="28" spans="2:7" ht="15" customHeight="1" thickBot="1" x14ac:dyDescent="0.3">
      <c r="B28" s="98" t="s">
        <v>89</v>
      </c>
      <c r="C28" s="411">
        <v>6.7000000000000004E-2</v>
      </c>
      <c r="D28" s="103" t="s">
        <v>83</v>
      </c>
      <c r="E28" s="570" t="s">
        <v>84</v>
      </c>
      <c r="F28" s="571"/>
    </row>
    <row r="29" spans="2:7" ht="15.75" thickBot="1" x14ac:dyDescent="0.3">
      <c r="B29" s="2"/>
      <c r="C29" s="30"/>
      <c r="E29" s="4"/>
    </row>
    <row r="30" spans="2:7" ht="15.75" thickBot="1" x14ac:dyDescent="0.3">
      <c r="B30" s="180" t="s">
        <v>43</v>
      </c>
      <c r="C30" s="178" t="s">
        <v>1</v>
      </c>
      <c r="D30" s="178" t="s">
        <v>2</v>
      </c>
      <c r="E30" s="574" t="s">
        <v>3</v>
      </c>
      <c r="F30" s="575"/>
      <c r="G30" s="447"/>
    </row>
    <row r="31" spans="2:7" x14ac:dyDescent="0.25">
      <c r="B31" s="99" t="s">
        <v>51</v>
      </c>
      <c r="C31" s="104">
        <v>-0.19900000000000001</v>
      </c>
      <c r="D31" s="104" t="s">
        <v>45</v>
      </c>
      <c r="E31" s="565" t="s">
        <v>46</v>
      </c>
      <c r="F31" s="566"/>
    </row>
    <row r="32" spans="2:7" x14ac:dyDescent="0.25">
      <c r="B32" s="99" t="s">
        <v>53</v>
      </c>
      <c r="C32" s="104">
        <v>0.33700000000000002</v>
      </c>
      <c r="D32" s="104" t="s">
        <v>45</v>
      </c>
      <c r="E32" s="565" t="s">
        <v>46</v>
      </c>
      <c r="F32" s="566"/>
    </row>
    <row r="33" spans="2:12" x14ac:dyDescent="0.25">
      <c r="B33" s="99" t="s">
        <v>50</v>
      </c>
      <c r="C33" s="104">
        <v>0.308</v>
      </c>
      <c r="D33" s="104" t="s">
        <v>45</v>
      </c>
      <c r="E33" s="565" t="s">
        <v>46</v>
      </c>
      <c r="F33" s="566"/>
    </row>
    <row r="34" spans="2:12" ht="30" x14ac:dyDescent="0.25">
      <c r="B34" s="99" t="s">
        <v>52</v>
      </c>
      <c r="C34" s="104">
        <v>0.503</v>
      </c>
      <c r="D34" s="104" t="s">
        <v>45</v>
      </c>
      <c r="E34" s="565" t="s">
        <v>46</v>
      </c>
      <c r="F34" s="566"/>
    </row>
    <row r="35" spans="2:12" ht="14.25" customHeight="1" x14ac:dyDescent="0.25">
      <c r="B35" s="99" t="s">
        <v>54</v>
      </c>
      <c r="C35" s="104">
        <v>-0.33600000000000002</v>
      </c>
      <c r="D35" s="104" t="s">
        <v>45</v>
      </c>
      <c r="E35" s="565" t="s">
        <v>46</v>
      </c>
      <c r="F35" s="566"/>
    </row>
    <row r="36" spans="2:12" ht="30" x14ac:dyDescent="0.25">
      <c r="B36" s="99" t="s">
        <v>47</v>
      </c>
      <c r="C36" s="104">
        <v>-0.10100000000000001</v>
      </c>
      <c r="D36" s="104" t="s">
        <v>45</v>
      </c>
      <c r="E36" s="565" t="s">
        <v>46</v>
      </c>
      <c r="F36" s="566"/>
    </row>
    <row r="37" spans="2:12" ht="30" x14ac:dyDescent="0.25">
      <c r="B37" s="99" t="s">
        <v>48</v>
      </c>
      <c r="C37" s="104">
        <v>-0.17699999999999999</v>
      </c>
      <c r="D37" s="104" t="s">
        <v>45</v>
      </c>
      <c r="E37" s="565" t="s">
        <v>46</v>
      </c>
      <c r="F37" s="566"/>
    </row>
    <row r="38" spans="2:12" ht="30" x14ac:dyDescent="0.25">
      <c r="B38" s="99" t="s">
        <v>49</v>
      </c>
      <c r="C38" s="104">
        <v>0.106</v>
      </c>
      <c r="D38" s="104" t="s">
        <v>45</v>
      </c>
      <c r="E38" s="565" t="s">
        <v>46</v>
      </c>
      <c r="F38" s="566"/>
    </row>
    <row r="39" spans="2:12" ht="30.75" thickBot="1" x14ac:dyDescent="0.3">
      <c r="B39" s="76" t="s">
        <v>44</v>
      </c>
      <c r="C39" s="105">
        <v>0.186</v>
      </c>
      <c r="D39" s="105" t="s">
        <v>45</v>
      </c>
      <c r="E39" s="570" t="s">
        <v>46</v>
      </c>
      <c r="F39" s="571"/>
    </row>
    <row r="40" spans="2:12" x14ac:dyDescent="0.25">
      <c r="B40" s="241"/>
      <c r="C40" s="26"/>
      <c r="D40" s="26"/>
      <c r="E40" s="390"/>
      <c r="F40" s="390"/>
    </row>
    <row r="41" spans="2:12" ht="15.75" thickBot="1" x14ac:dyDescent="0.3"/>
    <row r="42" spans="2:12" ht="16.5" thickBot="1" x14ac:dyDescent="0.3">
      <c r="B42" s="291" t="s">
        <v>312</v>
      </c>
    </row>
    <row r="43" spans="2:12" ht="15.75" thickBot="1" x14ac:dyDescent="0.3">
      <c r="B43" s="576" t="s">
        <v>196</v>
      </c>
      <c r="C43" s="577"/>
      <c r="D43" s="577"/>
      <c r="E43" s="578"/>
      <c r="F43" s="3"/>
      <c r="G43" s="3"/>
    </row>
    <row r="44" spans="2:12" s="3" customFormat="1" ht="30.75" thickBot="1" x14ac:dyDescent="0.3">
      <c r="B44" s="232" t="s">
        <v>197</v>
      </c>
      <c r="C44" s="187" t="s">
        <v>180</v>
      </c>
      <c r="D44" s="187" t="s">
        <v>193</v>
      </c>
      <c r="E44" s="233" t="s">
        <v>194</v>
      </c>
      <c r="I44" s="224"/>
      <c r="J44" s="224"/>
      <c r="K44" s="224"/>
      <c r="L44" s="224"/>
    </row>
    <row r="45" spans="2:12" x14ac:dyDescent="0.25">
      <c r="B45" s="234" t="str">
        <f>Constantes!I59</f>
        <v>Impacto bajo</v>
      </c>
      <c r="C45" s="227" t="s">
        <v>183</v>
      </c>
      <c r="D45" s="143">
        <f>AVERAGE(D60,D62)</f>
        <v>-2.5000000000000001E-2</v>
      </c>
      <c r="E45" s="235">
        <f>AVERAGE(E60,E62)</f>
        <v>-7.0000000000000007E-2</v>
      </c>
      <c r="F45" s="28"/>
      <c r="G45" s="28"/>
      <c r="H45" s="28"/>
    </row>
    <row r="46" spans="2:12" x14ac:dyDescent="0.25">
      <c r="B46" s="236" t="str">
        <f>Constantes!I60</f>
        <v>Impacto medio</v>
      </c>
      <c r="C46" s="229" t="s">
        <v>183</v>
      </c>
      <c r="D46" s="188">
        <f>AVERAGE(D58,D59,D61)</f>
        <v>-9.3333333333333338E-2</v>
      </c>
      <c r="E46" s="237">
        <f>AVERAGE(E58,E59,E61)</f>
        <v>-7.6666666666666675E-2</v>
      </c>
      <c r="F46" s="28"/>
      <c r="G46" s="28"/>
    </row>
    <row r="47" spans="2:12" ht="15.75" thickBot="1" x14ac:dyDescent="0.3">
      <c r="B47" s="238" t="str">
        <f>Constantes!I61</f>
        <v>Impacto alto</v>
      </c>
      <c r="C47" s="245" t="s">
        <v>183</v>
      </c>
      <c r="D47" s="144">
        <f>AVERAGE(D63)</f>
        <v>-0.19900000000000001</v>
      </c>
      <c r="E47" s="239">
        <f>AVERAGE(E63)</f>
        <v>-0.10100000000000001</v>
      </c>
      <c r="F47" s="28"/>
      <c r="G47" s="28"/>
    </row>
    <row r="48" spans="2:12" ht="15.75" thickBot="1" x14ac:dyDescent="0.3"/>
    <row r="49" spans="2:12" ht="15.75" thickBot="1" x14ac:dyDescent="0.3">
      <c r="B49" s="576" t="s">
        <v>198</v>
      </c>
      <c r="C49" s="577"/>
      <c r="D49" s="577"/>
      <c r="E49" s="578"/>
    </row>
    <row r="50" spans="2:12" s="3" customFormat="1" ht="30.75" thickBot="1" x14ac:dyDescent="0.3">
      <c r="B50" s="232" t="s">
        <v>197</v>
      </c>
      <c r="C50" s="187" t="s">
        <v>180</v>
      </c>
      <c r="D50" s="187" t="s">
        <v>193</v>
      </c>
      <c r="E50" s="233" t="s">
        <v>194</v>
      </c>
      <c r="I50" s="224"/>
      <c r="J50" s="224"/>
      <c r="K50" s="224"/>
      <c r="L50" s="224"/>
    </row>
    <row r="51" spans="2:12" x14ac:dyDescent="0.25">
      <c r="B51" s="240" t="str">
        <f>Constantes!I68</f>
        <v>Impacto bajo</v>
      </c>
      <c r="C51" s="227" t="s">
        <v>183</v>
      </c>
      <c r="D51" s="384">
        <f>AVERAGE(D69)</f>
        <v>-0.03</v>
      </c>
      <c r="E51" s="235">
        <f>AVERAGE(E69)</f>
        <v>-0.05</v>
      </c>
    </row>
    <row r="52" spans="2:12" x14ac:dyDescent="0.25">
      <c r="B52" s="236" t="str">
        <f>Constantes!I69</f>
        <v>Impacto medio</v>
      </c>
      <c r="C52" s="229" t="s">
        <v>183</v>
      </c>
      <c r="D52" s="188">
        <f>AVERAGE(D67:D68)</f>
        <v>0</v>
      </c>
      <c r="E52" s="237">
        <f>AVERAGE(E67:E68)</f>
        <v>-0.10500000000000001</v>
      </c>
    </row>
    <row r="53" spans="2:12" ht="15.75" thickBot="1" x14ac:dyDescent="0.3">
      <c r="B53" s="238" t="str">
        <f>Constantes!I70</f>
        <v>Impacto alto</v>
      </c>
      <c r="C53" s="245" t="s">
        <v>183</v>
      </c>
      <c r="D53" s="385">
        <f>AVERAGE(D70)</f>
        <v>0.33700000000000002</v>
      </c>
      <c r="E53" s="386">
        <f>AVERAGE(E70)</f>
        <v>-0.17699999999999999</v>
      </c>
    </row>
    <row r="54" spans="2:12" x14ac:dyDescent="0.25">
      <c r="B54" s="387"/>
      <c r="C54" s="388"/>
      <c r="D54" s="389"/>
      <c r="E54" s="389"/>
    </row>
    <row r="55" spans="2:12" ht="15.75" thickBot="1" x14ac:dyDescent="0.3">
      <c r="B55" s="28"/>
      <c r="C55" s="28"/>
      <c r="D55" s="28"/>
    </row>
    <row r="56" spans="2:12" s="138" customFormat="1" ht="15.75" thickBot="1" x14ac:dyDescent="0.3">
      <c r="B56" s="407" t="s">
        <v>196</v>
      </c>
      <c r="C56" s="408"/>
      <c r="D56" s="408"/>
      <c r="E56" s="408"/>
      <c r="F56" s="408"/>
      <c r="G56" s="409"/>
      <c r="I56" s="139"/>
      <c r="J56" s="139"/>
      <c r="K56" s="139"/>
      <c r="L56" s="139"/>
    </row>
    <row r="57" spans="2:12" s="138" customFormat="1" ht="30.75" thickBot="1" x14ac:dyDescent="0.3">
      <c r="B57" s="225" t="s">
        <v>197</v>
      </c>
      <c r="C57" s="225" t="s">
        <v>180</v>
      </c>
      <c r="D57" s="225" t="s">
        <v>193</v>
      </c>
      <c r="E57" s="225" t="s">
        <v>194</v>
      </c>
      <c r="F57" s="225" t="s">
        <v>195</v>
      </c>
      <c r="G57" s="225" t="s">
        <v>192</v>
      </c>
      <c r="I57" s="567" t="s">
        <v>267</v>
      </c>
      <c r="J57" s="568"/>
      <c r="K57" s="568"/>
      <c r="L57" s="569"/>
    </row>
    <row r="58" spans="2:12" s="138" customFormat="1" ht="45.75" thickBot="1" x14ac:dyDescent="0.3">
      <c r="B58" s="226" t="s">
        <v>201</v>
      </c>
      <c r="C58" s="227" t="s">
        <v>183</v>
      </c>
      <c r="D58" s="226">
        <v>-0.05</v>
      </c>
      <c r="E58" s="226">
        <v>-0.16</v>
      </c>
      <c r="F58" s="226" t="s">
        <v>181</v>
      </c>
      <c r="G58" s="242" t="s">
        <v>182</v>
      </c>
      <c r="I58" s="247" t="s">
        <v>197</v>
      </c>
      <c r="J58" s="68" t="s">
        <v>180</v>
      </c>
      <c r="K58" s="68" t="s">
        <v>193</v>
      </c>
      <c r="L58" s="248" t="s">
        <v>194</v>
      </c>
    </row>
    <row r="59" spans="2:12" s="138" customFormat="1" ht="45" x14ac:dyDescent="0.25">
      <c r="B59" s="228" t="s">
        <v>200</v>
      </c>
      <c r="C59" s="229" t="s">
        <v>183</v>
      </c>
      <c r="D59" s="228">
        <v>-0.14000000000000001</v>
      </c>
      <c r="E59" s="228">
        <v>0</v>
      </c>
      <c r="F59" s="228" t="s">
        <v>185</v>
      </c>
      <c r="G59" s="243" t="s">
        <v>184</v>
      </c>
      <c r="I59" s="253" t="s">
        <v>268</v>
      </c>
      <c r="J59" s="227" t="s">
        <v>183</v>
      </c>
      <c r="K59" s="226">
        <f>AVERAGE(D60,D62)</f>
        <v>-2.5000000000000001E-2</v>
      </c>
      <c r="L59" s="254">
        <f>AVERAGE(E60,E62)</f>
        <v>-7.0000000000000007E-2</v>
      </c>
    </row>
    <row r="60" spans="2:12" s="138" customFormat="1" ht="30" x14ac:dyDescent="0.25">
      <c r="B60" s="228" t="s">
        <v>325</v>
      </c>
      <c r="C60" s="229" t="s">
        <v>183</v>
      </c>
      <c r="D60" s="228">
        <v>0</v>
      </c>
      <c r="E60" s="228">
        <v>-0.09</v>
      </c>
      <c r="F60" s="228" t="s">
        <v>275</v>
      </c>
      <c r="G60" s="243" t="s">
        <v>321</v>
      </c>
      <c r="I60" s="251" t="s">
        <v>269</v>
      </c>
      <c r="J60" s="229" t="s">
        <v>183</v>
      </c>
      <c r="K60" s="228">
        <f>AVERAGE(D58,D59,D61)</f>
        <v>-9.3333333333333338E-2</v>
      </c>
      <c r="L60" s="255">
        <f>AVERAGE(E58,E59,E61)</f>
        <v>-7.6666666666666675E-2</v>
      </c>
    </row>
    <row r="61" spans="2:12" s="138" customFormat="1" ht="45.75" thickBot="1" x14ac:dyDescent="0.3">
      <c r="B61" s="228" t="s">
        <v>202</v>
      </c>
      <c r="C61" s="229" t="s">
        <v>183</v>
      </c>
      <c r="D61" s="228">
        <v>-0.09</v>
      </c>
      <c r="E61" s="228">
        <v>-7.0000000000000007E-2</v>
      </c>
      <c r="F61" s="228" t="s">
        <v>186</v>
      </c>
      <c r="G61" s="243" t="s">
        <v>322</v>
      </c>
      <c r="I61" s="252" t="s">
        <v>270</v>
      </c>
      <c r="J61" s="245" t="s">
        <v>183</v>
      </c>
      <c r="K61" s="244">
        <f>AVERAGE(D63)</f>
        <v>-0.19900000000000001</v>
      </c>
      <c r="L61" s="256">
        <f>AVERAGE(E63)</f>
        <v>-0.10100000000000001</v>
      </c>
    </row>
    <row r="62" spans="2:12" s="138" customFormat="1" ht="30" x14ac:dyDescent="0.25">
      <c r="B62" s="228" t="s">
        <v>319</v>
      </c>
      <c r="C62" s="229" t="s">
        <v>188</v>
      </c>
      <c r="D62" s="228">
        <v>-0.05</v>
      </c>
      <c r="E62" s="228">
        <v>-0.05</v>
      </c>
      <c r="F62" s="228" t="s">
        <v>239</v>
      </c>
      <c r="G62" s="243" t="s">
        <v>187</v>
      </c>
      <c r="I62" s="139"/>
      <c r="J62" s="139"/>
      <c r="K62" s="139"/>
      <c r="L62" s="139"/>
    </row>
    <row r="63" spans="2:12" s="138" customFormat="1" ht="21" customHeight="1" thickBot="1" x14ac:dyDescent="0.3">
      <c r="B63" s="244" t="s">
        <v>204</v>
      </c>
      <c r="C63" s="245" t="s">
        <v>183</v>
      </c>
      <c r="D63" s="244">
        <v>-0.19900000000000001</v>
      </c>
      <c r="E63" s="244">
        <v>-0.10100000000000001</v>
      </c>
      <c r="F63" s="244" t="s">
        <v>273</v>
      </c>
      <c r="G63" s="246" t="s">
        <v>199</v>
      </c>
      <c r="I63" s="139"/>
      <c r="J63" s="139"/>
      <c r="K63" s="139"/>
      <c r="L63" s="139"/>
    </row>
    <row r="64" spans="2:12" s="138" customFormat="1" ht="15.75" thickBot="1" x14ac:dyDescent="0.3">
      <c r="I64" s="139"/>
      <c r="J64" s="139"/>
      <c r="K64" s="139"/>
      <c r="L64" s="139"/>
    </row>
    <row r="65" spans="2:12" s="138" customFormat="1" ht="15.75" thickBot="1" x14ac:dyDescent="0.3">
      <c r="B65" s="407" t="s">
        <v>198</v>
      </c>
      <c r="C65" s="408"/>
      <c r="D65" s="408"/>
      <c r="E65" s="408"/>
      <c r="F65" s="408"/>
      <c r="G65" s="409"/>
      <c r="I65" s="139"/>
      <c r="J65" s="139"/>
      <c r="K65" s="139"/>
      <c r="L65" s="139"/>
    </row>
    <row r="66" spans="2:12" s="138" customFormat="1" ht="30.75" thickBot="1" x14ac:dyDescent="0.3">
      <c r="B66" s="247" t="s">
        <v>197</v>
      </c>
      <c r="C66" s="68" t="s">
        <v>180</v>
      </c>
      <c r="D66" s="68" t="s">
        <v>193</v>
      </c>
      <c r="E66" s="68" t="s">
        <v>194</v>
      </c>
      <c r="F66" s="68" t="s">
        <v>195</v>
      </c>
      <c r="G66" s="248" t="s">
        <v>192</v>
      </c>
      <c r="I66" s="567" t="s">
        <v>267</v>
      </c>
      <c r="J66" s="568"/>
      <c r="K66" s="568"/>
      <c r="L66" s="569"/>
    </row>
    <row r="67" spans="2:12" s="138" customFormat="1" ht="47.1" customHeight="1" thickBot="1" x14ac:dyDescent="0.3">
      <c r="B67" s="249" t="s">
        <v>201</v>
      </c>
      <c r="C67" s="227" t="s">
        <v>189</v>
      </c>
      <c r="D67" s="250">
        <v>0</v>
      </c>
      <c r="E67" s="226">
        <v>-0.1</v>
      </c>
      <c r="F67" s="226" t="s">
        <v>181</v>
      </c>
      <c r="G67" s="242" t="s">
        <v>323</v>
      </c>
      <c r="I67" s="247" t="s">
        <v>197</v>
      </c>
      <c r="J67" s="68" t="s">
        <v>180</v>
      </c>
      <c r="K67" s="68" t="s">
        <v>193</v>
      </c>
      <c r="L67" s="248" t="s">
        <v>194</v>
      </c>
    </row>
    <row r="68" spans="2:12" s="138" customFormat="1" ht="47.1" customHeight="1" x14ac:dyDescent="0.25">
      <c r="B68" s="251" t="s">
        <v>206</v>
      </c>
      <c r="C68" s="229" t="s">
        <v>190</v>
      </c>
      <c r="D68" s="228">
        <v>0</v>
      </c>
      <c r="E68" s="228">
        <v>-0.11</v>
      </c>
      <c r="F68" s="228" t="s">
        <v>274</v>
      </c>
      <c r="G68" s="243" t="s">
        <v>324</v>
      </c>
      <c r="I68" s="253" t="s">
        <v>268</v>
      </c>
      <c r="J68" s="227" t="s">
        <v>183</v>
      </c>
      <c r="K68" s="226">
        <f>AVERAGE(D69)</f>
        <v>-0.03</v>
      </c>
      <c r="L68" s="254">
        <f>AVERAGE(E69)</f>
        <v>-0.05</v>
      </c>
    </row>
    <row r="69" spans="2:12" s="138" customFormat="1" ht="47.1" customHeight="1" x14ac:dyDescent="0.25">
      <c r="B69" s="251" t="s">
        <v>230</v>
      </c>
      <c r="C69" s="229" t="s">
        <v>191</v>
      </c>
      <c r="D69" s="228">
        <v>-0.03</v>
      </c>
      <c r="E69" s="228">
        <v>-0.05</v>
      </c>
      <c r="F69" s="228" t="s">
        <v>239</v>
      </c>
      <c r="G69" s="243" t="s">
        <v>187</v>
      </c>
      <c r="I69" s="251" t="s">
        <v>269</v>
      </c>
      <c r="J69" s="229" t="s">
        <v>183</v>
      </c>
      <c r="K69" s="228">
        <f>AVERAGE(D67:D68)</f>
        <v>0</v>
      </c>
      <c r="L69" s="255">
        <f>AVERAGE(E67:E68)</f>
        <v>-0.10500000000000001</v>
      </c>
    </row>
    <row r="70" spans="2:12" s="138" customFormat="1" ht="47.1" customHeight="1" thickBot="1" x14ac:dyDescent="0.3">
      <c r="B70" s="252" t="s">
        <v>204</v>
      </c>
      <c r="C70" s="245" t="s">
        <v>207</v>
      </c>
      <c r="D70" s="244">
        <v>0.33700000000000002</v>
      </c>
      <c r="E70" s="244">
        <v>-0.17699999999999999</v>
      </c>
      <c r="F70" s="244" t="s">
        <v>273</v>
      </c>
      <c r="G70" s="246" t="s">
        <v>199</v>
      </c>
      <c r="I70" s="252" t="s">
        <v>270</v>
      </c>
      <c r="J70" s="245" t="s">
        <v>183</v>
      </c>
      <c r="K70" s="244">
        <f>AVERAGE(D70)</f>
        <v>0.33700000000000002</v>
      </c>
      <c r="L70" s="256">
        <f>AVERAGE(E70)</f>
        <v>-0.17699999999999999</v>
      </c>
    </row>
    <row r="71" spans="2:12" x14ac:dyDescent="0.25">
      <c r="B71" s="28"/>
      <c r="C71" s="28"/>
      <c r="D71" s="28"/>
    </row>
    <row r="72" spans="2:12" x14ac:dyDescent="0.25">
      <c r="C72" s="29"/>
      <c r="D72" s="29"/>
    </row>
    <row r="73" spans="2:12" x14ac:dyDescent="0.25">
      <c r="B73" s="448" t="s">
        <v>63</v>
      </c>
    </row>
    <row r="74" spans="2:12" x14ac:dyDescent="0.25">
      <c r="B74" s="449" t="s">
        <v>130</v>
      </c>
      <c r="C74" s="28"/>
      <c r="D74" s="28"/>
      <c r="E74" s="28"/>
      <c r="F74" s="28"/>
      <c r="G74" s="28"/>
      <c r="H74" s="28"/>
    </row>
    <row r="75" spans="2:12" x14ac:dyDescent="0.25">
      <c r="B75" s="28"/>
      <c r="C75" s="28"/>
      <c r="D75" s="28"/>
      <c r="E75" s="28"/>
      <c r="F75" s="28"/>
      <c r="G75" s="28"/>
      <c r="H75" s="28"/>
    </row>
    <row r="76" spans="2:12" x14ac:dyDescent="0.25">
      <c r="B76" s="28"/>
      <c r="C76" s="28"/>
      <c r="D76" s="28"/>
      <c r="E76" s="28"/>
      <c r="F76" s="28"/>
      <c r="G76" s="28"/>
      <c r="H76" s="28"/>
    </row>
    <row r="78" spans="2:12" x14ac:dyDescent="0.25">
      <c r="B78" s="28"/>
      <c r="C78" s="28"/>
      <c r="D78" s="28"/>
    </row>
    <row r="79" spans="2:12" x14ac:dyDescent="0.25">
      <c r="B79" s="28"/>
      <c r="C79" s="28"/>
      <c r="D79" s="28"/>
    </row>
    <row r="80" spans="2:12" x14ac:dyDescent="0.25">
      <c r="B80" s="28"/>
      <c r="C80" s="28"/>
      <c r="D80" s="28"/>
    </row>
    <row r="81" spans="2:4" x14ac:dyDescent="0.25">
      <c r="B81" s="28"/>
      <c r="C81" s="28"/>
      <c r="D81" s="28"/>
    </row>
    <row r="82" spans="2:4" x14ac:dyDescent="0.25">
      <c r="B82" s="28"/>
      <c r="C82" s="28"/>
      <c r="D82" s="28"/>
    </row>
    <row r="83" spans="2:4" x14ac:dyDescent="0.25">
      <c r="B83" s="28"/>
      <c r="C83" s="28"/>
      <c r="D83" s="28"/>
    </row>
    <row r="84" spans="2:4" x14ac:dyDescent="0.25">
      <c r="B84" s="28"/>
      <c r="C84" s="28"/>
      <c r="D84" s="28"/>
    </row>
    <row r="85" spans="2:4" x14ac:dyDescent="0.25">
      <c r="B85" s="28"/>
      <c r="C85" s="28"/>
      <c r="D85" s="28"/>
    </row>
    <row r="86" spans="2:4" x14ac:dyDescent="0.25">
      <c r="C86" s="29"/>
      <c r="D86" s="29"/>
    </row>
  </sheetData>
  <mergeCells count="39">
    <mergeCell ref="B1:G1"/>
    <mergeCell ref="B43:E43"/>
    <mergeCell ref="B49:E49"/>
    <mergeCell ref="E4:F4"/>
    <mergeCell ref="E5:F5"/>
    <mergeCell ref="E6:F6"/>
    <mergeCell ref="E3:F3"/>
    <mergeCell ref="E13:F13"/>
    <mergeCell ref="E14:F14"/>
    <mergeCell ref="E15:F15"/>
    <mergeCell ref="E7:F7"/>
    <mergeCell ref="E8:F8"/>
    <mergeCell ref="E9:F9"/>
    <mergeCell ref="E16:F16"/>
    <mergeCell ref="E17:F17"/>
    <mergeCell ref="E18:F18"/>
    <mergeCell ref="E10:F12"/>
    <mergeCell ref="E31:F31"/>
    <mergeCell ref="E32:F32"/>
    <mergeCell ref="E33:F33"/>
    <mergeCell ref="E34:F34"/>
    <mergeCell ref="E19:F19"/>
    <mergeCell ref="E20:F20"/>
    <mergeCell ref="E30:F30"/>
    <mergeCell ref="E22:F22"/>
    <mergeCell ref="E23:F23"/>
    <mergeCell ref="E24:F24"/>
    <mergeCell ref="E25:F25"/>
    <mergeCell ref="E26:F26"/>
    <mergeCell ref="E27:F27"/>
    <mergeCell ref="E28:F28"/>
    <mergeCell ref="E21:F21"/>
    <mergeCell ref="E35:F35"/>
    <mergeCell ref="I66:L66"/>
    <mergeCell ref="I57:L57"/>
    <mergeCell ref="E36:F36"/>
    <mergeCell ref="E37:F37"/>
    <mergeCell ref="E38:F38"/>
    <mergeCell ref="E39:F39"/>
  </mergeCells>
  <hyperlinks>
    <hyperlink ref="E20" r:id="rId1"/>
    <hyperlink ref="E18" r:id="rId2"/>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1:G21"/>
  <sheetViews>
    <sheetView showGridLines="0" zoomScale="81" zoomScaleNormal="81" zoomScalePageLayoutView="90" workbookViewId="0">
      <pane ySplit="1" topLeftCell="A2" activePane="bottomLeft" state="frozen"/>
      <selection pane="bottomLeft" activeCell="F21" sqref="F21"/>
    </sheetView>
  </sheetViews>
  <sheetFormatPr defaultColWidth="9.140625" defaultRowHeight="15" x14ac:dyDescent="0.25"/>
  <cols>
    <col min="1" max="1" width="1.7109375" customWidth="1"/>
    <col min="2" max="2" width="38.28515625" customWidth="1"/>
    <col min="3" max="3" width="20.7109375" customWidth="1"/>
    <col min="4" max="6" width="22.42578125" customWidth="1"/>
    <col min="7" max="7" width="51.42578125" customWidth="1"/>
    <col min="10" max="10" width="30.85546875" bestFit="1" customWidth="1"/>
    <col min="11" max="11" width="22.140625" bestFit="1" customWidth="1"/>
    <col min="12" max="12" width="17.28515625" customWidth="1"/>
    <col min="13" max="13" width="21.140625" customWidth="1"/>
  </cols>
  <sheetData>
    <row r="1" spans="2:7" ht="24" customHeight="1" x14ac:dyDescent="0.35">
      <c r="B1" s="509" t="s">
        <v>257</v>
      </c>
      <c r="C1" s="509"/>
      <c r="D1" s="509"/>
      <c r="E1" s="509"/>
      <c r="F1" s="509"/>
      <c r="G1" s="509"/>
    </row>
    <row r="2" spans="2:7" ht="15.75" thickBot="1" x14ac:dyDescent="0.3"/>
    <row r="3" spans="2:7" ht="15.75" thickBot="1" x14ac:dyDescent="0.3">
      <c r="B3" s="582" t="s">
        <v>251</v>
      </c>
      <c r="C3" s="583"/>
      <c r="D3" s="583"/>
      <c r="E3" s="583"/>
      <c r="F3" s="584"/>
    </row>
    <row r="4" spans="2:7" ht="30.75" thickBot="1" x14ac:dyDescent="0.3">
      <c r="B4" s="172" t="s">
        <v>252</v>
      </c>
      <c r="C4" s="172" t="s">
        <v>253</v>
      </c>
      <c r="D4" s="172" t="s">
        <v>305</v>
      </c>
      <c r="E4" s="373" t="s">
        <v>306</v>
      </c>
      <c r="F4" s="374" t="s">
        <v>307</v>
      </c>
    </row>
    <row r="5" spans="2:7" ht="30.75" thickBot="1" x14ac:dyDescent="0.3">
      <c r="B5" s="375"/>
      <c r="C5" s="376"/>
      <c r="D5" s="378" t="str">
        <f>IF(B5=0,"",B5/SUM(B5:C5))</f>
        <v/>
      </c>
      <c r="E5" s="379" t="str">
        <f>IF(C5=0,"",C5/SUM(B5:C5))</f>
        <v/>
      </c>
      <c r="F5" s="380" t="str">
        <f>IF(COUNTBLANK(B5:C5)&gt;0,"",(-(((D5*LN(D5))+(E5*LN(E5)))/COUNT(D5:E5))))</f>
        <v/>
      </c>
      <c r="G5" s="383" t="s">
        <v>309</v>
      </c>
    </row>
    <row r="6" spans="2:7" ht="15.75" thickBot="1" x14ac:dyDescent="0.3">
      <c r="B6" s="3"/>
      <c r="C6" s="3"/>
      <c r="D6" s="3"/>
      <c r="E6" s="3"/>
      <c r="F6" s="3"/>
    </row>
    <row r="7" spans="2:7" ht="24" customHeight="1" thickBot="1" x14ac:dyDescent="0.3">
      <c r="B7" s="582" t="s">
        <v>304</v>
      </c>
      <c r="C7" s="583"/>
      <c r="D7" s="583"/>
      <c r="E7" s="583"/>
      <c r="F7" s="583"/>
      <c r="G7" s="584"/>
    </row>
    <row r="8" spans="2:7" ht="30" x14ac:dyDescent="0.25">
      <c r="B8" s="172" t="s">
        <v>254</v>
      </c>
      <c r="C8" s="172" t="s">
        <v>301</v>
      </c>
      <c r="D8" s="172" t="s">
        <v>302</v>
      </c>
      <c r="E8" s="172" t="s">
        <v>255</v>
      </c>
      <c r="F8" s="172" t="s">
        <v>258</v>
      </c>
      <c r="G8" s="230" t="s">
        <v>259</v>
      </c>
    </row>
    <row r="9" spans="2:7" x14ac:dyDescent="0.25">
      <c r="B9" s="377"/>
      <c r="C9" s="417"/>
      <c r="D9" s="313">
        <f>B9*C9</f>
        <v>0</v>
      </c>
      <c r="E9" s="313">
        <f>D9*365</f>
        <v>0</v>
      </c>
      <c r="F9" s="313">
        <f>'Captura de Datos'!C10</f>
        <v>0</v>
      </c>
      <c r="G9" s="418">
        <f>F9*E9</f>
        <v>0</v>
      </c>
    </row>
    <row r="10" spans="2:7" ht="30" x14ac:dyDescent="0.25">
      <c r="B10" s="172" t="s">
        <v>98</v>
      </c>
      <c r="C10" s="172" t="s">
        <v>303</v>
      </c>
      <c r="D10" s="172" t="s">
        <v>260</v>
      </c>
      <c r="E10" s="172" t="s">
        <v>256</v>
      </c>
      <c r="F10" s="172" t="s">
        <v>261</v>
      </c>
      <c r="G10" s="585" t="s">
        <v>308</v>
      </c>
    </row>
    <row r="11" spans="2:7" x14ac:dyDescent="0.25">
      <c r="B11" s="47" t="str">
        <f>'Captura de Datos'!B20</f>
        <v>Motocicleta</v>
      </c>
      <c r="C11" s="429"/>
      <c r="D11" s="136">
        <f>$G$9*C11</f>
        <v>0</v>
      </c>
      <c r="E11" s="136">
        <f>'Captura de Datos'!G20</f>
        <v>1</v>
      </c>
      <c r="F11" s="381">
        <f>D11/E11</f>
        <v>0</v>
      </c>
      <c r="G11" s="585"/>
    </row>
    <row r="12" spans="2:7" x14ac:dyDescent="0.25">
      <c r="B12" s="47" t="str">
        <f>'Captura de Datos'!B21</f>
        <v>Automóvil particular</v>
      </c>
      <c r="C12" s="429"/>
      <c r="D12" s="136">
        <f t="shared" ref="D12:D20" si="0">$G$9*C12</f>
        <v>0</v>
      </c>
      <c r="E12" s="136">
        <f>'Captura de Datos'!G21</f>
        <v>1.2</v>
      </c>
      <c r="F12" s="381">
        <f t="shared" ref="F12:F20" si="1">D12/E12</f>
        <v>0</v>
      </c>
      <c r="G12" s="585"/>
    </row>
    <row r="13" spans="2:7" x14ac:dyDescent="0.25">
      <c r="B13" s="47" t="str">
        <f>'Captura de Datos'!B22</f>
        <v>Taxi</v>
      </c>
      <c r="C13" s="429"/>
      <c r="D13" s="136">
        <f t="shared" si="0"/>
        <v>0</v>
      </c>
      <c r="E13" s="136">
        <f>'Captura de Datos'!G22</f>
        <v>1.2</v>
      </c>
      <c r="F13" s="381">
        <f t="shared" si="1"/>
        <v>0</v>
      </c>
      <c r="G13" s="585"/>
    </row>
    <row r="14" spans="2:7" x14ac:dyDescent="0.25">
      <c r="B14" s="47" t="str">
        <f>'Captura de Datos'!B23</f>
        <v>Camioneta particular</v>
      </c>
      <c r="C14" s="429"/>
      <c r="D14" s="136">
        <f t="shared" si="0"/>
        <v>0</v>
      </c>
      <c r="E14" s="136">
        <f>'Captura de Datos'!G23</f>
        <v>1.2</v>
      </c>
      <c r="F14" s="381">
        <f t="shared" si="1"/>
        <v>0</v>
      </c>
      <c r="G14" s="585"/>
    </row>
    <row r="15" spans="2:7" x14ac:dyDescent="0.25">
      <c r="B15" s="47" t="str">
        <f>'Captura de Datos'!B24 &amp; " - " &amp; 'Captura de Datos'!C24</f>
        <v>Microbús transporte público - Gasolina</v>
      </c>
      <c r="C15" s="429"/>
      <c r="D15" s="136">
        <f t="shared" si="0"/>
        <v>0</v>
      </c>
      <c r="E15" s="136">
        <f>'Captura de Datos'!G24</f>
        <v>20</v>
      </c>
      <c r="F15" s="381">
        <f t="shared" si="1"/>
        <v>0</v>
      </c>
      <c r="G15" s="585"/>
    </row>
    <row r="16" spans="2:7" x14ac:dyDescent="0.25">
      <c r="B16" s="47" t="str">
        <f>'Captura de Datos'!B25 &amp; " - " &amp; 'Captura de Datos'!C25</f>
        <v>Autobús transporte público - Diésel</v>
      </c>
      <c r="C16" s="429"/>
      <c r="D16" s="136">
        <f t="shared" si="0"/>
        <v>0</v>
      </c>
      <c r="E16" s="136">
        <f>'Captura de Datos'!G25</f>
        <v>40</v>
      </c>
      <c r="F16" s="381">
        <f t="shared" si="1"/>
        <v>0</v>
      </c>
      <c r="G16" s="585"/>
    </row>
    <row r="17" spans="2:7" x14ac:dyDescent="0.25">
      <c r="B17" s="47" t="str">
        <f>'Captura de Datos'!B26</f>
        <v>Sistema articulado (BRT)</v>
      </c>
      <c r="C17" s="429"/>
      <c r="D17" s="136">
        <f t="shared" si="0"/>
        <v>0</v>
      </c>
      <c r="E17" s="136">
        <f>'Captura de Datos'!G26</f>
        <v>44</v>
      </c>
      <c r="F17" s="381">
        <f t="shared" si="1"/>
        <v>0</v>
      </c>
      <c r="G17" s="585"/>
    </row>
    <row r="18" spans="2:7" x14ac:dyDescent="0.25">
      <c r="B18" s="47" t="s">
        <v>326</v>
      </c>
      <c r="C18" s="429"/>
      <c r="D18" s="136">
        <f t="shared" si="0"/>
        <v>0</v>
      </c>
      <c r="E18" s="136">
        <f>'Captura de Datos'!G27</f>
        <v>100</v>
      </c>
      <c r="F18" s="381">
        <f t="shared" si="1"/>
        <v>0</v>
      </c>
      <c r="G18" s="585"/>
    </row>
    <row r="19" spans="2:7" x14ac:dyDescent="0.25">
      <c r="B19" s="47" t="str">
        <f>'Captura de Datos'!B28</f>
        <v>Tren Ligero</v>
      </c>
      <c r="C19" s="429"/>
      <c r="D19" s="136">
        <f t="shared" si="0"/>
        <v>0</v>
      </c>
      <c r="E19" s="136">
        <f>'Captura de Datos'!G28</f>
        <v>635</v>
      </c>
      <c r="F19" s="381">
        <f t="shared" si="1"/>
        <v>0</v>
      </c>
      <c r="G19" s="585"/>
    </row>
    <row r="20" spans="2:7" ht="30.75" thickBot="1" x14ac:dyDescent="0.3">
      <c r="B20" s="93" t="str">
        <f>'Captura de Datos'!B29</f>
        <v>Transporte no motorizado (peatón y bicicleta)</v>
      </c>
      <c r="C20" s="429"/>
      <c r="D20" s="231">
        <f t="shared" si="0"/>
        <v>0</v>
      </c>
      <c r="E20" s="231">
        <f>'Captura de Datos'!G29</f>
        <v>1</v>
      </c>
      <c r="F20" s="382">
        <f t="shared" si="1"/>
        <v>0</v>
      </c>
      <c r="G20" s="586"/>
    </row>
    <row r="21" spans="2:7" ht="15.75" thickBot="1" x14ac:dyDescent="0.3">
      <c r="C21" s="372">
        <f>SUM(C11:C20)</f>
        <v>0</v>
      </c>
    </row>
  </sheetData>
  <mergeCells count="4">
    <mergeCell ref="B3:F3"/>
    <mergeCell ref="G10:G20"/>
    <mergeCell ref="B7:G7"/>
    <mergeCell ref="B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i = " h t t p : / / w w w . w 3 . o r g / 2 0 0 1 / X M L S c h e m a - i n s t a n c e "   x m l n s : x s d = " h t t p : / / w w w . w 3 . o r g / 2 0 0 1 / X M L S c h e m a "   x m l n s = " h t t p : / / m i c r o s o f t . d a t a . v i s u a l i z a t i o n . C l i e n t . E x c e l / 1 . 0 " > < T o u r s > < T o u r   N a m e = " T o u r   1 "   I d = " { 0 A 7 1 4 0 7 A - 8 2 D 9 - 4 6 2 3 - 8 8 8 9 - E E 1 A 9 D 6 9 2 2 A E } "   T o u r I d = " 2 e 5 3 2 7 7 d - 2 e e e - 4 1 9 6 - 8 4 6 0 - d f b 5 1 5 7 0 c 2 2 a "   X m l V e r = " 6 "   M i n X m l V e r = " 3 " > < D e s c r i p t i o n > S o m e   d e s c r i p t i o n   f o r   t h e   t o u r   g o e s   h e r e < / D e s c r i p t i o n > < I m a g e > i V B O R w 0 K G g o A A A A N S U h E U g A A A N Q A A A B 1 C A Y A A A A 2 n s 9 T A A A A A X N S R 0 I A r s 4 c 6 Q A A A A R n Q U 1 B A A C x j w v 8 Y Q U A A A A J c E h Z c w A A A f s A A A H 7 A c X N p o s A A C 1 D S U R B V H h e 7 Z 3 Z c x x X l t 5 P 7 S g A h X 3 f C J L g A u 6 U R K m p n W q p t x l H u H s 8 7 m 6 3 L X d M e 9 p 2 + M E P j v C / 4 Q g / 2 A 9 + 9 E z Y j n B 0 u J f p 0 d J q k h I l U q S 4 i h R F k C B A g A C x L 4 W l U L v P d 2 7 e q l u J A l A A Q R I s 5 E d e 3 M y s r K q s v P n L c + 6 5 S 7 p + e / Z C m h w 5 c r Q p c l u 5 I 0 e O N k G u 3 3 3 6 p W O h H D n a J D k W y p G j T Z Q D l C N H m y h 2 + S 4 6 L t 8 z l t v l o v r q S t r f 2 U Y u T 5 D 6 p o g m 5 4 i S X D I t F U k 6 0 J y g Z I o L y 6 U T / 5 F 7 o Z t S v P 1 2 / x D 1 D 4 9 S K u 0 U 5 b O W 6 / e f O U A 9 b b 2 4 v 4 u a 6 6 o Y k j h 9 c c 9 N x 9 p i 9 O l d H 6 U t I O y 5 V s B L 9 O a e K P 3 p 2 x J r i 4 L L T A d b 0 9 R e Q x S L p e n j i 9 e s v R w 9 L T l A P Q W 5 3 W 7 6 0 a s v U D w R p z / d 9 r B V S Q k s Z t K y Q 1 S I l M X K 5 n s a U j S 7 5 K a Z i I 9 c / N 0 v d a Z p c O g B P R y b k N c d P T k x U J c c o J 6 Q / u K 1 F 5 k Q t i i 3 v R S N K 4 g A E / S 4 E N n l Z Q + w x J e m h Z i q F p u Q I Q F q v 8 9 D 7 x 1 I 0 5 k r t 2 l + c U l e d 7 S 5 c v 3 h n A P U Z q o 6 V E 6 v H u m i Z C J G X / R 6 a G a R c i C y w 7 M Z M J n S I G n l A w s J V q u u 3 E P / e P 6 K v O 5 o c + Q A t U m q a u y i V 3 c H K R G P C 0 A f f u P P A G R C s 9 k A 5 d O 7 + 1 H P C s i y C Z g d r t e 7 E l Q e 9 L L l C t A / f H 5 Z X n P 0 e H K A e k y F q u r p z Q N N l E g k K J l M 0 q d 3 v b Q Q V a 9 p e N a C a L M g M + F 5 e 0 + U e s a 9 d K A p k R c u B D j q 0 r 1 0 p H s H D U z 7 a H e D i z z e I I P 1 l b W H o 4 3 I 9 Y f P v 3 K A 2 q A C N S / S y R 0 L N B o m a i q P 0 0 e 3 l V W C V o N k s w B a S y Z A d u G 1 9 u o k 7 a p e o G A w S L F Y T H K v 1 0 v J t J 8 + c i K E G 5 K L 7 0 g O U O t U a c O L F I k k x S q 9 u y 9 C P a M e u j + h g g E r w b L Z E H W z 5 Q E Q 0 G L c R e G I i x 5 M e i S 6 l 0 8 r w Y V g x i t t U + T z + Q Q o 7 A e 4 K i o r 6 c M L t y h p 1 f 8 c F S Y H q H W o r K q R o t R G c a 4 n w b 0 D J D q 9 t 1 9 F z W J J F 5 3 p 8 c s y 9 L g g 7 a p L U l d 9 w l o j t o I B e q E j T n V l K 1 / o 2 G c 1 5 Y N r Z 2 i M 9 r Z X 0 e 0 R H 3 U 1 J i n o c 9 P k o p 9 a a g L 0 x y + c w E W h Y q A u O 0 A V o L L G F 2 h x U V k l 3 Y 4 E i M 7 f 9 9 F 3 d s a s v Y j m o y 7 6 v N d n r W 1 c 3 + u O 0 k L M R a X + N O n L / 0 I f v i t u r a 2 u G D N 4 5 u 7 6 w H L z 6 j t 7 I + T x e O j 0 3 R J 6 d 3 + c P u 0 N 0 v c O E U N 1 0 9 r L 0 W p y S 2 k 5 a d X k r 3 m B 5 u f j Y p k A E 1 I o o C y U C R P W C 4 X p a F t C o I G a K p S 1 Q X Q O w t f G 2 d L B H R u b 8 w h Y P W N e C q / g z u W T 3 6 u g 7 L D c w n z C 8 Z o W N M W L f 7 o T 5 O 9 x 0 a k 9 S 3 S x z 0 M + d 4 K + H U r Q 6 w c 7 6 M i e H c v O j Z N y k + u P X z g W a i V 5 A 0 F K B f Z n X L z D L T F q D C m Q T J n r 9 / j C v 8 9 1 m b V 0 t D V B 5 S U p u v H Q S 3 P R L C j H 2 u N 0 b d A n 5 X O k L c 7 f l x K 4 B q b c t L t + Z T h W 0 y d 3 A t I X 0 J S H v w B 9 B U 2 Z F u s Y H 1 9 D R V K 2 n W F r 5 W c X 8 N S + J M 3 N z d O F O 0 P W X o 7 s 4 p K 0 0 H J S T q p q O U B J / z 6 p o A O m N 3 Y v r Q n T 7 O w s T S 3 i / c v 1 3 X 1 R s R g n d y m L 5 v O m q Y z d u e / s U i 7 c U Y Y n 6 E t T d T B F t a U p e o / 3 B U z R h I t O c 5 2 s d 8 I r F m Q j 2 t e Y k D C 5 K T t M E H 6 L / j 3 X h r x 0 6 5 F 6 0 1 t d E f K z p f r j 1 x 4 q L y + j H 5 4 8 w l u X n z M n u d h C n b + y w W I q X p X W 7 q W F C N / V G S Q k H X A w 4 b E v 6 7 v 7 + L y b h m Y 8 7 K p l r Y 5 2 7 e 6 N e + T C v j 1 i u 7 p Z D Q z P o e Y 4 D U x 7 B a L B a T e 1 V C V p i d 2 9 q c X s Z + F r 9 F f r z y 1 E s F D 4 3 H O 9 2 Y D J a t K / p 5 t h b K 9 J 0 s D A Q / J U 7 m T X 0 0 / d D X N 8 v F x X v D 0 o + z j K C v X Q P J x t 3 1 T R f J y i 0 U C m o V a D s x J M i 4 u L c v G l e F + o v j x F x 9 j a 4 G J H H Q h C 1 O 0 K u 3 F d 7 L I h 1 O 1 x p e n U 3 h i 9 v l t Z q + P s 5 g H A S w M + g S 4 S T 9 O + h o Q 0 y p o w Q c Z X r x n N M + X h j 3 F z 0 s e 0 l v R v v D 3 q p U s P f N T R 0 U a 3 h t 1 s a S N 0 a 7 S c P D 4 / f f d 4 V 9 5 z u K 3 T P 5 6 / a h T R 9 l Z 5 0 z E K h x M C 0 7 6 G G J X 6 U 3 w B p u j 8 f T 9 b q a h l H d T p Q m A C f e K 0 s N 2 s g 2 j p i x 6 g A R x o l O G B O 4 f X 7 F Z G b 7 s 1 7 K W q 0 j R N s w s 5 P L t y n Q x f i W M r R L B S A G s 9 I E L 6 d 5 3 o j N N X D / z 8 G S 5 C 7 P G H h x L s E s f p 3 K 0 B e d 2 R E + X L p I q W Y 1 z h z o b F 7 4 x 6 q M S T o g s M E / T J n W w v i J G R 0 R y Y E L T I B x M E V w 6 h b g 0 T p G H S w r J O g O n T u 3 4 6 2 J K g U E l K o D K + a p l w S P 0 F B E E g w L S S 8 L 2 v d 2 U j l q Y C f B 6 g S / 1 q z F a 5 P 0 k l 3 h T d f h A m v 5 + t F 7 t / + c 7 p d k y r n O L t o / K a V p q d z W 1 j S n C t / T O u b 2 j z X R b I G v K m p k Z r i e / 6 / B 7 0 M t C C y 7 b I 9 R 6 t 3 X V J u s n W R r 9 7 I a p e e 2 e f u n g 1 R A G f 2 u P 6 k I + 6 m 1 V D b k V J m t q 4 H v X u v i h V B m 1 h O k M I q X 8 1 4 K f T P W t b H h N k q K k i m f l t p d Y x 2 L X E d S 9 9 M 4 F m I i 7 + j U S d T a V y v h C M e b k r e 0 6 2 s 5 w 6 F K f 5 a G 1 O n c m 8 e P Q 6 u v Y s L C x Y W 7 P y e L M B h k T K R f c Z q H P 3 f N Q 3 q e 5 V s D L o J g S r 8 3 D a I x c + A P g z W 7 y W q h T V W j 0 e E k k c C d H k g l v c Q w j h c q 1 X 2 N 0 6 0 h q n l s r 8 o X N s f 2 t P d F l 4 f C 2 N h D 1 U t Q q s p u D o a e G c 4 D c A q O P H j 5 L H 4 6 U 3 D + 1 Y d m 6 3 W + J S z 7 d 5 + y R X 6 F i m w T Y f T F o 7 a 5 P k 9 e S 6 V g h I m P K 6 0 / S 9 A z F J O 2 u z F 2 l 1 K X 8 2 f 1 d b t b r o t Y s W Z 0 M E g K B X O m P s 3 q U Y L F m l M w z g W U 6 m R U E D M D 4 r n 2 A F 0 a u 8 d 3 x 5 B N F U i T f 7 m 7 Q Q l d Q u 5 2 p q q 0 5 l I p 4 Q z k + C C c a 5 C 8 + F a W Z m l j p q y / i V / O d 6 O 6 R t X Y f y V h 2 V d i Z c E E i m T J i g m f A C X z R z 1 p p S a W m p t Z R f s H p a G E 6 h B R c P a T b i l h w q Z 7 d r b s m d 4 3 b p d q e L / X 5 6 M K U g R P 0 L b u B K 6 m T w 5 y y 3 0 q 7 7 E x 5 x 3 z Y q N C 5 / z e D u q k 1 Q X b k 6 B k A 8 M T F J t T U 1 V F 1 d R a X g 2 T j H 2 y 1 t 2 z p U a f 1 R W l r K W i b I D p E W K v O V o V K q r 6 + 3 t n D d y Q q T 2 2 U 2 v m I o x E q f C b 2 1 N z c 6 B 9 d L B w b Q K R Z C Y / K B 5 j j d G V W W x 8 t c Y R a k N / f E Z M i 7 X Z c H v R Q y 6 n u m 7 q 1 h v Q r R o 1 k P P W S L V h l k a 8 w 3 A 9 Q R L 4 8 2 i r V G L 4 r h 4 R E 6 2 l 5 l 7 b 3 9 5 P r w y + s r l 3 g R K x k 8 W J C r B + F C 7 y h 5 m B O M w P v M S N 9 q A n z o c L q S 8 H U I E i b Y S K I e d m X A J 5 1 s T Q E S l w t B i h S 7 i S 7 a y R c y g h Z o 3 5 q Y z z 2 O V 3 b E q I I v e H v g E S H v l X p y r F d 6 V P D 3 2 b 2 d 5 v p l C S 3 K 8 I 9 7 v X 0 0 5 e 6 i B b 5 Z B e i R t f f 2 k e v D i 9 s P K F f 5 E b Z O X I F f I Q i R I 1 6 H m 3 W 0 P e u + a Y 2 N P K K G p m Z Z v t j v p Z l F N z V W J G m U K / o + N g Z o v C 1 U 1 4 e 8 N D 7 n k R C 5 r k e Z w g U s E S T W m Z 4 A x X i f v Y 0 J 6 r E s l 1 0 1 Z S k 6 0 h K X T r J a M X b 3 U D f b D J 1 o C 9 N i s l Q 6 7 u 5 r T E r 9 C 3 C h + e D W r d t U W 9 9 E / d N R / i 2 F 9 Y 4 v F m 0 7 l y 9 Y d 0 Q a I w u x T I A J l q C u J G x t y J W G C W C + 3 J m g k 7 v i d L Q t K U G J Q m A a D a v T H + G L E h A C m n f Y D U Q d R Q t u 1 Q v t 8 Q x M 0 N u 8 z + 6 6 l W G C p h b c Y u 1 M + f M E J D a q a y M V 1 M p 1 O Q R Y U K + C 9 P k s C Z b Q V K y C D r a U y / b t J N d H F 2 9 s 3 l l + D g R X T w c i T K D k r 7 U s s p Y b u A 5 z r D 1 / f W k z h N A z L n z U S b o b 4 x J W f 2 d f V D r E m m F z 6 L X d M e l Q i 7 Y s t B 1 h L J b Z U z 2 f d A 8 P r T / f C Y h r u R k C 5 D 5 P W v o I w j J 5 e f k d v p F g G f U p j K W q 8 M f I 4 5 q y 3 l H 8 c n 1 0 a f s A 5 a k 4 z J V n 1 X v c D E Z A 5 j J g w j W I L b A 2 6 x W A 9 f t X d 6 2 G Z t 1 0 i 9 0 8 k X H F d z U k J P R t H o 4 W d o M F Q / 5 n B q 6 c 4 S p k j B Q u e l h M B D Y A Q V + B P S v W I 0 D 0 n c 4 Y l f D P R g d g n N 8 P b 7 q 4 n h q l u r J J a 6 / i 1 7 Z y + Z a W s j 0 h T N l h g l C X a a 5 M S b 3 D r p U i f A + n 0 m x V i G 6 N o i 1 G f S 6 + z 6 7 h F W C C M J 4 K h 4 D h G + g d A Z e v o y Y p V g v b M b Y J a U d 1 q u A B h 7 B 0 q O M g 9 D 4 0 8 2 S K H L / 1 Q r 9 f h v + f 7 / M J Y G m + v A J e F 7 V U q P O x H c R n F w V a / M l V f j g n C J E D U R 6 h x w H m h 7 D X O x A Z X C l i 1 1 b j Y m u g e o 9 D u K j M S C B C y / j e m x q m V f Q x A 4 B 2 K m h / Y 0 J 6 i S M 4 A u H Q N 2 p l 8 J u e l P Q 5 R a 8 S 3 I j e 6 4 7 x 9 3 n o z g i O d X m Z F G P a N l 2 P 4 m w 6 7 P U m K A c s c 5 m l L 2 B T Z r 8 9 U 2 Y j r l b O Z 7 P Q E F x I f 7 u V h E G I u i F Y y 5 1 e v 0 v 6 N I R o 4 v T 0 N N e r X L S Y c N P 4 b D B v u R R b 2 h Y 9 J V y h Q 2 u H y G 0 X P y r 9 6 C p U q N C I a 2 q A 3 S v 7 W C b o b T P 6 Z 3 P 3 7 M r X T c i u E 6 0 z 1 t L W k H l O a 2 t r 6 Y 0 9 i F C 6 q c T F N w J b u R R j W l 7 i R a h Y T F m n F W W D C U K n V v t b F h b m r a W 1 h U + s L V v + u W b 4 e y 2 h N 0 Q + H W 5 V 1 r C z N k G V l Z W r T s T y r A R X G S 6 v D 5 N X c D 6 f D N L 0 z O Y H Q 7 a a G C g D r y J M 3 s p c 6 5 R j l V Y Q 3 o l G W n t H i F h 0 + Q W + U o C i o 2 r l B k 2 E y A u R n k L Z r u Y K D M u P 0 t 4 G 9 d 2 B + P C 6 r O m T F s 7 x W 1 Y X K k C 1 s w 4 L b t p b i 9 7 6 y 8 u o m B I e n i e e R 7 G m p S X V 8 d U O U m Y 9 D 2 D Y k o + 7 0 r L l n W F X C l D g u U w r 6 Z W d X B e S H u m r Q 7 D a p C z 4 b V q l n u w s s l t F D 6 b c d O n S V T 5 O F + 2 q S / C l 5 u I 6 Z J B a g 5 h J K b e M i i k V t c t X 2 X J w d e u U j x r W 2 3 u X a H Z 2 m i Y n c x s k / f 5 c i z E + O m o t 5 W r Z 9 9 g 0 N K C G j G N G W L 9 n + b 5 o N 9 J j o h 7 N r l 1 E e B Q o + v r p 9 2 w F o c 3 r 8 J F D c j M D V E G f a v x N p b Y W + J u t o n b 5 Z m d V A 6 P 9 A l / r g v d 7 3 f T D 4 + V c q a 6 h c + e + t L Z y H W o + t w 5 V 3 5 h / l C o u H O j 0 n f y N u 6 0 d H Z J j N w Q p j r f F 5 Y i 1 0 G 6 E 2 Z O w D W 1 h a 6 m 5 t V V y h O u r y 1 L S m 2 I r 6 L O + E E W j i E q 6 r O n S F F T I i z W 5 P r l y a 2 u c / S e g m G 9 / / m 5 G y F e A q s U 7 Q I f 2 N l l r S v M M E n Y P h b J 9 0 6 a m J q m m p t Z a W y 7 0 z b v + 0 L O u n h Y 4 I r Q / Q a / u i s k Y q d U 0 M T 5 O 5 e X l d H + m j A 4 0 5 4 J 3 d 9 x L f R P P P g h w o H G J S m m a r z U + n v E k N Z Q u 0 O L i E o U 9 F d Y e x a W i d f k C F W 3 r D k Z A d p g g j N Q F T N e v f y 0 N u 9 B K M K k 7 M k m v c y 3 9 n r W k O 8 t C l p F b V X X 1 9 Z T y l P J 3 p X M a b H v H P b S H 3 U m 0 W a 0 2 M c v T 0 M 1 H P m l / S / M P c i U W c A / n 8 1 m 0 l 1 3 x u n z R Z M W 6 3 b 3 3 L G s S i S z m N N S W B I O S H z 1 6 W B p 2 L 5 y / J J Y v n w K B b D 1 L R / N W a g y 2 6 + Z w d r 9 C w u t T E x P y M A G E 5 8 2 6 m D l l s 5 7 7 7 1 k J A K E x + 9 y 9 A H U 0 l N D 9 + / 2 y t V h T 0 d 4 q 4 v E 1 r J L N B G B 2 V L 0 l G C y V h t q l S E T W t d X R + s 7 J E 9 L 5 t a f n n s z 4 o 2 W H b D a S + x 1 r 6 T V r m m b I 4 1 7 l 2 C 3 V 1 N V R d E n N 8 T D 8 c F B + L 4 5 B H z e E e S m e p f A r s t F K F + 3 e v V O u P T d t n Q D K Z q p o w + Y F u X v Y 0 V J 3 0 / L o k 3 7 V t D q m 9 u 7 t k o Z V z I Z 0 6 d K V Z d 2 P U H 9 K J g p z 9 6 A g W x s E F h D l 8 x d Y / Q m U l E j e 0 t b O P 8 c l o M O i 4 i e j Q y w g L Q T O J 6 f s d + t x U z i v w d h 0 T n k V S y p K l 6 + 0 v l v c P b v y g s V n o b I 0 t c w K 4 f 0 B y 9 V b S 2 V l Z X T i x A t S V w B c p 0 9 / J o E M 6 M N v l r t 7 q 0 1 M i d D 3 y f a s 1 d u o P r Y a h d G F C p N l P k u p 0 4 5 Z c K 3 L T V a x c X n Z P e + p K F 0 + z O 6 1 q m W y 6 Z X O h F g h M y x u n y 9 i p c + a n c n t S w e 4 T p 1 6 Q 6 J v s J K N 6 b v L 3 r v W Z C k l l t U p R O g z C E u E g Y r I d T J 1 s C k h w z 8 w z d n T l P x u + U o u C / 4 r 9 z j r E J 7 u k T w 9 F W X n W H h e h c J k V v 5 L G Q a 4 b f k C D r p t y f 5 a Z d X K M / y g F 8 W L R / f I e y J c r 9 E u I Y 5 t 1 c O z v q s Q f W s N g 8 e o X w T P z J m Q M I I W w j Y M / 3 i 5 M / 6 U G 3 8 B k n U 8 k q n l V J q P A Y t W e R V T K s r h G y m j z 8 5 a Y O H O r Q V o E I x A P S S N Q s 8 j P R I X v S S 0 W 4 n 2 o N U E 6 4 f U P 5 6 m v / v N a Z o e v M Z W x L / u W V 5 N j Y T d 9 M V 9 v 4 T G k f S s s U t x n A G l 4 2 0 K Y M x 0 d P W h l w a n P b T T m K / i y Y u P h U + / K o M M W r w V x 5 g m T 4 T r U b J e R O n 0 t W 9 X v + K e Q 0 X c X W I V 7 G H z f H D h r o 1 p w s b H R q m + I b f n A 1 z A M n b d Y F n s w z M g f J 6 2 X F o z 0 9 N U U V n B L m O 2 n o S v / e Q b F / m T 0 7 T k U 9 8 R C U + Q N 1 h B f 3 F k Y 6 c f M y O N P H z A v z F J 7 u o u 6 h n z 5 Z 0 t S S v g V X M / P E 3 h / C S T C U r G 4 3 w O O c W j F H B H 6 W D D P E W W l q S z c b q 6 3 d q 7 O F S U L l 8 + c P J t g z A 7 E G S H a S 4 c p g t D N b K c D y b I D h N U V V 1 N 8 7 Y Z Z i O L C / T u w T Q d b F F D 2 k / s i F G w o k 4 O 9 1 K f 2 m c 9 g m W 6 d v U q 9 f Y / p I 6 d u 2 S u v h Y 8 v t N 6 H b L P u v S 0 Y c J d R K w 8 c r F N 6 i / m G 0 y g h z 5 v l w Z v H F Y R J d e Z 6 8 V l o Q J V H T Q 5 7 R W r Y l q o l Y D S I 2 A n 2 W 2 r N W a G h a L s H d k f p a k F 4 E I V + b v P 4 L s 0 b D g G M 8 C B Q A X q V n j m 0 8 N p N 0 0 8 G q B D e x q p o y 6 7 T y w W X d Y R 1 x Q i i Q h + 4 L P x P U j o Z X F 7 1 E e V J W x t 5 9 1 q d i T j K S B P W z g H s J 5 4 E B 2 s E 5 o P E v G Y p F Z P D 1 v y W W p q a i B f 4 y 7 r H c U h L k U D r y J I i Y R b C n M l g F a S H S b I h M n + 5 A 0 T p r H R E W t J y b R c 0 1 O 5 M / 4 A p s 9 u T N C 9 g S l a Y m D b O 9 r p 3 O c X Z K J M R O c i X A f S M G E I e T 7 d v t 0 j O U D V j b i h Q I p e Z s u H y S 8 P t 8 S f K U y m x C 5 Z 5 a F T S 3 M T u 9 K l 1 h C X 3 P J 7 3 l P 2 t l g k S t H K d / Z C B Q t h C v U x W A R I B y J M N T S q / n 9 T k 5 O 0 a I G H H g y 4 2 G v r 6 u U O b S r i a 6 X 9 n d X 0 Z l d c R t / W d L 1 F k / P q B o C H m m l V s / s I i z Y 0 N E S P h k d o + N E I f f j B J 3 T w 4 H 5 r D 6 K B s U U B c S j M V p k 9 q Q t 9 f v r a 6 M L 0 T I W b m g W R z i t 8 C z Q z M 0 M N 9 X W 8 / h h R m S 2 q o q t D 5 b n e 1 y 2 7 u 2 X O s b f a f O Y 1 t b U U K F H v R Q 8 G 3 Q c w Y X S O R S T O n U 7 I k w 2 h B 5 N u 6 a 6 S 4 s o 7 3 E 9 z 2 P v o b I p 6 e n q p t b W V G t k 9 w p 3 9 r b d e l T n E M d k l Q H o Q U U M 3 0 B k W 0 3 g 9 T u R w M 2 V a J J 3 4 D 8 3 G g m y l 1 U M U 0 o j G 5 i n D 5 z m 5 E c I s p n + q 3 P h P g T I b W f E + W I R w e O M 9 F S b H J 6 y l r A C o P q a L D 3 L 7 1 u 2 o T d G r O + e p P K i O o 3 / S R f / r d x f o 7 3 / z K Z 3 + / A Z 1 d + + V 7 X A j Y R 2 l W x G v f 2 4 9 q l R r p e H y z 0 w A J p P 0 8 B m V T 0 1 N 8 W 9 J S z 3 X L L t i + F d 0 L t 9 6 h W c m a c W i S 1 L H q a i o l P W R 4 e F l X Z L s s g / N y N e z 3 M 2 f q Q X L k n L l Q n z j y l V 6 b T f 6 H h L d 6 F 2 g n 3 z / B f r F T 9 6 k n / 3 o m L W X A i p i P e D t 7 M 3 l x 7 T a c P m n r V y Q c m F K 8 0 2 h o b F B 1 v G A t m J T 0 b l 8 u C g 3 K j x E w F R T S 4 s 0 y O o e D q Z 0 l y M T I F w w Q e s h b L B 0 o 4 + y j 3 P R g Y r D V Q / o 3 X 0 R m p u d l a d 3 9 I 0 l a C J w j P 7 v h 9 f o 4 2 s L 9 N 2 D L v 7 O 5 T 3 E 8 X l o E 4 N S v q 0 6 O E + D Z A J k b l N J I r C c l 2 G O D l v 5 P e / J d f b r u 1 v o 3 v b 4 S g a 6 a G E h J o W m C x D S e T 5 1 u L 6 m / f u V a 2 X K H v K e n J i g 2 j p M 4 b N x 2 T 8 T Q r 0 H 3 Y b i s R j 5 j P q a F o I i a N t K l 9 S T 3 7 V E 5 x + E r F e 2 n u S c p 5 J y A 5 B G X Y T L j b B 5 n N P x 5 j D / 1 i h F I k s U 6 j x k v b M 4 V H R d j 6 S C s U 4 B p k 8 + O W O t Z W V v o N U w 4 c n v h W p + P v c z 8 g U 1 9 A D W l Q I e C I o s U j V d H f R t a Z i U t C V i C 8 U 3 D 3 1 T Q 8 L N B N t x 0 a E O B S t l L 7 / n P R V l T 4 m N 6 N C J d y g c z n 0 O V E W l q k u Z i i 1 x P c v r p c h S R C 6 S G V s 7 k 1 3 l 5 S G a 5 U p 4 I T K f K G 8 K c w R + M x b c U v W k f B J w B B Q N k g U V J w W T e n 1 g 4 K G s L 7 G F y l t + z 3 H K f 0 t 8 j u V K L W X q K + v R 9 S E f 1 4 e W u 1 t 2 u a 2 L P l g S F L e m y p h b A m 1 Q Y W M E r 1 Z l j e r C N D e X B X Z w 4 I F Y O l x k e u w U h C B I e H a G 8 w i d v e e n o c k 4 f f 0 o P 2 h b S a r O l I V G I O J l B Z e V L L h a W p o E q I X F 3 M b y Y l D R h c 3 F h 2 V t B K p g s I T 6 + h 7 I s o 6 o 2 W X 2 6 7 P 3 8 c P w j 3 z u o B 7 y U V Z W L p 8 L 8 N o 7 d o h F w n F i 7 J Q W 2 q w q K q t o K e a m W N x F t R V u e c L h c y G 2 o B o e A c k C S K w T c t m O u l V K b k Y h / t 1 m 2 R X D v 6 K z U O 7 4 0 L p h w t M C M V 4 I 2 r l z B 1 u I M I X n 5 u n R o / w T W W r Z u x V B I Z u b + J A t k Q 6 9 o 4 6 E K C D A M z X y a F j y J X Y n d S S v M h S g 0 k C S v u x b 2 2 p u F e W C p K y U s l g G V L Z U b C r K O l Q + o F a D D B N L l v q 5 g K 0 6 C o Z f V F a E q L m 5 k T 7 7 7 L z c T a E l r j e Z q m Z 3 b 8 7 W C G y 3 W m 1 s i U r z D K W H 1 Z o Y G 5 O L S v d 0 t 4 / U j c b d F E 0 + D + 6 e c v M 0 T C p P S i 4 d Z P V 2 X k Y + v Z C i a 9 d u c D 2 U b z R G u R V D 4 v t y n q 3 P f V K 9 v Q u 1 V J h U s t X T J 9 M H a / m t i V n e e O O k X D B Q C d e b 7 A p V V E q I f m x k J O 8 d d 4 g t V L 5 g A y J 3 d Q 0 N y y K J p g 6 1 F B 5 N f F b K W C C B x r J K s p 5 d z r 6 u o B p m y 3 / g Y D e F a h v 4 E + x l 9 3 y n o g u b I 6 H g t A q B 6 v x 9 P 9 d p 2 m R E q 5 Y Z w s Y 8 f K s J V q m h q U n e o + G D h h 8 + p F a 2 U B C G h 0 A x d v 8 w 9 A M g o b 6 F J 6 b n g w r W E o 8 E 3 f I C O B o e W C Q L H A W P W k c u F k t S S m a K W l x Y p P r O / X n L 7 3 l O x R k 2 5 0 I s 1 D p B Q G D R G I + H L k e m P F 4 F W r 4 e E 3 b h e y M L C 3 L h Y G Z X L T 3 3 B C w f L s D y U E g s F y K L e A 3 b M H Z I C 3 e 6 z 3 u 3 e v 3 J g i l j f a x c I I J 7 p w A S k J I 6 T 8 o I a X T x c u F H 6 j I r k l S U L p / P i 0 6 y y 4 e n r y Y 9 a y t m D 0 J h m z p 5 8 m W 6 e / e + B B e G b b D l U 7 C s T K y V d h s h r 9 F F y Q x K 4 I K D c K z o 8 4 d B j X A 9 0 Z M c E 6 9 s W Q l I F k w A y I B K w M p s U / U m b Z 2 Q 3 + g Z o Y k J B H R y y 6 0 Y U t F F + a B S D 1 / 0 X J h 2 r Q Y Y h l D g Z b T d 2 5 + q g Q t n z 5 5 d M i a q I r R 6 P z p 0 t 4 F G h o c k h / B + U 2 Y f P 8 A 7 P a e i g J i T / O x d 9 b T 2 r S 7 8 I g 2 P A G T B g l y W 2 R K p p L Z r 6 4 R h K k u u S q 6 P b r H e 8 Z u k o p 0 5 F n d G w Y N X C r F U m B k I 1 z 3 6 1 W E K Z T S 2 z l l 1 G x 3 l g 8 r K y 3 L W 7 Z q L K k t U V V 0 j g Q o I F 5 w p j G c y V R 0 K y P C L 3 o n H j + g V 8 F M f W 2 K Z L H C y 7 p 6 2 R B o g Y x k g S Z 6 Q 5 b T L S z t f f D t T V s W U i j T K B z h Q 2 L m W Y S 3 p Q X / o N T E 9 O U E h r u d A p g u I z / z s 0 y + s N a y r C V D g o n 1 8 2 0 8 3 + L 1 z U Z e M W 7 q 7 0 E G j M 2 l 5 f + / A u F x M M 1 N T y 8 L v d 8 e 8 7 B 5 Z K 4 + p d f 7 k d U l A k v P K o C B l o D G T B Y 8 t h f x x u R H B g g M s D I H P V 2 7 P e y p K l w 8 q 9 c f k A u b L Q G 2 w t J q 1 G p t T p w N z 2 5 m P q z H B H B 4 c p P I y 5 a 4 M z X h k y m M 9 I T / c x S W G C 1 H D c 7 0 + e U z n j U c l A l v v Q h v 9 q a e U v p l p l H n I I V x g O M a x s d X 7 A 2 4 F y T k A U B I a t y y U Q K W A 0 V Z K J Q M u g S h J U / N Y V z B h e 7 G q K M P m S K G S B S 7 k h B S + M s f Y W r j u z a r + d x A u J l 0 n w t M H u / b s k V 4 N s C w r a T H m l l l d 7 Q Z j P u o W w J B g u R C I 8 J Q 9 3 p C Q p y m c i w w 4 D E q u m 2 f B J D c K 5 d 4 l Z b + E W C Y 0 E y C v q w n l L b N i S M U Z N r e S C t s m e I H X 1 6 l R t l Z 9 9 9 S 8 5 L j w v R 4 v D f b 3 C 5 i Y e 2 9 x c Z F K w l e s v T c m Q A U d s 2 Z 4 3 e o S N y 9 t Q G R Z K L O N y V x W Y G W T c v f i 9 O a p l / K W V z G k o q 1 D I Y X K r I L k A j Z V i L W C 8 9 e 2 c 4 + M q o V K y 8 u p p b 1 N l j H s P V R Z Q 3 P l L 8 j 6 R q X n I T f n I 9 9 q U h Z J g 2 M F I B i k b D j c T A Z A A h W W L e s k M K l k L 6 d i S k V b h 4 I q g t F M I a L w 1 + P 2 I T z x a B a N j + y 6 3 f y a J s b G 2 V J 5 6 Z s b 1 2 X Y u 8 + D i 0 3 t u 1 G Z 8 5 C j v r X V B J h U F E / D Y w L D 6 y Y 8 1 r J y 8 Z Q 1 y k n W q N 3 G x p U f r l A M K t q w u U 4 k w w V U o e I C 0 S o E L l z k 1 d U 1 V F F V R X U N q t d D 9 + E j k m 9 W V O 7 K o J f G 5 t 3 U 3 b T V 3 D 7 A l E 3 K 4 h i W y E w a K m t Z Q 6 V v Z j j 3 a j l O b 5 1 6 Z V k Z F V M q a p c P a U c z F y T u j l y Y K F S + O n h 7 Y U L Q A X M 8 N D Q 1 Z 7 o d T V u j b 2 / 1 r N 1 j o h B N z H u o p n R 5 I / S z F a J 4 y j p l A T J B 4 m U N k Q W Q G R L X E C E I g f O m 5 5 X A z S 1 f G R V T K m q X T 0 s q y r q Q e b l Q 9 U 9 5 K B Z P y / N r M R w e d 2 o 8 p R C j c r v 3 t F h 7 P b 4 u D / j o 9 J 2 t 0 m 8 P 1 o h T T s D B h M o A y 4 B K g Z Q L l p x v v p E B q F Q i R j / 9 F 3 9 p f U f x q q i j f D r t 7 q C M D 6 8 L G n A U 4 v a d u V d C H Z 0 7 Z R n 7 o 0 8 e 4 B o Z V C N 7 N 0 O z E T f F r X 5 7 q J v 5 v U 8 / S K F c O w W M u g E h 8 b r k Z l L g I C l 4 s t s U Q J z E M q n z L Y + y i a N N k C 2 U U S b F m t x q 4 G 7 x / + M S z R S 2 X B C 8 X i h U C G + j z n T n m 1 s y n 9 6 9 O 9 9 S Z X U 1 n d q z + i S Y h c j + 9 X E 2 o L 6 n 5 T c I R H D v G C L J d U T P A E u W 1 f l S S a 1 L P c l K A p Y 0 2 v J 6 H q g A 0 y / e / 6 d G a R T v v 2 3 h 8 k F 7 d / p U X S p T y B q s w u o v 6 G u 3 7 8 B B q q 6 t p d b 2 D n n 6 h m + V r n c N J W F 5 C s a x t h i 1 V O a 6 m U 0 V K T r W q i b V L G F r 9 N 7 + K L 3 Z l R 0 / Y j 4 5 Y 2 3 c N y 7 Y Q d 2 N K C e K p 0 G x c g W K T g o Y L G d v U C r H e c 1 Y J i s l 2 N W j 9 P P R z r Y Z 2 j Z A Q e g 5 I T 6 9 + P V 8 I f D F I i F h v j s X I t 0 Q i 3 k h 8 B 5 M q P K e 9 X w p u 3 Y 1 l 1 B z Z Y o a Q m m q T v V n 5 q y A 8 D j P a 0 M + a d B F Z 1 x 0 X / q y 3 5 d 5 v K d Z K E / K + Z P f L E l W M n W m 5 Q B Z 2 6 y U G 8 F T u Y B l J g s s u H p J B u o X 7 / 9 Y f e k 2 k O v L u w N P q s y 2 p G 7 2 L J L b 4 5 f B f R 6 v j 9 x u z j 0 e d r 2 4 O m m M 0 l 1 N 7 c E x 6 u 5 U k 7 F M j I 1 S q q S Z S g M p i d h F o g n + P J 8 8 p 2 l 6 c l I m b b k 9 V i J t W o W o r j x F L 7 T H 5 T o / 3 R N Y 9 T G f G 5 W 4 d 5 K U Z Z J l W C j T U l l 5 r u X C b E W G d T I A E o h Q X 2 K A E r E o x e O c o h E q L f H S X / 3 0 R 9 Y 3 F 7 8 Y q M F t B d Q 3 P W F K p t G H z i d A o b E W c O G Z u A B K w C q g X g X p p x / i g s Q Y J 3 / A T w t z 8 z I Q c R f 6 + 0 U i N D e 3 Q L 2 L r d K H b z 2 C G 6 g P 4 w J b r 3 D k 8 Z 2 J H J B M o K y o n o Z H 5 S Z Y g E i t L w N K Y O L 6 E l s j b Z X i s S X O o 5 S I L t I v / 8 0 / t 7 5 9 e 2 j b A Q V d / 2 a G 4 b G A g q V i u N B J F V B h p G 0 G q g L B g l 7 q i F N N m a q P n T n z G b 3 x x q t 0 9 e o N 6 j 5 w g D 5 / s D m T + 7 d V J 6 m z I i x z W G D o P F z F l Q R g c K G r C W K 4 i O W / s k R 4 T Q G U h S o L l A J H w y V J r J P K d V Q v A b A A k r Z O s E w S 0 W P L x E A h / d V f / 4 B C o d w p 0 4 p d f O X w 3 2 2 W j h y o 4 o s A d 1 T r I r A u C k n 6 4 s G F x 4 m v O H 7 T 2 v p q w C f 1 o d v f 3 O H P S N P M T F h G + H r 9 u V O D r S U w / N o u Y 4 I L V m N F k r r q E z K 8 5 B v + f A j f F f S l M x O 5 H G u L C 9 Q Q g A E + b r c 1 L k x H 7 + S 3 W a B k I I G l U e v K + t g t k L W M o I P k f L 5 0 b p 0 z Z Z m Q 1 M M A 8 C A A j y t N o Q q G y X b u i z 2 5 L t 5 7 u O 0 s F H T j 1 g T F U 2 6 x T l K X w j A K d v + y l k q 7 g K 5 M U m d t d b 3 U O E I 1 N d W y j B 7 p 1 + 7 O 0 o K / E w Z i U w Q g z B m Z l g m u n G T 8 V 5 Z h h T j h B o E 8 x y J h O 8 N k v Z 6 9 k a h c r W u r h K S g w r L A x M s q 8 B C X O l M i h h s U u 3 t s n X 7 1 b 3 + u j m e b a d s C B X 1 1 d Y R t t B W c A F i A C X U q C y p X H h c w C 9 f K 6 q p P U m v 5 A p 0 + c 4 5 + 8 I P v W l u z w p w R 5 h y A m y F t l V R m g S N 5 m g L e J E W 4 u o d t h b t 6 n A M i A Y o h w j Z Y L s t S Z a y T B g p u H k O V 5 P S r X / 9 M j m k 7 y n W x d / s C B V 2 8 P E w u R P 3 E O l l w M U g S + b O A W g 5 V 1 n K t J F x 0 l a V u q o n d 4 j q P j 5 q b G + R z P v 7 4 L H + u i w J N x 4 n K 1 M j d Q q W g M a X W s x B x w j a 9 r K F i O P S 6 W C B r m w m T v C Y A Y V 2 B p I H K u o U K J g l C W E D B x Z O A h A C 1 R C + / f J S O H O + W 4 9 q O Y q C G t j V Q 6 L d 2 8 f K Q w K Q j f w o o r A M m 5 f p J r k E C Y P i X A Q w Z 4 M o P m C e 1 S H t C j 6 i 9 v d X a j + i z e 3 6 K G M M 3 1 h I g A E A q y x Y Z b 1 G v A Z J M 0 g C p Z a 5 J M Q j L Q c o A J h A Z I G F 5 F Z g y 9 S Y J k Q M o F Y j w + z z 0 / q + 2 V 1 T P L t e l b Q 4 U N D I S p v s D M w K U c v 2 U t T I j f x o s A K E s F k D i u g x y g I T / s g 2 Q 6 F w J F z I i g D p o A O l G Y r v U 2 3 L f a y 0 I P O o / Q M m F S L Z m 1 g G J l e t t G i C 9 D G g E q N w w u S w z Q K o B N z d A g f V M 7 3 F Y J a P N y c 3 f v 1 3 r T a Y c o C z 1 9 U / Q 0 M g 8 Q 6 T c P 9 0 2 J W C Z Q G E Z l g q 9 I D O u H 8 A S j B R I 2 K Y 2 s G R J l s t p m r q b Y j I V 8 c f f 6 u i f d f p 1 K c j O l s C M + m P l + G u t 8 7 J e z 4 K E b Q Z E B l g Z k G S b A k i 2 m y A J R M g B k G G h d I Q P Q M W z d S d t m T A s 4 2 / / / b + 0 D n p 7 y 3 X p / j C X g i P o / I V 7 8 i Q O 0 0 q p X F m q L E w A L A t T B i I r C U S S Y 7 N F C O f l g b Q 8 / v N w w y x d 7 P d Q 3 B V S r 7 G k E A C E J X N d Q O E t T a E E D d 0 + R / G a l 6 g y V E L 7 G u L 8 s S m 6 / M A n + 5 g g V Z c m 6 R D D e 6 b H J / s k E m q 7 h k q A 0 h B l 8 i x Q 2 j I h h 3 u X t U 4 A C Y G I K D W V R 2 h g I k 2 / / g / v y 3 E 6 4 m L + y g E q R 1 + c v 0 u x B O V A J U B p q B g g g c m A K w c o D Z O 1 j P / 4 g 0 1 K a u G 7 + 6 L 0 2 0 9 u U H n b C V m 3 E B I p j t Q 6 e r S 7 X A o U P F r n x V d O 0 m I s T d V B g G F C h L Y m v c x Q I O d 1 w H L r k Z v K / E l a i B C N h j H a O B e o R G y B g g E f L S y l x B r h / d r F E 8 t k 1 J t S 8 S X a X b c k j 0 8 d D g f o b / 7 d v 5 b j d K T k A J V H 5 y / 0 U C S K 9 h 6 G y W u F 0 7 H M u b J O B l g A R + f a W r H s U E k u L 6 g / 6 W S c 6 o P z d K S z V C b K R C F 8 x Z b m x I 4 Y f X b X y 5 / p o s 6 a J O 2 s R U / t t L R p X b 9 + k x p 2 v 0 K D M 2 5 6 f V c 0 A 9 J y o B R I y h L x M u c f f P A n e u / d U 9 Q z 6 q K 2 q j h N z C x R V R l / D y U o i u c G 8 2 + 7 c + c e U W g X j Y U V U C Z M S G 3 l M 9 L J F w / i H l s M 0 v t / 6 1 g m u 1 x f 9 T l A 5 d P d n m F 6 M D g t Q K k O t L l A Z V 1 A D Z S G y g I p A 5 M C S Y M G m D K L L P R 2 q C 6 F R S F 6 F P b I c I 5 2 X x / N u + p p X w u m d Q Y g 8 l f 6 B i Y S S R k 1 b I K U g Y j B U X U m D Z T K z 5 4 9 R 6 + 9 9 h 1 Z R 7 T v x o 2 v 6 c C B / b K M u t L M z I w c S 6 A k w F Y s S V 8 P 8 Q G y 2 9 d Z v U Q L M 2 M U c 1 d Q m T d K M X b 1 I o s R G p 4 P 0 i 9 / / Q t 5 j 6 N c M V C P H K B W U D Q a p 7 O f 3 m J g A B Q i g A o k u I E Z S y V Q 2 S 0 V i F F 5 B i Q s W 3 l W a p s q g G w x e N 3 p T P c j Q J C B i v + M j I z I 9 + j d M e n + + P g E 1 d f X U i B Q k o F I 5 0 h z 8 / M 0 M T 5 J o Y p y e Z r i z Z u 3 q f v A P n n f w j y 7 e y V + K g 9 V S J e i 8 d k U h Q K w S A l 5 y i L q T b F Y X J a X o k s 0 n a y n n 7 / / E / X l j p b J d d k B a k 1 9 8 O F l 6 V G h 3 D 5 l q X K s l I B k J Y n + W Q m 4 W M s C j y I K f 5 T w s r W Y K Q R r 4 f X d U Q Z V Q Q Q h x z 9 e w H + 1 b q W + v n 7 q 6 G i X Z d S d R h 6 N U F l Z K U 1 O T j F o d e L O Y b m y s k K s U n / / A + k e F Q j 4 G S I V i J i d n W E L V c I g J S k e V w 2 3 s T g a b u N 8 Y 0 E g I k 4 d R 9 + m A 4 f 2 y v E 4 y i / X 5 X 4 H q E L 0 4 Q e X K J k C M M p C r Q g V 5 x 4 m I Y 1 + x w Z I e l n 9 x 7 I l Y 1 H D h A w W y o 1 g h E C k A M I C M h M m p J m Z W f 5 + l 7 i C q D O h v o X 6 D x 5 h q g M Q s D i 9 9 w F e m 7 i F c P X M B E u k E 1 x A / B 5 Y J V g n P O f q v Z / 9 j R y b o 9 X F Q I 2 g p B w V I F y 8 / / C H C w w N u 3 y A S u A y o L K A U h Z K 5 y D I y o G S A K Q o U t t y B Y g O N M W p M q i K R a B R C x m A 7 C n C d a v Z 2 T D V 1 d W K h b r 4 5 V f 0 4 o v H Z P 5 1 d H s S o G C J A J d V b 1 p Y m J c h I L B Q g A 1 5 g i 0 T 6 k n I 8 T g f t M X h Q d p v / e R f y b E 4 W l s O U B v Q 7 3 9 7 j t I M D F x A V 4 6 l Q m 4 A Z S 0 r k L I w Z U H i 3 G D q x Y 4 Y z Y f D l I h F q L E R D 3 R W Q O k 8 k 3 g 9 z t b j y p U b D M 5 R e R 3 B C o D C e 8 r n A y J Y F 2 z z e N y c W 5 a K 1 x G l 8 / s x G t i C y U r Y P 8 4 5 3 D w c 1 n s / / x V / F t f X H B U s 1 5 U H D l A b E a 7 z / / e b s 2 i w U m D B Q l m W S s A S o C y w A B C A 0 j A J R F h D J n / p 5 R 0 x a f T V g u s G t + 3 i x S v U 1 t 5 C b a 0 t A p K G C i D c u H G L j h w 5 x O u A B d t V D n D s C S A l O U d d C F Y M A K G + h D z O 9 S W M M p b 3 8 n 5 4 O v 2 J 7 2 + f e S A 2 U w z U q A P U Y 2 h q K k x / / u Q r B d E y o A C T A i o H L A s o + W s B h Q F 5 e x q S l q u n 6 j i P R k a p i S 0 V P h f 1 o i g i b e z e T U + H p f c 6 r A k C D Z n u R X l g A k S q 1 4 O C R 8 O F 9 8 a i M V m H R U I O 9 + 7 U X / 9 S j s f R x u Q A t U n q 7 R 2 k y 5 d u C 0 z 8 J w t X B i w D K r F U e B d y t X y 4 c Z 4 G B 4 e o s a l e R v q i f U s K h v + I k y e W S T 3 5 Y 2 J y k k Z G x u j Q o e 6 c d i f d D q U 6 t l p A o c 4 k 6 w w U Q A I 8 v A 1 W S Q D j Z c z i d O q f O T 0 e N k O u q w 5 Q m 6 r 5 + U X 6 / e / O 8 J l l o D I w Y d k A S p Z V E l k 5 g h F B P S O z V S o K J g a J A c D F 7 / V 5 B a A M S L K c t U h Y R / 0 K n x l j N w 7 f C a D E v W M X U r t 6 + P i G p h Z 6 6 d 1 / o r 7 I 0 a b I d X V g z A H q C e n / / P 0 f G I Q U n 2 U N l k q 4 2 B V M u V B h S T r P t m S H e W i g e u 7 2 0 u 5 d n W o b Q w O 3 D f U e T N g C k C b Z a k 1 O z d C u n Z 0 Z C y W u H V s k v T 9 g 8 / v 9 9 P a P f 0 F e / 8 o T v D j a u B y g n p L + 9 9 / 9 j u t A C Q V X B i Y N F / a w w L L y v Q 1 x C k j P I 0 F K 5 V Z C Q y v y g Y F B 6 u z c I a 6 e W C e G S L l 5 q s 6 E h O + a m 5 u n d 3 / y c 6 p u 3 L w H H D j K L w e o Z 6 A H f Y N 0 + p M v + O K H 8 d F w 4 R W r 3 m R o d 3 2 C / G 5 A x a 8 w R O L i c Z p Z S F H A n W Q L p S Z u g Q u I 1 y C 4 f P u P n 6 A 9 R 1 / m j 9 S g O n o a c l 0 b H E t X 8 K 0 w H M 2 6 G Y 6 e v t D d 5 + y f z 1 N f 7 w M F h v C j A B H L J B t k T b b t a U h J 1 y A 0 M r / 8 z v e p r m V 9 8 1 M 4 e j J i o M b T J f F F + m / / 9 b / Q f / x P / 5 k + + e g D O n T k G P X 2 3 q O J s T E 6 9 e O f W r s 6 c u R o L U l T Y p r 9 h u G H D 2 m O f P T a u 9 + n y u Z W O n 7 y d e r g C q 4 j R 4 4 K l 1 g o a 9 m R I 0 d r C P X V / / k / / j t 1 7 e u m 0 e E h K g k G x S V H W 9 7 E + B i 5 r j + c c I B y 5 G h T R P T / A X u j Y q D q F A v j A A A A A E l F T k S u Q m C C < / 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b f 4 e 8 b 6 0 - e 9 d b - 4 4 c 1 - b 3 c c - 8 7 e 8 f 9 5 0 9 5 f 5 " > < T r a n s i t i o n > M o v e T o < / T r a n s i t i o n > < E f f e c t > S t a t i o n < / E f f e c t > < T h e m e > B i n g R o a d < / T h e m e > < T h e m e W i t h L a b e l > f a l s e < / T h e m e W i t h L a b e l > < F l a t M o d e E n a b l e d > f a l s e < / F l a t M o d e E n a b l e d > < D u r a t i o n > 1 0 0 0 0 0 0 0 0 < / D u r a t i o n > < T r a n s i t i o n D u r a t i o n > 3 0 0 0 0 0 0 0 < / T r a n s i t i o n D u r a t i o n > < S p e e d > 0 . 5 < / S p e e d > < F r a m e > < C a m e r a > < L a t i t u d e > 4 2 . 9 7 8 1 4 8 7 2 7 4 3 6 5 1 2 < / L a t i t u d e > < L o n g i t u d e > - 7 3 . 9 0 6 1 4 7 2 7 2 4 6 8 7 < / L o n g i t u d e > < R o t a t i o n > 0 < / R o t a t i o n > < P i v o t A n g l e > - 0 . 0 0 8 3 6 4 3 3 9 3 0 6 3 4 5 8 < / P i v o t A n g l e > < D i s t a n c e > 1 . 8 < / D i s t a n c e > < / C a m e r a > < I m a g e > i V B O R w 0 K G g o A A A A N S U h E U g A A A N Q A A A B 1 C A Y A A A A 2 n s 9 T A A A A A X N S R 0 I A r s 4 c 6 Q A A A A R n Q U 1 B A A C x j w v 8 Y Q U A A A A J c E h Z c w A A A f s A A A H 7 A c X N p o s A A C 1 D S U R B V H h e 7 Z 3 Z c x x X l t 5 P 7 S g A h X 3 f C J L g A u 6 U R K m p n W q p t x l H u H s 8 7 m 6 3 L X d M e 9 p 2 + M E P j v C / 4 Q g / 2 A 9 + 9 E z Y j n B 0 u J f p 0 d J q k h I l U q S 4 i h R F k C B A g A C x L 4 W l U L v P d 2 7 e q l u J A l A A Q R I s 5 E d e 3 M y s r K q s v P n L c + 6 5 S 7 p + e / Z C m h w 5 c r Q p c l u 5 I 0 e O N k G u 3 3 3 6 p W O h H D n a J D k W y p G j T Z Q D l C N H m y h 2 + S 4 6 L t 8 z l t v l o v r q S t r f 2 U Y u T 5 D 6 p o g m 5 4 i S X D I t F U k 6 0 J y g Z I o L y 6 U T / 5 F 7 o Z t S v P 1 2 / x D 1 D 4 9 S K u 0 U 5 b O W 6 / e f O U A 9 b b 2 4 v 4 u a 6 6 o Y k j h 9 c c 9 N x 9 p i 9 O l d H 6 U t I O y 5 V s B L 9 O a e K P 3 p 2 x J r i 4 L L T A d b 0 9 R e Q x S L p e n j i 9 e s v R w 9 L T l A P Q W 5 3 W 7 6 0 a s v U D w R p z / d 9 r B V S Q k s Z t K y Q 1 S I l M X K 5 n s a U j S 7 5 K a Z i I 9 c / N 0 v d a Z p c O g B P R y b k N c d P T k x U J c c o J 6 Q / u K 1 F 5 k Q t i i 3 v R S N K 4 g A E / S 4 E N n l Z Q + w x J e m h Z i q F p u Q I Q F q v 8 9 D 7 x 1 I 0 5 k r t 2 l + c U l e d 7 S 5 c v 3 h n A P U Z q o 6 V E 6 v H u m i Z C J G X / R 6 a G a R c i C y w 7 M Z M J n S I G n l A w s J V q u u 3 E P / e P 6 K v O 5 o c + Q A t U m q a u y i V 3 c H K R G P C 0 A f f u P P A G R C s 9 k A 5 d O 7 + 1 H P C s i y C Z g d r t e 7 E l Q e 9 L L l C t A / f H 5 Z X n P 0 e H K A e k y F q u r p z Q N N l E g k K J l M 0 q d 3 v b Q Q V a 9 p e N a C a L M g M + F 5 e 0 + U e s a 9 d K A p k R c u B D j q 0 r 1 0 p H s H D U z 7 a H e D i z z e I I P 1 l b W H o 4 3 I 9 Y f P v 3 K A 2 q A C N S / S y R 0 L N B o m a i q P 0 0 e 3 l V W C V o N k s w B a S y Z A d u G 1 9 u o k 7 a p e o G A w S L F Y T H K v 1 0 v J t J 8 + c i K E G 5 K L 7 0 g O U O t U a c O L F I k k x S q 9 u y 9 C P a M e u j + h g g E r w b L Z E H W z 5 Q E Q 0 G L c R e G I i x 5 M e i S 6 l 0 8 r w Y V g x i t t U + T z + Q Q o 7 A e 4 K i o r 6 c M L t y h p 1 f 8 c F S Y H q H W o r K q R o t R G c a 4 n w b 0 D J D q 9 t 1 9 F z W J J F 5 3 p 8 c s y 9 L g g 7 a p L U l d 9 w l o j t o I B e q E j T n V l K 1 / o 2 G c 1 5 Y N r Z 2 i M 9 r Z X 0 e 0 R H 3 U 1 J i n o c 9 P k o p 9 a a g L 0 x y + c w E W h Y q A u O 0 A V o L L G F 2 h x U V k l 3 Y 4 E i M 7 f 9 9 F 3 d s a s v Y j m o y 7 6 v N d n r W 1 c 3 + u O 0 k L M R a X + N O n L / 0 I f v i t u r a 2 u G D N 4 5 u 7 6 w H L z 6 j t 7 I + T x e O j 0 3 R J 6 d 3 + c P u 0 N 0 v c O E U N 1 0 9 r L 0 W p y S 2 k 5 a d X k r 3 m B 5 u f j Y p k A E 1 I o o C y U C R P W C 4 X p a F t C o I G a K p S 1 Q X Q O w t f G 2 d L B H R u b 8 w h Y P W N e C q / g z u W T 3 6 u g 7 L D c w n z C 8 Z o W N M W L f 7 o T 5 O 9 x 0 a k 9 S 3 S x z 0 M + d 4 K + H U r Q 6 w c 7 6 M i e H c v O j Z N y k + u P X z g W a i V 5 A 0 F K B f Z n X L z D L T F q D C m Q T J n r 9 / j C v 8 9 1 m b V 0 t D V B 5 S U p u v H Q S 3 P R L C j H 2 u N 0 b d A n 5 X O k L c 7 f l x K 4 B q b c t L t + Z T h W 0 y d 3 A t I X 0 J S H v w B 9 B U 2 Z F u s Y H 1 9 D R V K 2 n W F r 5 W c X 8 N S + J M 3 N z d O F O 0 P W X o 7 s 4 p K 0 0 H J S T q p q O U B J / z 6 p o A O m N 3 Y v r Q n T 7 O w s T S 3 i / c v 1 3 X 1 R s R g n d y m L 5 v O m q Y z d u e / s U i 7 c U Y Y n 6 E t T d T B F t a U p e o / 3 B U z R h I t O c 5 2 s d 8 I r F m Q j 2 t e Y k D C 5 K T t M E H 6 L / j 3 X h r x 0 6 5 F 6 0 1 t d E f K z p f r j 1 x 4 q L y + j H 5 4 8 w l u X n z M n u d h C n b + y w W I q X p X W 7 q W F C N / V G S Q k H X A w 4 b E v 6 7 v 7 + L y b h m Y 8 7 K p l r Y 5 2 7 e 6 N e + T C v j 1 i u 7 p Z D Q z P o e Y 4 D U x 7 B a L B a T e 1 V C V p i d 2 9 q c X s Z + F r 9 F f r z y 1 E s F D 4 3 H O 9 2 Y D J a t K / p 5 t h b K 9 J 0 s D A Q / J U 7 m T X 0 0 / d D X N 8 v F x X v D 0 o + z j K C v X Q P J x t 3 1 T R f J y i 0 U C m o V a D s x J M i 4 u L c v G l e F + o v j x F x 9 j a 4 G J H H Q h C 1 O 0 K u 3 F d 7 L I h 1 O 1 x p e n U 3 h i 9 v l t Z q + P s 5 g H A S w M + g S 4 S T 9 O + h o Q 0 y p o w Q c Z X r x n N M + X h j 3 F z 0 s e 0 l v R v v D 3 q p U s P f N T R 0 U a 3 h t 1 s a S N 0 a 7 S c P D 4 / f f d 4 V 9 5 z u K 3 T P 5 6 / a h T R 9 l Z 5 0 z E K h x M C 0 7 6 G G J X 6 U 3 w B p u j 8 f T 9 b q a h l H d T p Q m A C f e K 0 s N 2 s g 2 j p i x 6 g A R x o l O G B O 4 f X 7 F Z G b 7 s 1 7 K W q 0 j R N s w s 5 P L t y n Q x f i W M r R L B S A G s 9 I E L 6 d 5 3 o j N N X D / z 8 G S 5 C 7 P G H h x L s E s f p 3 K 0 B e d 2 R E + X L p I q W Y 1 z h z o b F 7 4 x 6 q M S T o g s M E / T J n W w v i J G R 0 R y Y E L T I B x M E V w 6 h b g 0 T p G H S w r J O g O n T u 3 4 6 2 J K g U E l K o D K + a p l w S P 0 F B E E g w L S S 8 L 2 v d 2 U j l q Y C f B 6 g S / 1 q z F a 5 P 0 k l 3 h T d f h A m v 5 + t F 7 t / + c 7 p d k y r n O L t o / K a V p q d z W 1 j S n C t / T O u b 2 j z X R b I G v K m p k Z r i e / 6 / B 7 0 M t C C y 7 b I 9 R 6 t 3 X V J u s n W R r 9 7 I a p e e 2 e f u n g 1 R A G f 2 u P 6 k I + 6 m 1 V D b k V J m t q 4 H v X u v i h V B m 1 h O k M I q X 8 1 4 K f T P W t b H h N k q K k i m f l t p d Y x 2 L X E d S 9 9 M 4 F m I i 7 + j U S d T a V y v h C M e b k r e 0 6 2 s 5 w 6 F K f 5 a G 1 O n c m 8 e P Q 6 u v Y s L C x Y W 7 P y e L M B h k T K R f c Z q H P 3 f N Q 3 q e 5 V s D L o J g S r 8 3 D a I x c + A P g z W 7 y W q h T V W j 0 e E k k c C d H k g l v c Q w j h c q 1 X 2 N 0 6 0 h q n l s r 8 o X N s f 2 t P d F l 4 f C 2 N h D 1 U t Q q s p u D o a e G c 4 D c A q O P H j 5 L H 4 6 U 3 D + 1 Y d m 6 3 W + J S z 7 d 5 + y R X 6 F i m w T Y f T F o 7 a 5 P k 9 e S 6 V g h I m P K 6 0 / S 9 A z F J O 2 u z F 2 l 1 K X 8 2 f 1 d b t b r o t Y s W Z 0 M E g K B X O m P s 3 q U Y L F m l M w z g W U 6 m R U E D M D 4 r n 2 A F 0 a u 8 d 3 x 5 B N F U i T f 7 m 7 Q Q l d Q u 5 2 p q q 0 5 l I p 4 Q z k + C C c a 5 C 8 + F a W Z m l j p q y / i V / O d 6 O 6 R t X Y f y V h 2 V d i Z c E E i m T J i g m f A C X z R z 1 p p S a W m p t Z R f s H p a G E 6 h B R c P a T b i l h w q Z 7 d r b s m d 4 3 b p d q e L / X 5 6 M K U g R P 0 L b u B K 6 m T w 5 y y 3 0 q 7 7 E x 5 x 3 z Y q N C 5 / z e D u q k 1 Q X b k 6 B k A 8 M T F J t T U 1 V F 1 d R a X g 2 T j H 2 y 1 t 2 z p U a f 1 R W l r K W i b I D p E W K v O V o V K q r 6 + 3 t n D d y Q q T 2 2 U 2 v m I o x E q f C b 2 1 N z c 6 B 9 d L B w b Q K R Z C Y / K B 5 j j d G V W W x 8 t c Y R a k N / f E Z M i 7 X Z c H v R Q y 6 n u m 7 q 1 h v Q r R o 1 k P P W S L V h l k a 8 w 3 A 9 Q R L 4 8 2 i r V G L 4 r h 4 R E 6 2 l 5 l 7 b 3 9 5 P r w y + s r l 3 g R K x k 8 W J C r B + F C 7 y h 5 m B O M w P v M S N 9 q A n z o c L q S 8 H U I E i b Y S K I e d m X A J 5 1 s T Q E S l w t B i h S 7 i S 7 a y R c y g h Z o 3 5 q Y z z 2 O V 3 b E q I I v e H v g E S H v l X p y r F d 6 V P D 3 2 b 2 d 5 v p l C S 3 K 8 I 9 7 v X 0 0 5 e 6 i B b 5 Z B e i R t f f 2 k e v D i 9 s P K F f 5 E b Z O X I F f I Q i R I 1 6 H m 3 W 0 P e u + a Y 2 N P K K G p m Z Z v t j v p Z l F N z V W J G m U K / o + N g Z o v C 1 U 1 4 e 8 N D 7 n k R C 5 r k e Z w g U s E S T W m Z 4 A x X i f v Y 0 J 6 r E s l 1 0 1 Z S k 6 0 h K X T r J a M X b 3 U D f b D J 1 o C 9 N i s l Q 6 7 u 5 r T E r 9 C 3 C h + e D W r d t U W 9 9 E / d N R / i 2 F 9 Y 4 v F m 0 7 l y 9 Y d 0 Q a I w u x T I A J l q C u J G x t y J W G C W C + 3 J m g k 7 v i d L Q t K U G J Q m A a D a v T H + G L E h A C m n f Y D U Q d R Q t u 1 Q v t 8 Q x M 0 N u 8 z + 6 6 l W G C p h b c Y u 1 M + f M E J D a q a y M V 1 M p 1 O Q R Y U K + C 9 P k s C Z b Q V K y C D r a U y / b t J N d H F 2 9 s 3 l l + D g R X T w c i T K D k r 7 U s s p Y b u A 5 z r D 1 / f W k z h N A z L n z U S b o b 4 x J W f 2 d f V D r E m m F z 6 L X d M e l Q i 7 Y s t B 1 h L J b Z U z 2 f d A 8 P r T / f C Y h r u R k C 5 D 5 P W v o I w j J 5 e f k d v p F g G f U p j K W q 8 M f I 4 5 q y 3 l H 8 c n 1 0 a f s A 5 a k 4 z J V n 1 X v c D E Z A 5 j J g w j W I L b A 2 6 x W A 9 f t X d 6 2 G Z t 1 0 i 9 0 8 k X H F d z U k J P R t H o 4 W d o M F Q / 5 n B q 6 c 4 S p k j B Q u e l h M B D Y A Q V + B P S v W I 0 D 0 n c 4 Y l f D P R g d g n N 8 P b 7 q 4 n h q l u r J J a 6 / i 1 7 Z y + Z a W s j 0 h T N l h g l C X a a 5 M S b 3 D r p U i f A + n 0 m x V i G 6 N o i 1 G f S 6 + z 6 7 h F W C C M J 4 K h 4 D h G + g d A Z e v o y Y p V g v b M b Y J a U d 1 q u A B h 7 B 0 q O M g 9 D 4 0 8 2 S K H L / 1 Q r 9 f h v + f 7 / M J Y G m + v A J e F 7 V U q P O x H c R n F w V a / M l V f j g n C J E D U R 6 h x w H m h 7 D X O x A Z X C l i 1 1 b j Y m u g e o 9 D u K j M S C B C y / j e m x q m V f Q x A 4 B 2 K m h / Y 0 J 6 i S M 4 A u H Q N 2 p l 8 J u e l P Q 5 R a 8 S 3 I j e 6 4 7 x 9 3 n o z g i O d X m Z F G P a N l 2 P 4 m w 6 7 P U m K A c s c 5 m l L 2 B T Z r 8 9 U 2 Y j r l b O Z 7 P Q E F x I f 7 u V h E G I u i F Y y 5 1 e v 0 v 6 N I R o 4 v T 0 N N e r X L S Y c N P 4 b D B v u R R b 2 h Y 9 J V y h Q 2 u H y G 0 X P y r 9 6 C p U q N C I a 2 q A 3 S v 7 W C b o b T P 6 Z 3 P 3 7 M r X T c i u E 6 0 z 1 t L W k H l O a 2 t r 6 Y 0 9 i F C 6 q c T F N w J b u R R j W l 7 i R a h Y T F m n F W W D C U K n V v t b F h b m r a W 1 h U + s L V v + u W b 4 e y 2 h N 0 Q + H W 5 V 1 r C z N k G V l Z W r T s T y r A R X G S 6 v D 5 N X c D 6 f D N L 0 z O Y H Q 7 a a G C g D r y J M 3 s p c 6 5 R j l V Y Q 3 o l G W n t H i F h 0 + Q W + U o C i o 2 r l B k 2 E y A u R n k L Z r u Y K D M u P 0 t 4 G 9 d 2 B + P C 6 r O m T F s 7 x W 1 Y X K k C 1 s w 4 L b t p b i 9 7 6 y 8 u o m B I e n i e e R 7 G m p S X V 8 d U O U m Y 9 D 2 D Y k o + 7 0 r L l n W F X C l D g u U w r 6 Z W d X B e S H u m r Q 7 D a p C z 4 b V q l n u w s s l t F D 6 b c d O n S V T 5 O F + 2 q S / C l 5 u I 6 Z J B a g 5 h J K b e M i i k V t c t X 2 X J w d e u U j x r W 2 3 u X a H Z 2 m i Y n c x s k / f 5 c i z E + O m o t 5 W r Z 9 9 g 0 N K C G j G N G W L 9 n + b 5 o N 9 J j o h 7 N r l 1 E e B Q o + v r p 9 2 w F o c 3 r 8 J F D c j M D V E G f a v x N p b Y W + J u t o n b 5 Z m d V A 6 P 9 A l / r g v d 7 3 f T D 4 + V c q a 6 h c + e + t L Z y H W o + t w 5 V 3 5 h / l C o u H O j 0 n f y N u 6 0 d H Z J j N w Q p j r f F 5 Y i 1 0 G 6 E 2 Z O w D W 1 h a 6 m 5 t V V y h O u r y 1 L S m 2 I r 6 L O + E E W j i E q 6 r O n S F F T I i z W 5 P r l y a 2 u c / S e g m G 9 / / m 5 G y F e A q s U 7 Q I f 2 N l l r S v M M E n Y P h b J 9 0 6 a m J q m m p t Z a W y 7 0 z b v + 0 L O u n h Y 4 I r Q / Q a / u i s k Y q d U 0 M T 5 O 5 e X l d H + m j A 4 0 5 4 J 3 d 9 x L f R P P P g h w o H G J S m m a r z U + n v E k N Z Q u 0 O L i E o U 9 F d Y e x a W i d f k C F W 3 r D k Z A d p g g j N Q F T N e v f y 0 N u 9 B K M K k 7 M k m v c y 3 9 n r W k O 8 t C l p F b V X X 1 9 Z T y l P J 3 p X M a b H v H P b S H 3 U m 0 W a 0 2 M c v T 0 M 1 H P m l / S / M P c i U W c A / n 8 1 m 0 l 1 3 x u n z R Z M W 6 3 b 3 3 L G s S i S z m N N S W B I O S H z 1 6 W B p 2 L 5 y / J J Y v n w K B b D 1 L R / N W a g y 2 6 + Z w d r 9 C w u t T E x P y M A G E 5 8 2 6 m D l l s 5 7 7 7 1 k J A K E x + 9 y 9 A H U 0 l N D 9 + / 2 y t V h T 0 d 4 q 4 v E 1 r J L N B G B 2 V L 0 l G C y V h t q l S E T W t d X R + s 7 J E 9 L 5 t a f n n s z 4 o 2 W H b D a S + x 1 r 6 T V r m m b I 4 1 7 l 2 C 3 V 1 N V R d E n N 8 T D 8 c F B + L 4 5 B H z e E e S m e p f A r s t F K F + 3 e v V O u P T d t n Q D K Z q p o w + Y F u X v Y 0 V J 3 0 / L o k 3 7 V t D q m 9 u 7 t k o Z V z I Z 0 6 d K V Z d 2 P U H 9 K J g p z 9 6 A g W x s E F h D l 8 x d Y / Q m U l E j e 0 t b O P 8 c l o M O i 4 i e j Q y w g L Q T O J 6 f s d + t x U z i v w d h 0 T n k V S y p K l 6 + 0 v l v c P b v y g s V n o b I 0 t c w K 4 f 0 B y 9 V b S 2 V l Z X T i x A t S V w B c p 0 9 / J o E M 6 M N v l r t 7 q 0 1 M i d D 3 y f a s 1 d u o P r Y a h d G F C p N l P k u p 0 4 5 Z c K 3 L T V a x c X n Z P e + p K F 0 + z O 6 1 q m W y 6 Z X O h F g h M y x u n y 9 i p c + a n c n t S w e 4 T p 1 6 Q 6 J v s J K N 6 b v L 3 r v W Z C k l l t U p R O g z C E u E g Y r I d T J 1 s C k h w z 8 w z d n T l P x u + U o u C / 4 r 9 z j r E J 7 u k T w 9 F W X n W H h e h c J k V v 5 L G Q a 4 b f k C D r p t y f 5 a Z d X K M / y g F 8 W L R / f I e y J c r 9 E u I Y 5 t 1 c O z v q s Q f W s N g 8 e o X w T P z J m Q M I I W w j Y M / 3 i 5 M / 6 U G 3 8 B k n U 8 k q n l V J q P A Y t W e R V T K s r h G y m j z 8 5 a Y O H O r Q V o E I x A P S S N Q s 8 j P R I X v S S 0 W 4 n 2 o N U E 6 4 f U P 5 6 m v / v N a Z o e v M Z W x L / u W V 5 N j Y T d 9 M V 9 v 4 T G k f S s s U t x n A G l 4 2 0 K Y M x 0 d P W h l w a n P b T T m K / i y Y u P h U + / K o M M W r w V x 5 g m T 4 T r U b J e R O n 0 t W 9 X v + K e Q 0 X c X W I V 7 G H z f H D h r o 1 p w s b H R q m + I b f n A 1 z A M n b d Y F n s w z M g f J 6 2 X F o z 0 9 N U U V n B L m O 2 n o S v / e Q b F / m T 0 7 T k U 9 8 R C U + Q N 1 h B f 3 F k Y 6 c f M y O N P H z A v z F J 7 u o u 6 h n z 5 Z 0 t S S v g V X M / P E 3 h / C S T C U r G 4 3 w O O c W j F H B H 6 W D D P E W W l q S z c b q 6 3 d q 7 O F S U L l 8 + c P J t g z A 7 E G S H a S 4 c p g t D N b K c D y b I D h N U V V 1 N 8 7 Y Z Z i O L C / T u w T Q d b F F D 2 k / s i F G w o k 4 O 9 1 K f 2 m c 9 g m W 6 d v U q 9 f Y / p I 6 d u 2 S u v h Y 8 v t N 6 H b L P u v S 0 Y c J d R K w 8 c r F N 6 i / m G 0 y g h z 5 v l w Z v H F Y R J d e Z 6 8 V l o Q J V H T Q 5 7 R W r Y l q o l Y D S I 2 A n 2 W 2 r N W a G h a L s H d k f p a k F 4 E I V + b v P 4 L s 0 b D g G M 8 C B Q A X q V n j m 0 8 N p N 0 0 8 G q B D e x q p o y 6 7 T y w W X d Y R 1 x Q i i Q h + 4 L P x P U j o Z X F 7 1 E e V J W x t 5 9 1 q d i T j K S B P W z g H s J 5 4 E B 2 s E 5 o P E v G Y p F Z P D 1 v y W W p q a i B f 4 y 7 r H c U h L k U D r y J I i Y R b C n M l g F a S H S b I h M n + 5 A 0 T p r H R E W t J y b R c 0 1 O 5 M / 4 A p s 9 u T N C 9 g S l a Y m D b O 9 r p 3 O c X Z K J M R O c i X A f S M G E I e T 7 d v t 0 j O U D V j b i h Q I p e Z s u H y S 8 P t 8 S f K U y m x C 5 Z 5 a F T S 3 M T u 9 K l 1 h C X 3 P J 7 3 l P 2 t l g k S t H K d / Z C B Q t h C v U x W A R I B y J M N T S q / n 9 T k 5 O 0 a I G H H g y 4 2 G v r 6 u U O b S r i a 6 X 9 n d X 0 Z l d c R t / W d L 1 F k / P q B o C H m m l V s / s I i z Y 0 N E S P h k d o + N E I f f j B J 3 T w 4 H 5 r D 6 K B s U U B c S j M V p k 9 q Q t 9 f v r a 6 M L 0 T I W b m g W R z i t 8 C z Q z M 0 M N 9 X W 8 / h h R m S 2 q o q t D 5 b n e 1 y 2 7 u 2 X O s b f a f O Y 1 t b U U K F H v R Q 8 G 3 Q c w Y X S O R S T O n U 7 I k w 2 h B 5 N u 6 a 6 S 4 s o 7 3 E 9 z 2 P v o b I p 6 e n q p t b W V G t k 9 w p 3 9 r b d e l T n E M d k l Q H o Q U U M 3 0 B k W 0 3 g 9 T u R w M 2 V a J J 3 4 D 8 3 G g m y l 1 U M U 0 o j G 5 i n D 5 z m 5 E c I s p n + q 3 P h P g T I b W f E + W I R w e O M 9 F S b H J 6 y l r A C o P q a L D 3 L 7 1 u 2 o T d G r O + e p P K i O o 3 / S R f / r d x f o 7 3 / z K Z 3 + / A Z 1 d + + V 7 X A j Y R 2 l W x G v f 2 4 9 q l R r p e H y z 0 w A J p P 0 8 B m V T 0 1 N 8 W 9 J S z 3 X L L t i + F d 0 L t 9 6 h W c m a c W i S 1 L H q a i o l P W R 4 e F l X Z L s s g / N y N e z 3 M 2 f q Q X L k n L l Q n z j y l V 6 b T f 6 H h L d 6 F 2 g n 3 z / B f r F T 9 6 k n / 3 o m L W X A i p i P e D t 7 M 3 l x 7 T a c P m n r V y Q c m F K 8 0 2 h o b F B 1 v G A t m J T 0 b l 8 u C g 3 K j x E w F R T S 4 s 0 y O o e D q Z 0 l y M T I F w w Q e s h b L B 0 o 4 + y j 3 P R g Y r D V Q / o 3 X 0 R m p u d l a d 3 9 I 0 l a C J w j P 7 v h 9 f o 4 2 s L 9 N 2 D L v 7 O 5 T 3 E 8 X l o E 4 N S v q 0 6 O E + D Z A J k b l N J I r C c l 2 G O D l v 5 P e / J d f b r u 1 v o 3 v b 4 S g a 6 a G E h J o W m C x D S e T 5 1 u L 6 m / f u V a 2 X K H v K e n J i g 2 j p M 4 b N x 2 T 8 T Q r 0 H 3 Y b i s R j 5 j P q a F o I i a N t K l 9 S T 3 7 V E 5 x + E r F e 2 n u S c p 5 J y A 5 B G X Y T L j b B 5 n N P x 5 j D / 1 i h F I k s U 6 j x k v b M 4 V H R d j 6 S C s U 4 B p k 8 + O W O t Z W V v o N U w 4 c n v h W p + P v c z 8 g U 1 9 A D W l Q I e C I o s U j V d H f R t a Z i U t C V i C 8 U 3 D 3 1 T Q 8 L N B N t x 0 a E O B S t l L 7 / n P R V l T 4 m N 6 N C J d y g c z n 0 O V E W l q k u Z i i 1 x P c v r p c h S R C 6 S G V s 7 k 1 3 l 5 S G a 5 U p 4 I T K f K G 8 K c w R + M x b c U v W k f B J w B B Q N k g U V J w W T e n 1 g 4 K G s L 7 G F y l t + z 3 H K f 0 t 8 j u V K L W X q K + v R 9 S E f 1 4 e W u 1 t 2 u a 2 L P l g S F L e m y p h b A m 1 Q Y W M E r 1 Z l j e r C N D e X B X Z w 4 I F Y O l x k e u w U h C B I e H a G 8 w i d v e e n o c k 4 f f 0 o P 2 h b S a r O l I V G I O J l B Z e V L L h a W p o E q I X F 3 M b y Y l D R h c 3 F h 2 V t B K p g s I T 6 + h 7 I s o 6 o 2 W X 2 6 7 P 3 8 c P w j 3 z u o B 7 y U V Z W L p 8 L 8 N o 7 d o h F w n F i 7 J Q W 2 q w q K q t o K e a m W N x F t R V u e c L h c y G 2 o B o e A c k C S K w T c t m O u l V K b k Y h / t 1 m 2 R X D v 6 K z U O 7 4 0 L p h w t M C M V 4 I 2 r l z B 1 u I M I X n 5 u n R o / w T W W r Z u x V B I Z u b + J A t k Q 6 9 o 4 6 E K C D A M z X y a F j y J X Y n d S S v M h S g 0 k C S v u x b 2 2 p u F e W C p K y U s l g G V L Z U b C r K O l Q + o F a D D B N L l v q 5 g K 0 6 C o Z f V F a E q L m 5 k T 7 7 7 L z c T a E l r j e Z q m Z 3 b 8 7 W C G y 3 W m 1 s i U r z D K W H 1 Z o Y G 5 O L S v d 0 t 4 / U j c b d F E 0 + D + 6 e c v M 0 T C p P S i 4 d Z P V 2 X k Y + v Z C i a 9 d u c D 2 U b z R G u R V D 4 v t y n q 3 P f V K 9 v Q u 1 V J h U s t X T J 9 M H a / m t i V n e e O O k X D B Q C d e b 7 A p V V E q I f m x k J O 8 d d 4 g t V L 5 g A y J 3 d Q 0 N y y K J p g 6 1 F B 5 N f F b K W C C B x r J K s p 5 d z r 6 u o B p m y 3 / g Y D e F a h v 4 E + x l 9 3 y n o g u b I 6 H g t A q B 6 v x 9 P 9 d p 2 m R E q 5 Y Z w s Y 8 f K s J V q m h q U n e o + G D h h 8 + p F a 2 U B C G h 0 A x d v 8 w 9 A M g o b 6 F J 6 b n g w r W E o 8 E 3 f I C O B o e W C Q L H A W P W k c u F k t S S m a K W l x Y p P r O / X n L 7 3 l O x R k 2 5 0 I s 1 D p B Q G D R G I + H L k e m P F 4 F W r 4 e E 3 b h e y M L C 3 L h Y G Z X L T 3 3 B C w f L s D y U E g s F y K L e A 3 b M H Z I C 3 e 6 z 3 u 3 e v 3 J g i l j f a x c I I J 7 p w A S k J I 6 T 8 o I a X T x c u F H 6 j I r k l S U L p / P i 0 6 y y 4 e n r y Y 9 a y t m D 0 J h m z p 5 8 m W 6 e / e + B B e G b b D l U 7 C s T K y V d h s h r 9 F F y Q x K 4 I K D c K z o 8 4 d B j X A 9 0 Z M c E 6 9 s W Q l I F k w A y I B K w M p s U / U m b Z 2 Q 3 + g Z o Y k J B H R y y 6 0 Y U t F F + a B S D 1 / 0 X J h 2 r Q Y Y h l D g Z b T d 2 5 + q g Q t n z 5 5 d M i a q I r R 6 P z p 0 t 4 F G h o c k h / B + U 2 Y f P 8 A 7 P a e i g J i T / O x d 9 b T 2 r S 7 8 I g 2 P A G T B g l y W 2 R K p p L Z r 6 4 R h K k u u S q 6 P b r H e 8 Z u k o p 0 5 F n d G w Y N X C r F U m B k I 1 z 3 6 1 W E K Z T S 2 z l l 1 G x 3 l g 8 r K y 3 L W 7 Z q L K k t U V V 0 j g Q o I F 5 w p j G c y V R 0 K y P C L 3 o n H j + g V 8 F M f W 2 K Z L H C y 7 p 6 2 R B o g Y x k g S Z 6 Q 5 b T L S z t f f D t T V s W U i j T K B z h Q 2 L m W Y S 3 p Q X / o N T E 9 O U E h r u d A p g u I z / z s 0 y + s N a y r C V D g o n 1 8 2 0 8 3 + L 1 z U Z e M W 7 q 7 0 E G j M 2 l 5 f + / A u F x M M 1 N T y 8 L v d 8 e 8 7 B 5 Z K 4 + p d f 7 k d U l A k v P K o C B l o D G T B Y 8 t h f x x u R H B g g M s D I H P V 2 7 P e y p K l w 8 q 9 c f k A u b L Q G 2 w t J q 1 G p t T p w N z 2 5 m P q z H B H B 4 c p P I y 5 a 4 M z X h k y m M 9 I T / c x S W G C 1 H D c 7 0 + e U z n j U c l A l v v Q h v 9 q a e U v p l p l H n I I V x g O M a x s d X 7 A 2 4 F y T k A U B I a t y y U Q K W A 0 V Z K J Q M u g S h J U / N Y V z B h e 7 G q K M P m S K G S B S 7 k h B S + M s f Y W r j u z a r + d x A u J l 0 n w t M H u / b s k V 4 N s C w r a T H m l l l d 7 Q Z j P u o W w J B g u R C I 8 J Q 9 3 p C Q p y m c i w w 4 D E q u m 2 f B J D c K 5 d 4 l Z b + E W C Y 0 E y C v q w n l L b N i S M U Z N r e S C t s m e I H X 1 6 l R t l Z 9 9 9 S 8 5 L j w v R 4 v D f b 3 C 5 i Y e 2 9 x c Z F K w l e s v T c m Q A U d s 2 Z 4 3 e o S N y 9 t Q G R Z K L O N y V x W Y G W T c v f i 9 O a p l / K W V z G k o q 1 D I Y X K r I L k A j Z V i L W C 8 9 e 2 c 4 + M q o V K y 8 u p p b 1 N l j H s P V R Z Q 3 P l L 8 j 6 R q X n I T f n I 9 9 q U h Z J g 2 M F I B i k b D j c T A Z A A h W W L e s k M K l k L 6 d i S k V b h 4 I q g t F M I a L w 1 + P 2 I T z x a B a N j + y 6 3 f y a J s b G 2 V J 5 6 Z s b 1 2 X Y u 8 + D i 0 3 t u 1 G Z 8 5 C j v r X V B J h U F E / D Y w L D 6 y Y 8 1 r J y 8 Z Q 1 y k n W q N 3 G x p U f r l A M K t q w u U 4 k w w V U o e I C 0 S o E L l z k 1 d U 1 V F F V R X U N q t d D 9 + E j k m 9 W V O 7 K o J f G 5 t 3 U 3 b T V 3 D 7 A l E 3 K 4 h i W y E w a K m t Z Q 6 V v Z j j 3 a j l O b 5 1 6 Z V k Z F V M q a p c P a U c z F y T u j l y Y K F S + O n h 7 Y U L Q A X M 8 N D Q 1 Z 7 o d T V u j b 2 / 1 r N 1 j o h B N z H u o p n R 5 I / S z F a J 4 y j p l A T J B 4 m U N k Q W Q G R L X E C E I g f O m 5 5 X A z S 1 f G R V T K m q X T 0 s q y r q Q e b l Q 9 U 9 5 K B Z P y / N r M R w e d 2 o 8 p R C j c r v 3 t F h 7 P b 4 u D / j o 9 J 2 t 0 m 8 P 1 o h T T s D B h M o A y 4 B K g Z Q L l p x v v p E B q F Q i R j / 9 F 3 9 p f U f x q q i j f D r t 7 q C M D 6 8 L G n A U 4 v a d u V d C H Z 0 7 Z R n 7 o 0 8 e 4 B o Z V C N 7 N 0 O z E T f F r X 5 7 q J v 5 v U 8 / S K F c O w W M u g E h 8 b r k Z l L g I C l 4 s t s U Q J z E M q n z L Y + y i a N N k C 2 U U S b F m t x q 4 G 7 x / + M S z R S 2 X B C 8 X i h U C G + j z n T n m 1 s y n 9 6 9 O 9 9 S Z X U 1 n d q z + i S Y h c j + 9 X E 2 o L 6 n 5 T c I R H D v G C L J d U T P A E u W 1 f l S S a 1 L P c l K A p Y 0 2 v J 6 H q g A 0 y / e / 6 d G a R T v v 2 3 h 8 k F 7 d / p U X S p T y B q s w u o v 6 G u 3 7 8 B B q q 6 t p d b 2 D n n 6 h m + V r n c N J W F 5 C s a x t h i 1 V O a 6 m U 0 V K T r W q i b V L G F r 9 N 7 + K L 3 Z l R 0 / Y j 4 5 Y 2 3 c N y 7 Y Q d 2 N K C e K p 0 G x c g W K T g o Y L G d v U C r H e c 1 Y J i s l 2 N W j 9 P P R z r Y Z 2 j Z A Q e g 5 I T 6 9 + P V 8 I f D F I i F h v j s X I t 0 Q i 3 k h 8 B 5 M q P K e 9 X w p u 3 Y 1 l 1 B z Z Y o a Q m m q T v V n 5 q y A 8 D j P a 0 M + a d B F Z 1 x 0 X / q y 3 5 d 5 v K d Z K E / K + Z P f L E l W M n W m 5 Q B Z 2 6 y U G 8 F T u Y B l J g s s u H p J B u o X 7 / 9 Y f e k 2 k O v L u w N P q s y 2 p G 7 2 L J L b 4 5 f B f R 6 v j 9 x u z j 0 e d r 2 4 O m m M 0 l 1 N 7 c E x 6 u 5 U k 7 F M j I 1 S q q S Z S g M p i d h F o g n + P J 8 8 p 2 l 6 c l I m b b k 9 V i J t W o W o r j x F L 7 T H 5 T o / 3 R N Y 9 T G f G 5 W 4 d 5 K U Z Z J l W C j T U l l 5 r u X C b E W G d T I A E o h Q X 2 K A E r E o x e O c o h E q L f H S X / 3 0 R 9 Y 3 F 7 8 Y q M F t B d Q 3 P W F K p t G H z i d A o b E W c O G Z u A B K w C q g X g X p p x / i g s Q Y J 3 / A T w t z 8 z I Q c R f 6 + 0 U i N D e 3 Q L 2 L r d K H b z 2 C G 6 g P 4 w J b r 3 D k 8 Z 2 J H J B M o K y o n o Z H 5 S Z Y g E i t L w N K Y O L 6 E l s j b Z X i s S X O o 5 S I L t I v / 8 0 / t 7 5 9 e 2 j b A Q V d / 2 a G 4 b G A g q V i u N B J F V B h p G 0 G q g L B g l 7 q i F N N m a q P n T n z G b 3 x x q t 0 9 e o N 6 j 5 w g D 5 / s D m T + 7 d V J 6 m z I i x z W G D o P F z F l Q R g c K G r C W K 4 i O W / s k R 4 T Q G U h S o L l A J H w y V J r J P K d V Q v A b A A k r Z O s E w S 0 W P L x E A h / d V f / 4 B C o d w p 0 4 p d f O X w 3 2 2 W j h y o 4 o s A d 1 T r I r A u C k n 6 4 s G F x 4 m v O H 7 T 2 v p q w C f 1 o d v f 3 O H P S N P M T F h G + H r 9 u V O D r S U w / N o u Y 4 I L V m N F k r r q E z K 8 5 B v + f A j f F f S l M x O 5 H G u L C 9 Q Q g A E + b r c 1 L k x H 7 + S 3 W a B k I I G l U e v K + t g t k L W M o I P k f L 5 0 b p 0 z Z Z m Q 1 M M A 8 C A A j y t N o Q q G y X b u i z 2 5 L t 5 7 u O 0 s F H T j 1 g T F U 2 6 x T l K X w j A K d v + y l k q 7 g K 5 M U m d t d b 3 U O E I 1 N d W y j B 7 p 1 + 7 O 0 o K / E w Z i U w Q g z B m Z l g m u n G T 8 V 5 Z h h T j h B o E 8 x y J h O 8 N k v Z 6 9 k a h c r W u r h K S g w r L A x M s q 8 B C X O l M i h h s U u 3 t s n X 7 1 b 3 + u j m e b a d s C B X 1 1 d Y R t t B W c A F i A C X U q C y p X H h c w C 9 f K 6 q p P U m v 5 A p 0 + c 4 5 + 8 I P v W l u z w p w R 5 h y A m y F t l V R m g S N 5 m g L e J E W 4 u o d t h b t 6 n A M i A Y o h w j Z Y L s t S Z a y T B g p u H k O V 5 P S r X / 9 M j m k 7 y n W x d / s C B V 2 8 P E w u R P 3 E O l l w M U g S + b O A W g 5 V 1 n K t J F x 0 l a V u q o n d 4 j q P j 5 q b G + R z P v 7 4 L H + u i w J N x 4 n K 1 M j d Q q W g M a X W s x B x w j a 9 r K F i O P S 6 W C B r m w m T v C Y A Y V 2 B p I H K u o U K J g l C W E D B x Z O A h A C 1 R C + / f J S O H O + W 4 9 q O Y q C G t j V Q 6 L d 2 8 f K Q w K Q j f w o o r A M m 5 f p J r k E C Y P i X A Q w Z 4 M o P m C e 1 S H t C j 6 i 9 v d X a j + i z e 3 6 K G M M 3 1 h I g A E A q y x Y Z b 1 G v A Z J M 0 g C p Z a 5 J M Q j L Q c o A J h A Z I G F 5 F Z g y 9 S Y J k Q M o F Y j w + z z 0 / q + 2 V 1 T P L t e l b Q 4 U N D I S p v s D M w K U c v 2 U t T I j f x o s A K E s F k D i u g x y g I T / s g 2 Q 6 F w J F z I i g D p o A O l G Y r v U 2 3 L f a y 0 I P O o / Q M m F S L Z m 1 g G J l e t t G i C 9 D G g E q N w w u S w z Q K o B N z d A g f V M 7 3 F Y J a P N y c 3 f v 1 3 r T a Y c o C z 1 9 U / Q 0 M g 8 Q 6 T c P 9 0 2 J W C Z Q G E Z l g q 9 I D O u H 8 A S j B R I 2 K Y 2 s G R J l s t p m r q b Y j I V 8 c f f 6 u i f d f p 1 K c j O l s C M + m P l + G u t 8 7 J e z 4 K E b Q Z E B l g Z k G S b A k i 2 m y A J R M g B k G G h d I Q P Q M W z d S d t m T A s 4 2 / / / b + 0 D n p 7 y 3 X p / j C X g i P o / I V 7 8 i Q O 0 0 q p X F m q L E w A L A t T B i I r C U S S Y 7 N F C O f l g b Q 8 / v N w w y x d 7 P d Q 3 B V S r 7 G k E A C E J X N d Q O E t T a E E D d 0 + R / G a l 6 g y V E L 7 G u L 8 s S m 6 / M A n + 5 g g V Z c m 6 R D D e 6 b H J / s k E m q 7 h k q A 0 h B l 8 i x Q 2 j I h h 3 u X t U 4 A C Y G I K D W V R 2 h g I k 2 / / g / v y 3 E 6 4 m L + y g E q R 1 + c v 0 u x B O V A J U B p q B g g g c m A K w c o D Z O 1 j P / 4 g 0 1 K a u G 7 + 6 L 0 2 0 9 u U H n b C V m 3 E B I p j t Q 6 e r S 7 X A o U P F r n x V d O 0 m I s T d V B g G F C h L Y m v c x Q I O d 1 w H L r k Z v K / E l a i B C N h j H a O B e o R G y B g g E f L S y l x B r h / d r F E 8 t k 1 J t S 8 S X a X b c k j 0 8 d D g f o b / 7 d v 5 b j d K T k A J V H 5 y / 0 U C S K 9 h 6 G y W u F 0 7 H M u b J O B l g A R + f a W r H s U E k u L 6 g / 6 W S c 6 o P z d K S z V C b K R C F 8 x Z b m x I 4 Y f X b X y 5 / p o s 6 a J O 2 s R U / t t L R p X b 9 + k x p 2 v 0 K D M 2 5 6 f V c 0 A 9 J y o B R I y h L x M u c f f P A n e u / d U 9 Q z 6 q K 2 q j h N z C x R V R l / D y U o i u c G 8 2 + 7 c + c e U W g X j Y U V U C Z M S G 3 l M 9 L J F w / i H l s M 0 v t / 6 1 g m u 1 x f 9 T l A 5 d P d n m F 6 M D g t Q K k O t L l A Z V 1 A D Z S G y g I p A 5 M C S Y M G m D K L L P R 2 q C 6 F R S F 6 F P b I c I 5 2 X x / N u + p p X w u m d Q Y g 8 l f 6 B i Y S S R k 1 b I K U g Y j B U X U m D Z T K z 5 4 9 R 6 + 9 9 h 1 Z R 7 T v x o 2 v 6 c C B / b K M u t L M z I w c S 6 A k w F Y s S V 8 P 8 Q G y 2 9 d Z v U Q L M 2 M U c 1 d Q m T d K M X b 1 I o s R G p 4 P 0 i 9 / / Q t 5 j 6 N c M V C P H K B W U D Q a p 7 O f 3 m J g A B Q i g A o k u I E Z S y V Q 2 S 0 V i F F 5 B i Q s W 3 l W a p s q g G w x e N 3 p T P c j Q J C B i v + M j I z I 9 + j d M e n + + P g E 1 d f X U i B Q k o F I 5 0 h z 8 / M 0 M T 5 J o Y p y e Z r i z Z u 3 q f v A P n n f w j y 7 e y V + K g 9 V S J e i 8 d k U h Q K w S A l 5 y i L q T b F Y X J a X o k s 0 n a y n n 7 / / E / X l j p b J d d k B a k 1 9 8 O F l 6 V G h 3 D 5 l q X K s l I B k J Y n + W Q m 4 W M s C j y I K f 5 T w s r W Y K Q R r 4 f X d U Q Z V Q Q Q h x z 9 e w H + 1 b q W + v n 7 q 6 G i X Z d S d R h 6 N U F l Z K U 1 O T j F o d e L O Y b m y s k K s U n / / A + k e F Q j 4 G S I V i J i d n W E L V c I g J S k e V w 2 3 s T g a b u N 8 Y 0 E g I k 4 d R 9 + m A 4 f 2 y v E 4 y i / X 5 X 4 H q E L 0 4 Q e X K J k C M M p C r Q g V 5 x 4 m I Y 1 + x w Z I e l n 9 x 7 I l Y 1 H D h A w W y o 1 g h E C k A M I C M h M m p J m Z W f 5 + l 7 i C q D O h v o X 6 D x 5 h q g M Q s D i 9 9 w F e m 7 i F c P X M B E u k E 1 x A / B 5 Y J V g n P O f q v Z / 9 j R y b o 9 X F Q I 2 g p B w V I F y 8 / / C H C w w N u 3 y A S u A y o L K A U h Z K 5 y D I y o G S A K Q o U t t y B Y g O N M W p M q i K R a B R C x m A 7 C n C d a v Z 2 T D V 1 d W K h b r 4 5 V f 0 4 o v H Z P 5 1 d H s S o G C J A J d V b 1 p Y m J c h I L B Q g A 1 5 g i 0 T 6 k n I 8 T g f t M X h Q d p v / e R f y b E 4 W l s O U B v Q 7 3 9 7 j t I M D F x A V 4 6 l Q m 4 A Z S 0 r k L I w Z U H i 3 G D q x Y 4 Y z Y f D l I h F q L E R D 3 R W Q O k 8 k 3 g 9 z t b j y p U b D M 5 R e R 3 B C o D C e 8 r n A y J Y F 2 z z e N y c W 5 a K 1 x G l 8 / s x G t i C y U r Y P 8 4 5 3 D w c 1 n s / / x V / F t f X H B U s 1 5 U H D l A b E a 7 z / / e b s 2 i w U m D B Q l m W S s A S o C y w A B C A 0 j A J R F h D J n / p 5 R 0 x a f T V g u s G t + 3 i x S v U 1 t 5 C b a 0 t A p K G C i D c u H G L j h w 5 x O u A B d t V D n D s C S A l O U d d C F Y M A K G + h D z O 9 S W M M p b 3 8 n 5 4 O v 2 J 7 2 + f e S A 2 U w z U q A P U Y 2 h q K k x / / u Q r B d E y o A C T A i o H L A s o + W s B h Q F 5 e x q S l q u n 6 j i P R k a p i S 0 V P h f 1 o i g i b e z e T U + H p f c 6 r A k C D Z n u R X l g A k S q 1 4 O C R 8 O F 9 8 a i M V m H R U I O 9 + 7 U X / 9 S j s f R x u Q A t U n q 7 R 2 k y 5 d u C 0 z 8 J w t X B i w D K r F U e B d y t X y 4 c Z 4 G B 4 e o s a l e R v q i f U s K h v + I k y e W S T 3 5 Y 2 J y k k Z G x u j Q o e 6 c d i f d D q U 6 t l p A o c 4 k 6 w w U Q A I 8 v A 1 W S Q D j Z c z i d O q f O T 0 e N k O u q w 5 Q m 6 r 5 + U X 6 / e / O 8 J l l o D I w Y d k A S p Z V E l k 5 g h F B P S O z V S o K J g a J A c D F 7 / V 5 B a A M S L K c t U h Y R / 0 K n x l j N w 7 f C a D E v W M X U r t 6 + P i G p h Z 6 6 d 1 / o r 7 I 0 a b I d X V g z A H q C e n / / P 0 f G I Q U n 2 U N l k q 4 2 B V M u V B h S T r P t m S H e W i g e u 7 2 0 u 5 d n W o b Q w O 3 D f U e T N g C k C b Z a k 1 O z d C u n Z 0 Z C y W u H V s k v T 9 g 8 / v 9 9 P a P f 0 F e / 8 o T v D j a u B y g n p L + 9 9 / 9 j u t A C Q V X B i Y N F / a w w L L y v Q 1 x C k j P I 0 F K 5 V Z C Q y v y g Y F B 6 u z c I a 6 e W C e G S L l 5 q s 6 E h O + a m 5 u n d 3 / y c 6 p u 3 L w H H D j K L w e o Z 6 A H f Y N 0 + p M v + O K H 8 d F w 4 R W r 3 m R o d 3 2 C / G 5 A x a 8 w R O L i c Z p Z S F H A n W Q L p S Z u g Q u I 1 y C 4 f P u P n 6 A 9 R 1 / m j 9 S g O n o a c l 0 b H E t X 8 K 0 w H M 2 6 G Y 6 e v t D d 5 + y f z 1 N f 7 w M F h v C j A B H L J B t k T b b t a U h J 1 y A 0 M r / 8 z v e p r m V 9 8 1 M 4 e j J i o M b T J f F F + m / / 9 b / Q f / x P / 5 k + + e g D O n T k G P X 2 3 q O J s T E 6 9 e O f W r s 6 c u R o L U l T Y p r 9 h u G H D 2 m O f P T a u 9 + n y u Z W O n 7 y d e r g C q 4 j R 4 4 K l 1 g o a 9 m R I 0 d r C P X V / / k / / j t 1 7 e u m 0 e E h K g k G x S V H W 9 7 E + B i 5 r j + c c I B y 5 G h T R P T / A X u j Y q D q F A v j 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 G u i d = " c 5 c 8 c a 4 5 - 8 9 f e - 4 8 a a - b d 5 d - 8 7 9 6 b 4 3 4 6 4 d 3 "   R e v = " 1 "   R e v G u i d = " c a 8 7 0 e 5 d - 9 6 5 c - 4 8 a 9 - 9 2 1 e - 2 b b 7 b 1 2 9 4 8 4 0 " 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E2A6FC8F-2EED-4E3E-81C1-A9D87AB8C111}">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0A71407A-82D9-4623-8889-EE1A9D6922AE}">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Portada</vt:lpstr>
      <vt:lpstr>Captura de Datos</vt:lpstr>
      <vt:lpstr>Resultados</vt:lpstr>
      <vt:lpstr>Cálculos Línea Base</vt:lpstr>
      <vt:lpstr>Cálculos Zona DOT</vt:lpstr>
      <vt:lpstr>Escenarios</vt:lpstr>
      <vt:lpstr>Constantes</vt:lpstr>
      <vt:lpstr>Cálculos auxiliares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Sayel Cortes</dc:creator>
  <cp:lastModifiedBy>Sayel Cortes</cp:lastModifiedBy>
  <dcterms:created xsi:type="dcterms:W3CDTF">2016-01-28T12:48:26Z</dcterms:created>
  <dcterms:modified xsi:type="dcterms:W3CDTF">2016-06-21T23:43:46Z</dcterms:modified>
</cp:coreProperties>
</file>