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ashwi\Downloads\"/>
    </mc:Choice>
  </mc:AlternateContent>
  <xr:revisionPtr revIDLastSave="0" documentId="13_ncr:20001_{3E7ECD42-0A58-43AF-BDF2-F60723446DDE}" xr6:coauthVersionLast="47" xr6:coauthVersionMax="47" xr10:uidLastSave="{00000000-0000-0000-0000-000000000000}"/>
  <bookViews>
    <workbookView xWindow="-120" yWindow="-120" windowWidth="29040" windowHeight="15720" activeTab="2" xr2:uid="{00000000-000D-0000-FFFF-FFFF00000000}"/>
  </bookViews>
  <sheets>
    <sheet name="Selling" sheetId="1" r:id="rId1"/>
    <sheet name="Holding" sheetId="2" r:id="rId2"/>
    <sheet name="Transaction History"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8" i="3" l="1"/>
  <c r="R57" i="3"/>
  <c r="O57" i="3"/>
  <c r="M57" i="3"/>
  <c r="J57" i="3"/>
  <c r="I57" i="3"/>
  <c r="G57" i="3"/>
  <c r="H57" i="3" s="1"/>
  <c r="F57" i="3"/>
  <c r="R56" i="3"/>
  <c r="P56" i="3" s="1"/>
  <c r="O56" i="3"/>
  <c r="M56" i="3"/>
  <c r="J56" i="3"/>
  <c r="I56" i="3"/>
  <c r="G56" i="3"/>
  <c r="H56" i="3" s="1"/>
  <c r="F56" i="3"/>
  <c r="R55" i="3"/>
  <c r="O55" i="3"/>
  <c r="M55" i="3"/>
  <c r="J55" i="3"/>
  <c r="I55" i="3"/>
  <c r="G55" i="3"/>
  <c r="H55" i="3" s="1"/>
  <c r="F55" i="3"/>
  <c r="R54" i="3"/>
  <c r="P54" i="3" s="1"/>
  <c r="O54" i="3"/>
  <c r="M54" i="3"/>
  <c r="J54" i="3"/>
  <c r="I54" i="3"/>
  <c r="G54" i="3"/>
  <c r="H54" i="3" s="1"/>
  <c r="F54" i="3"/>
  <c r="R53" i="3"/>
  <c r="O53" i="3"/>
  <c r="M53" i="3"/>
  <c r="J53" i="3"/>
  <c r="I53" i="3"/>
  <c r="G53" i="3"/>
  <c r="H53" i="3" s="1"/>
  <c r="F53" i="3"/>
  <c r="R52" i="3"/>
  <c r="O52" i="3"/>
  <c r="M52" i="3"/>
  <c r="J52" i="3"/>
  <c r="I52" i="3"/>
  <c r="G52" i="3"/>
  <c r="H52" i="3" s="1"/>
  <c r="F52" i="3"/>
  <c r="R51" i="3"/>
  <c r="O51" i="3"/>
  <c r="M51" i="3"/>
  <c r="J51" i="3"/>
  <c r="I51" i="3"/>
  <c r="G51" i="3"/>
  <c r="H51" i="3" s="1"/>
  <c r="F51" i="3"/>
  <c r="R50" i="3"/>
  <c r="O50" i="3"/>
  <c r="M50" i="3"/>
  <c r="J50" i="3"/>
  <c r="I50" i="3"/>
  <c r="G50" i="3"/>
  <c r="H50" i="3" s="1"/>
  <c r="F50" i="3"/>
  <c r="R49" i="3"/>
  <c r="O49" i="3"/>
  <c r="M49" i="3"/>
  <c r="J49" i="3"/>
  <c r="I49" i="3"/>
  <c r="G49" i="3"/>
  <c r="H49" i="3" s="1"/>
  <c r="F49" i="3"/>
  <c r="R48" i="3"/>
  <c r="O48" i="3"/>
  <c r="M48" i="3"/>
  <c r="J48" i="3"/>
  <c r="I48" i="3"/>
  <c r="G48" i="3"/>
  <c r="H48" i="3" s="1"/>
  <c r="F48" i="3"/>
  <c r="R47" i="3"/>
  <c r="O47" i="3"/>
  <c r="M47" i="3"/>
  <c r="J47" i="3"/>
  <c r="I47" i="3"/>
  <c r="G47" i="3"/>
  <c r="H47" i="3" s="1"/>
  <c r="F47" i="3"/>
  <c r="R46" i="3"/>
  <c r="O46" i="3"/>
  <c r="M46" i="3"/>
  <c r="J46" i="3"/>
  <c r="I46" i="3"/>
  <c r="G46" i="3"/>
  <c r="H46" i="3" s="1"/>
  <c r="F46" i="3"/>
  <c r="R45" i="3"/>
  <c r="O45" i="3"/>
  <c r="M45" i="3"/>
  <c r="J45" i="3"/>
  <c r="I45" i="3"/>
  <c r="G45" i="3"/>
  <c r="H45" i="3" s="1"/>
  <c r="F45" i="3"/>
  <c r="R44" i="3"/>
  <c r="O44" i="3"/>
  <c r="M44" i="3"/>
  <c r="J44" i="3"/>
  <c r="I44" i="3"/>
  <c r="G44" i="3"/>
  <c r="H44" i="3" s="1"/>
  <c r="F44" i="3"/>
  <c r="R43" i="3"/>
  <c r="O43" i="3"/>
  <c r="M43" i="3"/>
  <c r="J43" i="3"/>
  <c r="I43" i="3"/>
  <c r="G43" i="3"/>
  <c r="H43" i="3" s="1"/>
  <c r="F43" i="3"/>
  <c r="R42" i="3"/>
  <c r="O42" i="3"/>
  <c r="M42" i="3"/>
  <c r="J42" i="3"/>
  <c r="I42" i="3"/>
  <c r="G42" i="3"/>
  <c r="H42" i="3" s="1"/>
  <c r="F42" i="3"/>
  <c r="O41" i="3"/>
  <c r="R40" i="3"/>
  <c r="O40" i="3"/>
  <c r="M40" i="3"/>
  <c r="J40" i="3"/>
  <c r="I40" i="3"/>
  <c r="G40" i="3"/>
  <c r="H40" i="3" s="1"/>
  <c r="T40" i="3" s="1"/>
  <c r="F40" i="3"/>
  <c r="R39" i="3"/>
  <c r="O39" i="3"/>
  <c r="M39" i="3"/>
  <c r="J39" i="3"/>
  <c r="I39" i="3"/>
  <c r="H39" i="3"/>
  <c r="T39" i="3" s="1"/>
  <c r="G39" i="3"/>
  <c r="F39" i="3"/>
  <c r="R38" i="3"/>
  <c r="P38" i="3" s="1"/>
  <c r="O38" i="3"/>
  <c r="M38" i="3"/>
  <c r="J38" i="3"/>
  <c r="I38" i="3"/>
  <c r="H38" i="3"/>
  <c r="T38" i="3" s="1"/>
  <c r="G38" i="3"/>
  <c r="F38" i="3"/>
  <c r="R37" i="3"/>
  <c r="O37" i="3"/>
  <c r="M37" i="3"/>
  <c r="J37" i="3"/>
  <c r="I37" i="3"/>
  <c r="G37" i="3"/>
  <c r="H37" i="3" s="1"/>
  <c r="T37" i="3" s="1"/>
  <c r="F37" i="3"/>
  <c r="R36" i="3"/>
  <c r="O36" i="3"/>
  <c r="M36" i="3"/>
  <c r="J36" i="3"/>
  <c r="I36" i="3" s="1"/>
  <c r="G36" i="3"/>
  <c r="F36" i="3"/>
  <c r="R35" i="3"/>
  <c r="O35" i="3"/>
  <c r="M35" i="3"/>
  <c r="J35" i="3"/>
  <c r="I35" i="3"/>
  <c r="G35" i="3"/>
  <c r="H35" i="3" s="1"/>
  <c r="T35" i="3" s="1"/>
  <c r="F35" i="3"/>
  <c r="R34" i="3"/>
  <c r="P34" i="3" s="1"/>
  <c r="O34" i="3"/>
  <c r="M34" i="3"/>
  <c r="J34" i="3"/>
  <c r="I34" i="3" s="1"/>
  <c r="H34" i="3"/>
  <c r="T34" i="3" s="1"/>
  <c r="G34" i="3"/>
  <c r="F34" i="3"/>
  <c r="R33" i="3"/>
  <c r="O33" i="3"/>
  <c r="M33" i="3"/>
  <c r="J33" i="3"/>
  <c r="I33" i="3" s="1"/>
  <c r="G33" i="3"/>
  <c r="F33" i="3"/>
  <c r="R32" i="3"/>
  <c r="O32" i="3"/>
  <c r="M32" i="3"/>
  <c r="J32" i="3"/>
  <c r="I32" i="3" s="1"/>
  <c r="H32" i="3"/>
  <c r="G32" i="3"/>
  <c r="F32" i="3"/>
  <c r="T32" i="3" s="1"/>
  <c r="R31" i="3"/>
  <c r="P31" i="3" s="1"/>
  <c r="O31" i="3"/>
  <c r="M31" i="3"/>
  <c r="J31" i="3"/>
  <c r="I31" i="3"/>
  <c r="G31" i="3"/>
  <c r="H31" i="3" s="1"/>
  <c r="T31" i="3" s="1"/>
  <c r="F31" i="3"/>
  <c r="R30" i="3"/>
  <c r="P30" i="3" s="1"/>
  <c r="O30" i="3"/>
  <c r="M30" i="3"/>
  <c r="J30" i="3"/>
  <c r="I30" i="3" s="1"/>
  <c r="H30" i="3"/>
  <c r="G30" i="3"/>
  <c r="F30" i="3"/>
  <c r="T30" i="3" s="1"/>
  <c r="R29" i="3"/>
  <c r="O29" i="3"/>
  <c r="M29" i="3"/>
  <c r="J29" i="3"/>
  <c r="I29" i="3"/>
  <c r="G29" i="3"/>
  <c r="H29" i="3" s="1"/>
  <c r="T29" i="3" s="1"/>
  <c r="F29" i="3"/>
  <c r="R28" i="3"/>
  <c r="O28" i="3"/>
  <c r="M28" i="3"/>
  <c r="J28" i="3"/>
  <c r="I28" i="3" s="1"/>
  <c r="H28" i="3"/>
  <c r="G28" i="3"/>
  <c r="F28" i="3"/>
  <c r="T28" i="3" s="1"/>
  <c r="R27" i="3"/>
  <c r="O27" i="3"/>
  <c r="M27" i="3"/>
  <c r="J27" i="3"/>
  <c r="I27" i="3"/>
  <c r="G27" i="3"/>
  <c r="H27" i="3" s="1"/>
  <c r="T27" i="3" s="1"/>
  <c r="F27" i="3"/>
  <c r="R26" i="3"/>
  <c r="O26" i="3"/>
  <c r="M26" i="3"/>
  <c r="J26" i="3"/>
  <c r="I26" i="3" s="1"/>
  <c r="H26" i="3"/>
  <c r="G26" i="3"/>
  <c r="F26" i="3"/>
  <c r="T26" i="3" s="1"/>
  <c r="R25" i="3"/>
  <c r="P25" i="3"/>
  <c r="O25" i="3"/>
  <c r="M25" i="3"/>
  <c r="J25" i="3"/>
  <c r="I25" i="3" s="1"/>
  <c r="H25" i="3"/>
  <c r="F25" i="3"/>
  <c r="R24" i="3"/>
  <c r="P24" i="3"/>
  <c r="O24" i="3"/>
  <c r="M24" i="3"/>
  <c r="J24" i="3"/>
  <c r="I24" i="3"/>
  <c r="H24" i="3"/>
  <c r="F24" i="3"/>
  <c r="R23" i="3"/>
  <c r="U23" i="3" s="1"/>
  <c r="P23" i="3"/>
  <c r="O23" i="3"/>
  <c r="M23" i="3"/>
  <c r="J23" i="3"/>
  <c r="I23" i="3" s="1"/>
  <c r="H23" i="3"/>
  <c r="F23" i="3"/>
  <c r="R22" i="3"/>
  <c r="P22" i="3"/>
  <c r="O22" i="3"/>
  <c r="M22" i="3"/>
  <c r="J22" i="3"/>
  <c r="I22" i="3"/>
  <c r="H22" i="3"/>
  <c r="F22" i="3"/>
  <c r="R21" i="3"/>
  <c r="P21" i="3"/>
  <c r="O21" i="3"/>
  <c r="M21" i="3"/>
  <c r="J21" i="3"/>
  <c r="I21" i="3" s="1"/>
  <c r="H21" i="3"/>
  <c r="F21" i="3"/>
  <c r="R20" i="3"/>
  <c r="P20" i="3"/>
  <c r="O20" i="3"/>
  <c r="M20" i="3"/>
  <c r="J20" i="3"/>
  <c r="I20" i="3"/>
  <c r="H20" i="3"/>
  <c r="F20" i="3"/>
  <c r="R19" i="3"/>
  <c r="O19" i="3"/>
  <c r="M19" i="3"/>
  <c r="J19" i="3"/>
  <c r="I19" i="3"/>
  <c r="E19" i="3"/>
  <c r="R18" i="3"/>
  <c r="O18" i="3"/>
  <c r="M18" i="3"/>
  <c r="J18" i="3"/>
  <c r="I18" i="3"/>
  <c r="G18" i="3"/>
  <c r="H18" i="3" s="1"/>
  <c r="E18" i="3"/>
  <c r="F18" i="3" s="1"/>
  <c r="R17" i="3"/>
  <c r="P17" i="3"/>
  <c r="O17" i="3"/>
  <c r="M17" i="3"/>
  <c r="J17" i="3"/>
  <c r="I17" i="3" s="1"/>
  <c r="H17" i="3"/>
  <c r="F17" i="3"/>
  <c r="R16" i="3"/>
  <c r="O16" i="3"/>
  <c r="M16" i="3"/>
  <c r="J16" i="3"/>
  <c r="I16" i="3" s="1"/>
  <c r="H16" i="3"/>
  <c r="G16" i="3"/>
  <c r="F16" i="3"/>
  <c r="T16" i="3" s="1"/>
  <c r="E16" i="3"/>
  <c r="R15" i="3"/>
  <c r="O15" i="3"/>
  <c r="N15" i="3"/>
  <c r="M15" i="3"/>
  <c r="J15" i="3"/>
  <c r="I15" i="3"/>
  <c r="G15" i="3"/>
  <c r="H15" i="3" s="1"/>
  <c r="E15" i="3"/>
  <c r="F15" i="3" s="1"/>
  <c r="T15" i="3" s="1"/>
  <c r="R14" i="3"/>
  <c r="P14" i="3"/>
  <c r="O14" i="3"/>
  <c r="M14" i="3"/>
  <c r="J14" i="3"/>
  <c r="I14" i="3" s="1"/>
  <c r="H14" i="3"/>
  <c r="F14" i="3"/>
  <c r="R13" i="3"/>
  <c r="U13" i="3" s="1"/>
  <c r="P13" i="3"/>
  <c r="O13" i="3"/>
  <c r="M13" i="3"/>
  <c r="J13" i="3"/>
  <c r="I13" i="3"/>
  <c r="H13" i="3"/>
  <c r="F13" i="3"/>
  <c r="R12" i="3"/>
  <c r="P12" i="3"/>
  <c r="O12" i="3"/>
  <c r="M12" i="3"/>
  <c r="J12" i="3"/>
  <c r="I12" i="3"/>
  <c r="H12" i="3"/>
  <c r="F12" i="3"/>
  <c r="R11" i="3"/>
  <c r="P11" i="3"/>
  <c r="O11" i="3"/>
  <c r="M11" i="3"/>
  <c r="J11" i="3"/>
  <c r="I11" i="3"/>
  <c r="H11" i="3"/>
  <c r="F11" i="3"/>
  <c r="E11" i="3"/>
  <c r="V10" i="3"/>
  <c r="R10" i="3"/>
  <c r="O10" i="3"/>
  <c r="M10" i="3"/>
  <c r="J10" i="3"/>
  <c r="I10" i="3"/>
  <c r="E10" i="3"/>
  <c r="V9" i="3"/>
  <c r="R9" i="3"/>
  <c r="U9" i="3" s="1"/>
  <c r="O9" i="3"/>
  <c r="M9" i="3"/>
  <c r="J9" i="3"/>
  <c r="I9" i="3" s="1"/>
  <c r="H9" i="3"/>
  <c r="G9" i="3"/>
  <c r="F9" i="3"/>
  <c r="T9" i="3" s="1"/>
  <c r="E9" i="3"/>
  <c r="V8" i="3"/>
  <c r="R8" i="3"/>
  <c r="O8" i="3"/>
  <c r="M8" i="3"/>
  <c r="J8" i="3"/>
  <c r="I8" i="3"/>
  <c r="G8" i="3"/>
  <c r="E8" i="3"/>
  <c r="F8" i="3" s="1"/>
  <c r="V7" i="3"/>
  <c r="R7" i="3"/>
  <c r="P7" i="3" s="1"/>
  <c r="O7" i="3"/>
  <c r="M7" i="3"/>
  <c r="J7" i="3"/>
  <c r="I7" i="3" s="1"/>
  <c r="H7" i="3"/>
  <c r="G7" i="3"/>
  <c r="F7" i="3"/>
  <c r="T7" i="3" s="1"/>
  <c r="V6" i="3"/>
  <c r="R6" i="3"/>
  <c r="O6" i="3"/>
  <c r="M6" i="3"/>
  <c r="J6" i="3"/>
  <c r="I6" i="3"/>
  <c r="F6" i="3"/>
  <c r="E6" i="3"/>
  <c r="G6" i="3" s="1"/>
  <c r="V5" i="3"/>
  <c r="R5" i="3"/>
  <c r="O5" i="3"/>
  <c r="M5" i="3"/>
  <c r="J5" i="3"/>
  <c r="I5" i="3"/>
  <c r="E5" i="3"/>
  <c r="V4" i="3"/>
  <c r="R4" i="3"/>
  <c r="O4" i="3"/>
  <c r="M4" i="3"/>
  <c r="J4" i="3"/>
  <c r="I4" i="3" s="1"/>
  <c r="H4" i="3"/>
  <c r="G4" i="3"/>
  <c r="F4" i="3"/>
  <c r="T4" i="3" s="1"/>
  <c r="E4" i="3"/>
  <c r="V3" i="3"/>
  <c r="R3" i="3"/>
  <c r="O3" i="3"/>
  <c r="M3" i="3"/>
  <c r="J3" i="3"/>
  <c r="I3" i="3"/>
  <c r="G3" i="3"/>
  <c r="E3" i="3"/>
  <c r="D3" i="3"/>
  <c r="F3" i="3" s="1"/>
  <c r="V2" i="3"/>
  <c r="R2" i="3"/>
  <c r="O2" i="3"/>
  <c r="M2" i="3"/>
  <c r="J2" i="3"/>
  <c r="I2" i="3"/>
  <c r="E2" i="3"/>
  <c r="S30" i="2"/>
  <c r="V30" i="2" s="1"/>
  <c r="R30" i="2"/>
  <c r="C152" i="1" s="1"/>
  <c r="Q30" i="2"/>
  <c r="N30" i="2" s="1"/>
  <c r="O30" i="2"/>
  <c r="M30" i="2"/>
  <c r="J30" i="2"/>
  <c r="I30" i="2"/>
  <c r="F30" i="2"/>
  <c r="E30" i="2"/>
  <c r="G30" i="2" s="1"/>
  <c r="S29" i="2"/>
  <c r="V29" i="2" s="1"/>
  <c r="R29" i="2"/>
  <c r="C146" i="1" s="1"/>
  <c r="Q29" i="2"/>
  <c r="N29" i="2" s="1"/>
  <c r="O29" i="2"/>
  <c r="M29" i="2"/>
  <c r="J29" i="2"/>
  <c r="I29" i="2"/>
  <c r="F29" i="2"/>
  <c r="E29" i="2"/>
  <c r="G29" i="2" s="1"/>
  <c r="S28" i="2"/>
  <c r="V28" i="2" s="1"/>
  <c r="R28" i="2"/>
  <c r="U28" i="2" s="1"/>
  <c r="E140" i="1" s="1"/>
  <c r="Q28" i="2"/>
  <c r="N28" i="2" s="1"/>
  <c r="O28" i="2"/>
  <c r="M28" i="2"/>
  <c r="J28" i="2"/>
  <c r="I28" i="2"/>
  <c r="E139" i="1" s="1"/>
  <c r="F28" i="2"/>
  <c r="E28" i="2"/>
  <c r="G28" i="2" s="1"/>
  <c r="S27" i="2"/>
  <c r="V27" i="2" s="1"/>
  <c r="R27" i="2"/>
  <c r="U27" i="2" s="1"/>
  <c r="E134" i="1" s="1"/>
  <c r="Q27" i="2"/>
  <c r="N27" i="2" s="1"/>
  <c r="O27" i="2"/>
  <c r="M27" i="2"/>
  <c r="J27" i="2"/>
  <c r="I27" i="2"/>
  <c r="E133" i="1" s="1"/>
  <c r="F27" i="2"/>
  <c r="E27" i="2"/>
  <c r="G27" i="2" s="1"/>
  <c r="S26" i="2"/>
  <c r="V26" i="2" s="1"/>
  <c r="R26" i="2"/>
  <c r="C128" i="1" s="1"/>
  <c r="Q26" i="2"/>
  <c r="N26" i="2" s="1"/>
  <c r="O26" i="2"/>
  <c r="M26" i="2"/>
  <c r="J26" i="2"/>
  <c r="I26" i="2"/>
  <c r="F26" i="2"/>
  <c r="E26" i="2"/>
  <c r="G26" i="2" s="1"/>
  <c r="S25" i="2"/>
  <c r="V25" i="2" s="1"/>
  <c r="R25" i="2"/>
  <c r="P25" i="2" s="1"/>
  <c r="Q25" i="2"/>
  <c r="N25" i="2" s="1"/>
  <c r="O25" i="2"/>
  <c r="M25" i="2"/>
  <c r="J25" i="2"/>
  <c r="I25" i="2"/>
  <c r="F25" i="2"/>
  <c r="E25" i="2"/>
  <c r="G25" i="2" s="1"/>
  <c r="S24" i="2"/>
  <c r="V24" i="2" s="1"/>
  <c r="R24" i="2"/>
  <c r="U24" i="2" s="1"/>
  <c r="E116" i="1" s="1"/>
  <c r="Q24" i="2"/>
  <c r="N24" i="2" s="1"/>
  <c r="O24" i="2"/>
  <c r="M24" i="2"/>
  <c r="J24" i="2"/>
  <c r="I24" i="2"/>
  <c r="F24" i="2"/>
  <c r="E24" i="2"/>
  <c r="G24" i="2" s="1"/>
  <c r="S23" i="2"/>
  <c r="V23" i="2" s="1"/>
  <c r="R23" i="2"/>
  <c r="C110" i="1" s="1"/>
  <c r="Q23" i="2"/>
  <c r="N23" i="2" s="1"/>
  <c r="O23" i="2"/>
  <c r="M23" i="2"/>
  <c r="J23" i="2"/>
  <c r="I23" i="2"/>
  <c r="F23" i="2"/>
  <c r="E23" i="2"/>
  <c r="G23" i="2" s="1"/>
  <c r="S22" i="2"/>
  <c r="V22" i="2" s="1"/>
  <c r="R22" i="2"/>
  <c r="P22" i="2" s="1"/>
  <c r="Q22" i="2"/>
  <c r="N22" i="2" s="1"/>
  <c r="O22" i="2"/>
  <c r="M22" i="2"/>
  <c r="J22" i="2"/>
  <c r="I22" i="2"/>
  <c r="F22" i="2"/>
  <c r="E22" i="2"/>
  <c r="G22" i="2" s="1"/>
  <c r="S21" i="2"/>
  <c r="V21" i="2" s="1"/>
  <c r="R21" i="2"/>
  <c r="U21" i="2" s="1"/>
  <c r="E98" i="1" s="1"/>
  <c r="Q21" i="2"/>
  <c r="N21" i="2" s="1"/>
  <c r="O21" i="2"/>
  <c r="M21" i="2"/>
  <c r="J21" i="2"/>
  <c r="I21" i="2"/>
  <c r="F21" i="2"/>
  <c r="E21" i="2"/>
  <c r="G21" i="2" s="1"/>
  <c r="S20" i="2"/>
  <c r="V20" i="2" s="1"/>
  <c r="R20" i="2"/>
  <c r="C92" i="1" s="1"/>
  <c r="Q20" i="2"/>
  <c r="N20" i="2" s="1"/>
  <c r="O20" i="2"/>
  <c r="M20" i="2"/>
  <c r="J20" i="2"/>
  <c r="I20" i="2"/>
  <c r="E91" i="1" s="1"/>
  <c r="F20" i="2"/>
  <c r="E20" i="2"/>
  <c r="G20" i="2" s="1"/>
  <c r="S19" i="2"/>
  <c r="V19" i="2" s="1"/>
  <c r="R19" i="2"/>
  <c r="P19" i="2" s="1"/>
  <c r="Q19" i="2"/>
  <c r="N19" i="2" s="1"/>
  <c r="O19" i="2"/>
  <c r="M19" i="2"/>
  <c r="J19" i="2"/>
  <c r="I19" i="2"/>
  <c r="E85" i="1" s="1"/>
  <c r="F19" i="2"/>
  <c r="E19" i="2"/>
  <c r="G19" i="2" s="1"/>
  <c r="S18" i="2"/>
  <c r="V18" i="2" s="1"/>
  <c r="R18" i="2"/>
  <c r="U18" i="2" s="1"/>
  <c r="E80" i="1" s="1"/>
  <c r="Q18" i="2"/>
  <c r="N18" i="2" s="1"/>
  <c r="O18" i="2"/>
  <c r="M18" i="2"/>
  <c r="J18" i="2"/>
  <c r="I18" i="2"/>
  <c r="F18" i="2"/>
  <c r="E18" i="2"/>
  <c r="G18" i="2" s="1"/>
  <c r="S17" i="2"/>
  <c r="V17" i="2" s="1"/>
  <c r="R17" i="2"/>
  <c r="P17" i="2" s="1"/>
  <c r="Q17" i="2"/>
  <c r="N17" i="2" s="1"/>
  <c r="O17" i="2"/>
  <c r="M17" i="2"/>
  <c r="J17" i="2"/>
  <c r="I17" i="2"/>
  <c r="E73" i="1" s="1"/>
  <c r="F17" i="2"/>
  <c r="E17" i="2"/>
  <c r="G17" i="2" s="1"/>
  <c r="S16" i="2"/>
  <c r="V16" i="2" s="1"/>
  <c r="R16" i="2"/>
  <c r="P16" i="2" s="1"/>
  <c r="Q16" i="2"/>
  <c r="N16" i="2" s="1"/>
  <c r="O16" i="2"/>
  <c r="M16" i="2"/>
  <c r="F16" i="2"/>
  <c r="E16" i="2"/>
  <c r="G16" i="2" s="1"/>
  <c r="S15" i="2"/>
  <c r="V15" i="2" s="1"/>
  <c r="R15" i="2"/>
  <c r="C62" i="1" s="1"/>
  <c r="Q15" i="2"/>
  <c r="N15" i="2" s="1"/>
  <c r="O15" i="2"/>
  <c r="M15" i="2"/>
  <c r="F15" i="2"/>
  <c r="E15" i="2"/>
  <c r="G15" i="2" s="1"/>
  <c r="S14" i="2"/>
  <c r="V14" i="2" s="1"/>
  <c r="R14" i="2"/>
  <c r="C56" i="1" s="1"/>
  <c r="E57" i="1" s="1"/>
  <c r="Q14" i="2"/>
  <c r="N14" i="2" s="1"/>
  <c r="O14" i="2"/>
  <c r="M14" i="2"/>
  <c r="E14" i="2"/>
  <c r="G14" i="2" s="1"/>
  <c r="S13" i="2"/>
  <c r="V13" i="2" s="1"/>
  <c r="R13" i="2"/>
  <c r="P13" i="2" s="1"/>
  <c r="Q13" i="2"/>
  <c r="N13" i="2" s="1"/>
  <c r="O13" i="2"/>
  <c r="M13" i="2"/>
  <c r="F13" i="2"/>
  <c r="E13" i="2"/>
  <c r="G13" i="2" s="1"/>
  <c r="S12" i="2"/>
  <c r="V12" i="2" s="1"/>
  <c r="R12" i="2"/>
  <c r="P12" i="2" s="1"/>
  <c r="Q12" i="2"/>
  <c r="N12" i="2" s="1"/>
  <c r="O12" i="2"/>
  <c r="M12" i="2"/>
  <c r="G12" i="2"/>
  <c r="F12" i="2"/>
  <c r="V11" i="2"/>
  <c r="S11" i="2"/>
  <c r="R11" i="2"/>
  <c r="Q11" i="2"/>
  <c r="O11" i="2"/>
  <c r="N11" i="2"/>
  <c r="M11" i="2"/>
  <c r="J11" i="2"/>
  <c r="I11" i="2" s="1"/>
  <c r="E37" i="1" s="1"/>
  <c r="E11" i="2"/>
  <c r="V10" i="2"/>
  <c r="S10" i="2"/>
  <c r="R10" i="2"/>
  <c r="Q10" i="2"/>
  <c r="O10" i="2"/>
  <c r="N10" i="2"/>
  <c r="M10" i="2"/>
  <c r="J10" i="2"/>
  <c r="I10" i="2" s="1"/>
  <c r="E31" i="1" s="1"/>
  <c r="E10" i="2"/>
  <c r="V9" i="2"/>
  <c r="S9" i="2"/>
  <c r="R9" i="2"/>
  <c r="Q9" i="2"/>
  <c r="O9" i="2"/>
  <c r="N9" i="2"/>
  <c r="M9" i="2"/>
  <c r="J9" i="2"/>
  <c r="I9" i="2" s="1"/>
  <c r="E9" i="2"/>
  <c r="V8" i="2"/>
  <c r="S8" i="2"/>
  <c r="R8" i="2"/>
  <c r="C20" i="1" s="1"/>
  <c r="E21" i="1" s="1"/>
  <c r="Q8" i="2"/>
  <c r="O8" i="2"/>
  <c r="N8" i="2"/>
  <c r="M8" i="2"/>
  <c r="J8" i="2"/>
  <c r="I8" i="2" s="1"/>
  <c r="E19" i="1" s="1"/>
  <c r="H8" i="2"/>
  <c r="T8" i="2" s="1"/>
  <c r="E22" i="1" s="1"/>
  <c r="G8" i="2"/>
  <c r="F8" i="2"/>
  <c r="S7" i="2"/>
  <c r="V7" i="2" s="1"/>
  <c r="R7" i="2"/>
  <c r="C14" i="1" s="1"/>
  <c r="E15" i="1" s="1"/>
  <c r="Q7" i="2"/>
  <c r="G7" i="2" s="1"/>
  <c r="O7" i="2"/>
  <c r="N7" i="2"/>
  <c r="M7" i="2"/>
  <c r="F7" i="2"/>
  <c r="E7" i="2"/>
  <c r="S6" i="2"/>
  <c r="V6" i="2" s="1"/>
  <c r="R6" i="2"/>
  <c r="C8" i="1" s="1"/>
  <c r="E9" i="1" s="1"/>
  <c r="Q6" i="2"/>
  <c r="O6" i="2"/>
  <c r="N6" i="2"/>
  <c r="M6" i="2"/>
  <c r="G6" i="2"/>
  <c r="F6" i="2"/>
  <c r="E6" i="2"/>
  <c r="O5" i="2"/>
  <c r="C154" i="1"/>
  <c r="E153" i="1"/>
  <c r="D152" i="1"/>
  <c r="B152" i="1"/>
  <c r="E151" i="1"/>
  <c r="D151" i="1"/>
  <c r="B151" i="1"/>
  <c r="C148" i="1"/>
  <c r="D146" i="1"/>
  <c r="B146" i="1"/>
  <c r="E147" i="1" s="1"/>
  <c r="E145" i="1"/>
  <c r="D145" i="1"/>
  <c r="B145" i="1"/>
  <c r="C142" i="1"/>
  <c r="D140" i="1"/>
  <c r="B140" i="1"/>
  <c r="E141" i="1" s="1"/>
  <c r="D139" i="1"/>
  <c r="B139" i="1"/>
  <c r="C136" i="1"/>
  <c r="E135" i="1"/>
  <c r="D134" i="1"/>
  <c r="B134" i="1"/>
  <c r="D133" i="1"/>
  <c r="B133" i="1"/>
  <c r="C130" i="1"/>
  <c r="E129" i="1"/>
  <c r="D128" i="1"/>
  <c r="B128" i="1"/>
  <c r="E127" i="1"/>
  <c r="D127" i="1"/>
  <c r="B127" i="1"/>
  <c r="C124" i="1"/>
  <c r="D122" i="1"/>
  <c r="B122" i="1"/>
  <c r="E123" i="1" s="1"/>
  <c r="E121" i="1"/>
  <c r="D121" i="1"/>
  <c r="B121" i="1"/>
  <c r="C118" i="1"/>
  <c r="E117" i="1"/>
  <c r="D116" i="1"/>
  <c r="B116" i="1"/>
  <c r="E115" i="1"/>
  <c r="D115" i="1"/>
  <c r="B115" i="1"/>
  <c r="C112" i="1"/>
  <c r="E111" i="1"/>
  <c r="D110" i="1"/>
  <c r="B110" i="1"/>
  <c r="E109" i="1"/>
  <c r="D109" i="1"/>
  <c r="B109" i="1"/>
  <c r="C106" i="1"/>
  <c r="D104" i="1"/>
  <c r="B104" i="1"/>
  <c r="E105" i="1" s="1"/>
  <c r="E103" i="1"/>
  <c r="D103" i="1"/>
  <c r="B103" i="1"/>
  <c r="C100" i="1"/>
  <c r="E99" i="1"/>
  <c r="D98" i="1"/>
  <c r="B98" i="1"/>
  <c r="E97" i="1"/>
  <c r="D97" i="1"/>
  <c r="B97" i="1"/>
  <c r="C94" i="1"/>
  <c r="D92" i="1"/>
  <c r="B92" i="1"/>
  <c r="E93" i="1" s="1"/>
  <c r="D91" i="1"/>
  <c r="B91" i="1"/>
  <c r="C88" i="1"/>
  <c r="D86" i="1"/>
  <c r="B86" i="1"/>
  <c r="E87" i="1" s="1"/>
  <c r="D85" i="1"/>
  <c r="B85" i="1"/>
  <c r="C82" i="1"/>
  <c r="D80" i="1"/>
  <c r="C80" i="1"/>
  <c r="B80" i="1"/>
  <c r="E81" i="1" s="1"/>
  <c r="E79" i="1"/>
  <c r="D79" i="1"/>
  <c r="B79" i="1"/>
  <c r="C76" i="1"/>
  <c r="E75" i="1"/>
  <c r="D74" i="1"/>
  <c r="B74" i="1"/>
  <c r="D73" i="1"/>
  <c r="B73" i="1"/>
  <c r="C70" i="1"/>
  <c r="D68" i="1"/>
  <c r="B68" i="1"/>
  <c r="D67" i="1"/>
  <c r="B67" i="1"/>
  <c r="C64" i="1"/>
  <c r="D62" i="1"/>
  <c r="B62" i="1"/>
  <c r="D61" i="1"/>
  <c r="B61" i="1"/>
  <c r="C58" i="1"/>
  <c r="D56" i="1"/>
  <c r="B56" i="1"/>
  <c r="D55" i="1"/>
  <c r="B55" i="1"/>
  <c r="C52" i="1"/>
  <c r="D50" i="1"/>
  <c r="B50" i="1"/>
  <c r="D49" i="1"/>
  <c r="B49" i="1"/>
  <c r="C46" i="1"/>
  <c r="D44" i="1"/>
  <c r="B44" i="1"/>
  <c r="D43" i="1"/>
  <c r="B43" i="1"/>
  <c r="C40" i="1"/>
  <c r="D38" i="1"/>
  <c r="B38" i="1"/>
  <c r="D37" i="1"/>
  <c r="B37" i="1"/>
  <c r="C34" i="1"/>
  <c r="D32" i="1"/>
  <c r="B32" i="1"/>
  <c r="D31" i="1"/>
  <c r="B31" i="1"/>
  <c r="C28" i="1"/>
  <c r="D26" i="1"/>
  <c r="B26" i="1"/>
  <c r="E25" i="1"/>
  <c r="D25" i="1"/>
  <c r="B25" i="1"/>
  <c r="C22" i="1"/>
  <c r="D20" i="1"/>
  <c r="B20" i="1"/>
  <c r="D19" i="1"/>
  <c r="B19" i="1"/>
  <c r="C16" i="1"/>
  <c r="D14" i="1"/>
  <c r="B14" i="1"/>
  <c r="D13" i="1"/>
  <c r="B13" i="1"/>
  <c r="A13" i="1"/>
  <c r="A19" i="1" s="1"/>
  <c r="A25" i="1" s="1"/>
  <c r="A31" i="1" s="1"/>
  <c r="A37" i="1" s="1"/>
  <c r="A43" i="1" s="1"/>
  <c r="A49" i="1" s="1"/>
  <c r="A55" i="1" s="1"/>
  <c r="A61" i="1" s="1"/>
  <c r="A67" i="1" s="1"/>
  <c r="A73" i="1" s="1"/>
  <c r="A79" i="1" s="1"/>
  <c r="A85" i="1" s="1"/>
  <c r="A91" i="1" s="1"/>
  <c r="A97" i="1" s="1"/>
  <c r="A103" i="1" s="1"/>
  <c r="A109" i="1" s="1"/>
  <c r="A115" i="1" s="1"/>
  <c r="A121" i="1" s="1"/>
  <c r="A127" i="1" s="1"/>
  <c r="A133" i="1" s="1"/>
  <c r="A139" i="1" s="1"/>
  <c r="A145" i="1" s="1"/>
  <c r="A151" i="1" s="1"/>
  <c r="C10" i="1"/>
  <c r="D8" i="1"/>
  <c r="B8" i="1"/>
  <c r="D7" i="1"/>
  <c r="B7" i="1"/>
  <c r="U11" i="2" l="1"/>
  <c r="E38" i="1" s="1"/>
  <c r="U39" i="3"/>
  <c r="U57" i="3"/>
  <c r="C104" i="1"/>
  <c r="U22" i="2"/>
  <c r="E104" i="1" s="1"/>
  <c r="U33" i="3"/>
  <c r="C140" i="1"/>
  <c r="C98" i="1"/>
  <c r="U36" i="3"/>
  <c r="U47" i="3"/>
  <c r="U55" i="3"/>
  <c r="C116" i="1"/>
  <c r="U17" i="2"/>
  <c r="E74" i="1" s="1"/>
  <c r="U30" i="2"/>
  <c r="E152" i="1" s="1"/>
  <c r="U4" i="3"/>
  <c r="U14" i="3"/>
  <c r="C74" i="1"/>
  <c r="U7" i="3"/>
  <c r="U17" i="3"/>
  <c r="U19" i="2"/>
  <c r="E86" i="1" s="1"/>
  <c r="U25" i="2"/>
  <c r="E122" i="1" s="1"/>
  <c r="P6" i="3"/>
  <c r="U16" i="3"/>
  <c r="U26" i="3"/>
  <c r="U20" i="3"/>
  <c r="C86" i="1"/>
  <c r="U32" i="3"/>
  <c r="C44" i="1"/>
  <c r="E45" i="1" s="1"/>
  <c r="C122" i="1"/>
  <c r="U9" i="2"/>
  <c r="E26" i="1" s="1"/>
  <c r="U3" i="3"/>
  <c r="U6" i="3"/>
  <c r="U6" i="2"/>
  <c r="E8" i="1" s="1"/>
  <c r="U7" i="2"/>
  <c r="E14" i="1" s="1"/>
  <c r="U10" i="2"/>
  <c r="E32" i="1" s="1"/>
  <c r="U14" i="2"/>
  <c r="E56" i="1" s="1"/>
  <c r="U15" i="2"/>
  <c r="E62" i="1" s="1"/>
  <c r="U11" i="3"/>
  <c r="U12" i="3"/>
  <c r="U34" i="3"/>
  <c r="P28" i="2"/>
  <c r="U24" i="3"/>
  <c r="U22" i="3"/>
  <c r="P26" i="3"/>
  <c r="U37" i="3"/>
  <c r="U38" i="3"/>
  <c r="C134" i="1"/>
  <c r="U31" i="3"/>
  <c r="U8" i="3"/>
  <c r="C68" i="1"/>
  <c r="E69" i="1" s="1"/>
  <c r="U30" i="3"/>
  <c r="E63" i="1"/>
  <c r="P15" i="2"/>
  <c r="P20" i="2"/>
  <c r="P21" i="2"/>
  <c r="P23" i="2"/>
  <c r="P24" i="2"/>
  <c r="P26" i="2"/>
  <c r="P27" i="2"/>
  <c r="U29" i="2"/>
  <c r="E146" i="1" s="1"/>
  <c r="P9" i="3"/>
  <c r="U28" i="3"/>
  <c r="U45" i="3"/>
  <c r="U53" i="3"/>
  <c r="C32" i="1"/>
  <c r="E33" i="1" s="1"/>
  <c r="P14" i="2"/>
  <c r="U20" i="2"/>
  <c r="E92" i="1" s="1"/>
  <c r="U23" i="2"/>
  <c r="E110" i="1" s="1"/>
  <c r="U26" i="2"/>
  <c r="E128" i="1" s="1"/>
  <c r="P30" i="2"/>
  <c r="U5" i="3"/>
  <c r="U19" i="3"/>
  <c r="U27" i="3"/>
  <c r="P32" i="3"/>
  <c r="P29" i="2"/>
  <c r="U16" i="2"/>
  <c r="E68" i="1" s="1"/>
  <c r="P16" i="3"/>
  <c r="U21" i="3"/>
  <c r="U25" i="3"/>
  <c r="U43" i="3"/>
  <c r="U51" i="3"/>
  <c r="U8" i="2"/>
  <c r="E20" i="1" s="1"/>
  <c r="U12" i="2"/>
  <c r="E44" i="1" s="1"/>
  <c r="U13" i="2"/>
  <c r="E50" i="1" s="1"/>
  <c r="P18" i="2"/>
  <c r="P39" i="3"/>
  <c r="U40" i="3"/>
  <c r="C50" i="1"/>
  <c r="E51" i="1" s="1"/>
  <c r="U10" i="3"/>
  <c r="U15" i="3"/>
  <c r="U49" i="3"/>
  <c r="P4" i="3"/>
  <c r="U18" i="3"/>
  <c r="U29" i="3"/>
  <c r="U35" i="3"/>
  <c r="C38" i="1"/>
  <c r="E39" i="1" s="1"/>
  <c r="P36" i="3"/>
  <c r="P46" i="3"/>
  <c r="U46" i="3"/>
  <c r="V49" i="3"/>
  <c r="T49" i="3"/>
  <c r="V57" i="3"/>
  <c r="T57" i="3"/>
  <c r="H6" i="3"/>
  <c r="T6" i="3" s="1"/>
  <c r="P33" i="3"/>
  <c r="H33" i="3"/>
  <c r="T33" i="3" s="1"/>
  <c r="V48" i="3"/>
  <c r="T48" i="3"/>
  <c r="V56" i="3"/>
  <c r="T56" i="3"/>
  <c r="U2" i="3"/>
  <c r="P44" i="3"/>
  <c r="U44" i="3"/>
  <c r="V47" i="3"/>
  <c r="T47" i="3"/>
  <c r="P52" i="3"/>
  <c r="U52" i="3"/>
  <c r="V55" i="3"/>
  <c r="T55" i="3"/>
  <c r="G5" i="3"/>
  <c r="F5" i="3"/>
  <c r="G9" i="2"/>
  <c r="H9" i="2" s="1"/>
  <c r="F9" i="2"/>
  <c r="C26" i="1"/>
  <c r="E27" i="1" s="1"/>
  <c r="P28" i="3"/>
  <c r="V46" i="3"/>
  <c r="T46" i="3"/>
  <c r="V54" i="3"/>
  <c r="T54" i="3"/>
  <c r="G2" i="3"/>
  <c r="F2" i="3"/>
  <c r="P8" i="3"/>
  <c r="H8" i="3"/>
  <c r="T8" i="3" s="1"/>
  <c r="P42" i="3"/>
  <c r="U42" i="3"/>
  <c r="V45" i="3"/>
  <c r="T45" i="3"/>
  <c r="P50" i="3"/>
  <c r="U50" i="3"/>
  <c r="V53" i="3"/>
  <c r="T53" i="3"/>
  <c r="V50" i="3"/>
  <c r="T50" i="3"/>
  <c r="G11" i="2"/>
  <c r="F11" i="2"/>
  <c r="F14" i="2"/>
  <c r="T7" i="2"/>
  <c r="E16" i="1" s="1"/>
  <c r="J7" i="2"/>
  <c r="I7" i="2" s="1"/>
  <c r="E13" i="1" s="1"/>
  <c r="H7" i="2"/>
  <c r="P7" i="2"/>
  <c r="J6" i="2"/>
  <c r="I6" i="2" s="1"/>
  <c r="H6" i="2"/>
  <c r="T6" i="2" s="1"/>
  <c r="P6" i="2"/>
  <c r="P8" i="2"/>
  <c r="G10" i="2"/>
  <c r="H10" i="2" s="1"/>
  <c r="F10" i="2"/>
  <c r="G10" i="3"/>
  <c r="F10" i="3"/>
  <c r="G19" i="3"/>
  <c r="F19" i="3"/>
  <c r="V44" i="3"/>
  <c r="T44" i="3"/>
  <c r="V52" i="3"/>
  <c r="T52" i="3"/>
  <c r="V42" i="3"/>
  <c r="T42" i="3"/>
  <c r="P3" i="3"/>
  <c r="H3" i="3"/>
  <c r="T3" i="3" s="1"/>
  <c r="T18" i="3"/>
  <c r="V43" i="3"/>
  <c r="T43" i="3"/>
  <c r="P48" i="3"/>
  <c r="U48" i="3"/>
  <c r="V51" i="3"/>
  <c r="T51" i="3"/>
  <c r="P29" i="3"/>
  <c r="H36" i="3"/>
  <c r="T36" i="3" s="1"/>
  <c r="P37" i="3"/>
  <c r="U54" i="3"/>
  <c r="U56" i="3"/>
  <c r="H12" i="2"/>
  <c r="H13" i="2"/>
  <c r="H14" i="2"/>
  <c r="H15" i="2"/>
  <c r="T15" i="2" s="1"/>
  <c r="E64" i="1" s="1"/>
  <c r="H16" i="2"/>
  <c r="H17" i="2"/>
  <c r="H18" i="2"/>
  <c r="H19" i="2"/>
  <c r="H20" i="2"/>
  <c r="H21" i="2"/>
  <c r="H22" i="2"/>
  <c r="H23" i="2"/>
  <c r="H24" i="2"/>
  <c r="H25" i="2"/>
  <c r="H26" i="2"/>
  <c r="H27" i="2"/>
  <c r="H28" i="2"/>
  <c r="H29" i="2"/>
  <c r="H30" i="2"/>
  <c r="P15" i="3"/>
  <c r="P40" i="3"/>
  <c r="P43" i="3"/>
  <c r="P45" i="3"/>
  <c r="P47" i="3"/>
  <c r="P49" i="3"/>
  <c r="P51" i="3"/>
  <c r="P53" i="3"/>
  <c r="P55" i="3"/>
  <c r="P57" i="3"/>
  <c r="P18" i="3"/>
  <c r="P27" i="3"/>
  <c r="P35" i="3"/>
  <c r="J12" i="2"/>
  <c r="I12" i="2" s="1"/>
  <c r="E43" i="1" s="1"/>
  <c r="T12" i="2"/>
  <c r="E46" i="1" s="1"/>
  <c r="J13" i="2"/>
  <c r="I13" i="2" s="1"/>
  <c r="E49" i="1" s="1"/>
  <c r="T13" i="2"/>
  <c r="E52" i="1" s="1"/>
  <c r="J14" i="2"/>
  <c r="I14" i="2" s="1"/>
  <c r="E55" i="1" s="1"/>
  <c r="T14" i="2"/>
  <c r="E58" i="1" s="1"/>
  <c r="J15" i="2"/>
  <c r="I15" i="2" s="1"/>
  <c r="E61" i="1" s="1"/>
  <c r="J16" i="2"/>
  <c r="I16" i="2" s="1"/>
  <c r="E67" i="1" s="1"/>
  <c r="T16" i="2"/>
  <c r="E70" i="1" s="1"/>
  <c r="T17" i="2"/>
  <c r="E76" i="1" s="1"/>
  <c r="T18" i="2"/>
  <c r="E82" i="1" s="1"/>
  <c r="T19" i="2"/>
  <c r="E88" i="1" s="1"/>
  <c r="T20" i="2"/>
  <c r="E94" i="1" s="1"/>
  <c r="T21" i="2"/>
  <c r="E100" i="1" s="1"/>
  <c r="T22" i="2"/>
  <c r="E106" i="1" s="1"/>
  <c r="T23" i="2"/>
  <c r="E112" i="1" s="1"/>
  <c r="T24" i="2"/>
  <c r="E118" i="1" s="1"/>
  <c r="T25" i="2"/>
  <c r="E124" i="1" s="1"/>
  <c r="T26" i="2"/>
  <c r="E130" i="1" s="1"/>
  <c r="T27" i="2"/>
  <c r="E136" i="1" s="1"/>
  <c r="T28" i="2"/>
  <c r="E142" i="1" s="1"/>
  <c r="T29" i="2"/>
  <c r="E148" i="1" s="1"/>
  <c r="T30" i="2"/>
  <c r="E154" i="1" s="1"/>
  <c r="E10" i="1" l="1"/>
  <c r="H19" i="3"/>
  <c r="P19" i="3"/>
  <c r="I5" i="2"/>
  <c r="V2" i="2" s="1"/>
  <c r="E3" i="1" s="1"/>
  <c r="V3" i="2"/>
  <c r="E4" i="1" s="1"/>
  <c r="E7" i="1"/>
  <c r="P11" i="2"/>
  <c r="H11" i="2"/>
  <c r="H5" i="3"/>
  <c r="T5" i="3" s="1"/>
  <c r="P5" i="3"/>
  <c r="H10" i="3"/>
  <c r="T10" i="3" s="1"/>
  <c r="P10" i="3"/>
  <c r="P9" i="2"/>
  <c r="T10" i="2"/>
  <c r="E34" i="1" s="1"/>
  <c r="P10" i="2"/>
  <c r="T19" i="3"/>
  <c r="T11" i="2"/>
  <c r="E40" i="1" s="1"/>
  <c r="H2" i="3"/>
  <c r="T2" i="3" s="1"/>
  <c r="P2" i="3"/>
  <c r="T9" i="2"/>
  <c r="E28" i="1" s="1"/>
  <c r="F5" i="2"/>
  <c r="J5" i="2" s="1"/>
  <c r="E5" i="1" s="1"/>
  <c r="V1" i="2" l="1"/>
  <c r="E2" i="1" s="1"/>
</calcChain>
</file>

<file path=xl/sharedStrings.xml><?xml version="1.0" encoding="utf-8"?>
<sst xmlns="http://schemas.openxmlformats.org/spreadsheetml/2006/main" count="451" uniqueCount="65">
  <si>
    <t>https://script.google.com/home/projects/1319EYIuiHI1Fkmldd_e71E4lrxwMdlJCeSd8RB6d6n7IaXHxadFPFNHs/edit</t>
  </si>
  <si>
    <t>Standing</t>
  </si>
  <si>
    <t>Net</t>
  </si>
  <si>
    <t>All only profit stock</t>
  </si>
  <si>
    <t>Total if sold</t>
  </si>
  <si>
    <t>Sell Advice</t>
  </si>
  <si>
    <t>LTP</t>
  </si>
  <si>
    <t>Units</t>
  </si>
  <si>
    <t>Sold @</t>
  </si>
  <si>
    <t>Advice unit</t>
  </si>
  <si>
    <t>Sold unit</t>
  </si>
  <si>
    <t>This trade</t>
  </si>
  <si>
    <t>buy date</t>
  </si>
  <si>
    <t>code</t>
  </si>
  <si>
    <t>rate @</t>
  </si>
  <si>
    <t>unit #</t>
  </si>
  <si>
    <t>broker</t>
  </si>
  <si>
    <t>Sold</t>
  </si>
  <si>
    <t>advice @</t>
  </si>
  <si>
    <t>advice #</t>
  </si>
  <si>
    <t>PTC</t>
  </si>
  <si>
    <t>sell date</t>
  </si>
  <si>
    <t>sold #</t>
  </si>
  <si>
    <t>net</t>
  </si>
  <si>
    <t>TC</t>
  </si>
  <si>
    <t>Remaining stock</t>
  </si>
  <si>
    <t>PBH</t>
  </si>
  <si>
    <t>E25</t>
  </si>
  <si>
    <t>APX</t>
  </si>
  <si>
    <t>ART</t>
  </si>
  <si>
    <t>AIZ</t>
  </si>
  <si>
    <t>AEF</t>
  </si>
  <si>
    <t>LRK</t>
  </si>
  <si>
    <t>A2M</t>
  </si>
  <si>
    <t>EOS</t>
  </si>
  <si>
    <t>ASB</t>
  </si>
  <si>
    <t>NXT</t>
  </si>
  <si>
    <t>QAN</t>
  </si>
  <si>
    <t>REG</t>
  </si>
  <si>
    <t>TGR</t>
  </si>
  <si>
    <t>COL</t>
  </si>
  <si>
    <t>MP1</t>
  </si>
  <si>
    <t>RMS</t>
  </si>
  <si>
    <t>145</t>
  </si>
  <si>
    <t>STO</t>
  </si>
  <si>
    <t>ORG</t>
  </si>
  <si>
    <t>WOW</t>
  </si>
  <si>
    <t>ABB</t>
  </si>
  <si>
    <t>RZI</t>
  </si>
  <si>
    <t>FPH</t>
  </si>
  <si>
    <t>SPA</t>
  </si>
  <si>
    <t>SHV</t>
  </si>
  <si>
    <t>CGF</t>
  </si>
  <si>
    <t>FY 2022</t>
  </si>
  <si>
    <t>price</t>
  </si>
  <si>
    <t>portfolio</t>
  </si>
  <si>
    <t>if sold</t>
  </si>
  <si>
    <t>Free stock</t>
  </si>
  <si>
    <t>Z1P</t>
  </si>
  <si>
    <t>TLS</t>
  </si>
  <si>
    <t>ONE</t>
  </si>
  <si>
    <t>KGN</t>
  </si>
  <si>
    <t>FY 2021</t>
  </si>
  <si>
    <t>PTP</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</si>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</sst>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quot;$&quot;#,##0.00"/>
    <numFmt numFmtId="165" formatCode="&quot;$&quot;#,##0.000"/>
    <numFmt numFmtId="166" formatCode="#,##0.000"/>
    <numFmt numFmtId="167" formatCode="&quot; &quot;dmmmyyyy"/>
    <numFmt numFmtId="168" formatCode="_(&quot;$&quot;* #,##0.000_);_(&quot;$&quot;* \(#,##0.000\);_(&quot;$&quot;* &quot;-&quot;??.0_);_(@_)"/>
    <numFmt numFmtId="169" formatCode="d\ mmm\ yyyy"/>
    <numFmt numFmtId="170" formatCode="ddmmmyyyy"/>
  </numFmts>
  <fonts count="63">
    <font>
      <sz val="10"/>
      <color rgb="FF000000"/>
      <name val="Arial"/>
      <scheme val="minor"/>
    </font>
    <font>
      <sz val="10"/>
      <color rgb="FF434343"/>
      <name val="Arial"/>
      <scheme val="minor"/>
    </font>
    <font>
      <u/>
      <sz val="16"/>
      <color rgb="FF666666"/>
      <name val="Arial"/>
    </font>
    <font>
      <sz val="16"/>
      <color rgb="FFF3F3F3"/>
      <name val="Arial"/>
      <scheme val="minor"/>
    </font>
    <font>
      <sz val="10"/>
      <name val="Arial"/>
    </font>
    <font>
      <sz val="17"/>
      <color rgb="FFFFFFFF"/>
      <name val="Arial"/>
      <scheme val="minor"/>
    </font>
    <font>
      <sz val="16"/>
      <color rgb="FFFFFFFF"/>
      <name val="Arial"/>
      <scheme val="minor"/>
    </font>
    <font>
      <b/>
      <sz val="16"/>
      <color rgb="FFFF9900"/>
      <name val="Arial"/>
      <scheme val="minor"/>
    </font>
    <font>
      <b/>
      <sz val="16"/>
      <color rgb="FFD9D9D9"/>
      <name val="Arial"/>
      <scheme val="minor"/>
    </font>
    <font>
      <sz val="18"/>
      <color rgb="FFFFFFFF"/>
      <name val="Arial"/>
      <scheme val="minor"/>
    </font>
    <font>
      <sz val="10"/>
      <color rgb="FF999999"/>
      <name val="Arial"/>
      <scheme val="minor"/>
    </font>
    <font>
      <sz val="18"/>
      <color rgb="FF434343"/>
      <name val="Nunito"/>
    </font>
    <font>
      <sz val="12"/>
      <color rgb="FF434343"/>
      <name val="Nunito"/>
    </font>
    <font>
      <b/>
      <sz val="9"/>
      <color rgb="FFB7B7B7"/>
      <name val="Comfortaa"/>
    </font>
    <font>
      <sz val="16"/>
      <color rgb="FF434343"/>
      <name val="Proxima Nova"/>
    </font>
    <font>
      <b/>
      <sz val="12"/>
      <color rgb="FF434343"/>
      <name val="Varela Round"/>
    </font>
    <font>
      <b/>
      <sz val="10"/>
      <color rgb="FF434343"/>
      <name val="Varela Round"/>
    </font>
    <font>
      <sz val="12"/>
      <color rgb="FF999999"/>
      <name val="Nunito"/>
    </font>
    <font>
      <sz val="10"/>
      <color rgb="FF999999"/>
      <name val="Nunito"/>
    </font>
    <font>
      <sz val="14"/>
      <color rgb="FF434343"/>
      <name val="Montserrat"/>
    </font>
    <font>
      <sz val="16"/>
      <color rgb="FF666666"/>
      <name val="Arial"/>
      <scheme val="minor"/>
    </font>
    <font>
      <sz val="10"/>
      <color rgb="FF000000"/>
      <name val="Nunito"/>
    </font>
    <font>
      <b/>
      <sz val="14"/>
      <color rgb="FF34A853"/>
      <name val="Arial"/>
    </font>
    <font>
      <sz val="10"/>
      <color theme="1"/>
      <name val="Arial"/>
      <scheme val="minor"/>
    </font>
    <font>
      <sz val="14"/>
      <color theme="1"/>
      <name val="Arial"/>
      <scheme val="minor"/>
    </font>
    <font>
      <b/>
      <sz val="14"/>
      <color theme="1"/>
      <name val="Arial"/>
      <scheme val="minor"/>
    </font>
    <font>
      <b/>
      <sz val="10"/>
      <color rgb="FFD9D9D9"/>
      <name val="Arial"/>
      <scheme val="minor"/>
    </font>
    <font>
      <b/>
      <sz val="12"/>
      <color rgb="FFD9D9D9"/>
      <name val="Arial"/>
      <scheme val="minor"/>
    </font>
    <font>
      <sz val="14"/>
      <color rgb="FFFF0000"/>
      <name val="Arial"/>
      <scheme val="minor"/>
    </font>
    <font>
      <b/>
      <sz val="14"/>
      <color rgb="FF999999"/>
      <name val="Arial"/>
    </font>
    <font>
      <b/>
      <sz val="12"/>
      <color rgb="FFD9D9D9"/>
      <name val="Trebuchet MS"/>
    </font>
    <font>
      <b/>
      <sz val="15"/>
      <color rgb="FFD9D9D9"/>
      <name val="Trebuchet MS"/>
    </font>
    <font>
      <b/>
      <sz val="14"/>
      <color rgb="FFD9D9D9"/>
      <name val="Trebuchet MS"/>
    </font>
    <font>
      <sz val="12"/>
      <color rgb="FFD9D9D9"/>
      <name val="Trebuchet MS"/>
    </font>
    <font>
      <sz val="14"/>
      <color rgb="FFD9D9D9"/>
      <name val="Verdana"/>
    </font>
    <font>
      <b/>
      <sz val="8"/>
      <color rgb="FFD9D9D9"/>
      <name val="Arial"/>
      <scheme val="minor"/>
    </font>
    <font>
      <b/>
      <sz val="10"/>
      <color theme="1"/>
      <name val="Arial"/>
    </font>
    <font>
      <b/>
      <sz val="14"/>
      <color theme="1"/>
      <name val="Arial"/>
    </font>
    <font>
      <sz val="14"/>
      <color theme="1"/>
      <name val="Arial"/>
    </font>
    <font>
      <sz val="14"/>
      <color rgb="FF666666"/>
      <name val="Droid Serif"/>
    </font>
    <font>
      <sz val="14"/>
      <color rgb="FF666666"/>
      <name val="Roboto"/>
    </font>
    <font>
      <sz val="14"/>
      <color rgb="FF666666"/>
      <name val="Verdana"/>
    </font>
    <font>
      <sz val="15"/>
      <color rgb="FF666666"/>
      <name val="Inconsolata"/>
    </font>
    <font>
      <sz val="15"/>
      <color rgb="FF666666"/>
      <name val="Comfortaa"/>
    </font>
    <font>
      <sz val="14"/>
      <color theme="1"/>
      <name val="Droid Serif"/>
    </font>
    <font>
      <b/>
      <sz val="11"/>
      <color theme="1"/>
      <name val="Trebuchet MS"/>
    </font>
    <font>
      <b/>
      <sz val="15"/>
      <color rgb="FF434343"/>
      <name val="Arial"/>
    </font>
    <font>
      <b/>
      <sz val="10"/>
      <color rgb="FF666666"/>
      <name val="Arial"/>
      <scheme val="minor"/>
    </font>
    <font>
      <sz val="14"/>
      <color rgb="FF666666"/>
      <name val="Cambria"/>
    </font>
    <font>
      <sz val="15"/>
      <color rgb="FF666666"/>
      <name val="Montserrat"/>
    </font>
    <font>
      <sz val="16"/>
      <color theme="1"/>
      <name val="Inconsolata"/>
    </font>
    <font>
      <sz val="15"/>
      <color rgb="FF666666"/>
      <name val="Arial"/>
      <scheme val="minor"/>
    </font>
    <font>
      <b/>
      <sz val="10"/>
      <color theme="1"/>
      <name val="Arial"/>
      <scheme val="minor"/>
    </font>
    <font>
      <b/>
      <sz val="11"/>
      <color theme="1"/>
      <name val="Arial"/>
      <scheme val="minor"/>
    </font>
    <font>
      <b/>
      <sz val="10"/>
      <color rgb="FFD9D9D9"/>
      <name val="Arial"/>
    </font>
    <font>
      <b/>
      <sz val="15"/>
      <color rgb="FF434343"/>
      <name val="Arial"/>
      <scheme val="minor"/>
    </font>
    <font>
      <sz val="14"/>
      <color theme="1"/>
      <name val="Cambria"/>
    </font>
    <font>
      <b/>
      <sz val="11"/>
      <color theme="1"/>
      <name val="Nunito"/>
    </font>
    <font>
      <sz val="14"/>
      <color theme="1"/>
      <name val="Inconsolata"/>
    </font>
    <font>
      <b/>
      <sz val="11"/>
      <color rgb="FFD9D9D9"/>
      <name val="Arial"/>
      <scheme val="minor"/>
    </font>
    <font>
      <b/>
      <sz val="18"/>
      <color rgb="FFD9D9D9"/>
      <name val="Trebuchet MS"/>
    </font>
    <font>
      <b/>
      <sz val="12"/>
      <color rgb="FFD9D9D9"/>
      <name val="Droid Serif"/>
    </font>
    <font>
      <sz val="14"/>
      <color rgb="FFD9D9D9"/>
      <name val="Inconsolata"/>
    </font>
  </fonts>
  <fills count="8">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3C78D8"/>
        <bgColor rgb="FF3C78D8"/>
      </patternFill>
    </fill>
    <fill>
      <patternFill patternType="solid">
        <fgColor rgb="FFEFEFEF"/>
        <bgColor rgb="FFEFEFEF"/>
      </patternFill>
    </fill>
    <fill>
      <patternFill patternType="solid">
        <fgColor rgb="FFFCE5CD"/>
        <bgColor rgb="FFFCE5CD"/>
      </patternFill>
    </fill>
    <fill>
      <patternFill patternType="solid">
        <fgColor rgb="FF4A86E8"/>
        <bgColor rgb="FF4A86E8"/>
      </patternFill>
    </fill>
  </fills>
  <borders count="31">
    <border>
      <left/>
      <right/>
      <top/>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right/>
      <top style="thin">
        <color rgb="FF3C78D8"/>
      </top>
      <bottom style="thin">
        <color rgb="FF3C78D8"/>
      </bottom>
      <diagonal/>
    </border>
    <border>
      <left/>
      <right style="thin">
        <color rgb="FF3C78D8"/>
      </right>
      <top style="thin">
        <color rgb="FF3C78D8"/>
      </top>
      <bottom style="thin">
        <color rgb="FF3C78D8"/>
      </bottom>
      <diagonal/>
    </border>
    <border>
      <left style="thin">
        <color rgb="FF3C78D8"/>
      </left>
      <right style="thin">
        <color rgb="FF3C78D8"/>
      </right>
      <top style="thin">
        <color rgb="FF3C78D8"/>
      </top>
      <bottom style="thin">
        <color rgb="FF3C78D8"/>
      </bottom>
      <diagonal/>
    </border>
    <border>
      <left style="thin">
        <color rgb="FF3C78D8"/>
      </left>
      <right/>
      <top style="thin">
        <color rgb="FF3C78D8"/>
      </top>
      <bottom style="thin">
        <color rgb="FF3C78D8"/>
      </bottom>
      <diagonal/>
    </border>
    <border>
      <left style="thin">
        <color rgb="FF3C78D8"/>
      </left>
      <right style="thin">
        <color rgb="FF3C78D8"/>
      </right>
      <top style="thin">
        <color rgb="FF3C78D8"/>
      </top>
      <bottom/>
      <diagonal/>
    </border>
    <border>
      <left style="thick">
        <color rgb="FF3C78D8"/>
      </left>
      <right style="thick">
        <color rgb="FF3C78D8"/>
      </right>
      <top style="thick">
        <color rgb="FF3C78D8"/>
      </top>
      <bottom style="thick">
        <color rgb="FF3C78D8"/>
      </bottom>
      <diagonal/>
    </border>
    <border>
      <left style="thin">
        <color rgb="FFFFFFFF"/>
      </left>
      <right style="thin">
        <color rgb="FFFFFFFF"/>
      </right>
      <top/>
      <bottom style="thin">
        <color rgb="FFFFFFFF"/>
      </bottom>
      <diagonal/>
    </border>
    <border>
      <left style="thin">
        <color rgb="FFFFFFFF"/>
      </left>
      <right/>
      <top/>
      <bottom/>
      <diagonal/>
    </border>
    <border>
      <left/>
      <right style="thick">
        <color rgb="FFFFFFFF"/>
      </right>
      <top/>
      <bottom/>
      <diagonal/>
    </border>
    <border>
      <left style="thin">
        <color rgb="FFFFFFFF"/>
      </left>
      <right style="thin">
        <color rgb="FFFFFFFF"/>
      </right>
      <top style="thin">
        <color rgb="FFFFFFFF"/>
      </top>
      <bottom style="thin">
        <color rgb="FFFFFFFF"/>
      </bottom>
      <diagonal/>
    </border>
    <border>
      <left/>
      <right style="thick">
        <color rgb="FFFFFFFF"/>
      </right>
      <top style="thick">
        <color rgb="FFFFFFFF"/>
      </top>
      <bottom style="thick">
        <color rgb="FFFFFFFF"/>
      </bottom>
      <diagonal/>
    </border>
    <border>
      <left/>
      <right/>
      <top style="thick">
        <color rgb="FFFFFFFF"/>
      </top>
      <bottom style="thick">
        <color rgb="FFFFFFFF"/>
      </bottom>
      <diagonal/>
    </border>
    <border>
      <left style="thin">
        <color rgb="FFEFEFEF"/>
      </left>
      <right style="thick">
        <color rgb="FFCCCCCC"/>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CCCCCC"/>
      </right>
      <top style="thick">
        <color rgb="FFFFFFFF"/>
      </top>
      <bottom style="thick">
        <color rgb="FFFFFFFF"/>
      </bottom>
      <diagonal/>
    </border>
    <border>
      <left/>
      <right style="thick">
        <color rgb="FFFFFFFF"/>
      </right>
      <top style="thick">
        <color rgb="FFFFFFFF"/>
      </top>
      <bottom style="thick">
        <color rgb="FFCCCCCC"/>
      </bottom>
      <diagonal/>
    </border>
    <border>
      <left style="thick">
        <color rgb="FFFFFFFF"/>
      </left>
      <right style="thick">
        <color rgb="FFFFFFFF"/>
      </right>
      <top style="thick">
        <color rgb="FFFFFFFF"/>
      </top>
      <bottom style="thick">
        <color rgb="FFCCCCCC"/>
      </bottom>
      <diagonal/>
    </border>
    <border>
      <left style="thick">
        <color rgb="FFFFFFFF"/>
      </left>
      <right style="thick">
        <color rgb="FFCCCCCC"/>
      </right>
      <top style="thick">
        <color rgb="FFFFFFFF"/>
      </top>
      <bottom style="thick">
        <color rgb="FFCCCCCC"/>
      </bottom>
      <diagonal/>
    </border>
    <border>
      <left/>
      <right/>
      <top/>
      <bottom style="thick">
        <color rgb="FFFFFFFF"/>
      </bottom>
      <diagonal/>
    </border>
    <border>
      <left/>
      <right style="thick">
        <color rgb="FFFFFFFF"/>
      </right>
      <top/>
      <bottom style="thick">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240">
    <xf numFmtId="0" fontId="0" fillId="0" borderId="0" xfId="0"/>
    <xf numFmtId="164" fontId="6" fillId="4" borderId="5" xfId="0" applyNumberFormat="1" applyFont="1" applyFill="1" applyBorder="1" applyAlignment="1">
      <alignment horizontal="right" vertical="center" wrapText="1"/>
    </xf>
    <xf numFmtId="164" fontId="7" fillId="4" borderId="5" xfId="0" applyNumberFormat="1" applyFont="1" applyFill="1" applyBorder="1" applyAlignment="1">
      <alignment horizontal="right" vertical="center" wrapText="1"/>
    </xf>
    <xf numFmtId="164" fontId="6" fillId="4" borderId="7" xfId="0" applyNumberFormat="1" applyFont="1" applyFill="1" applyBorder="1" applyAlignment="1">
      <alignment horizontal="right" vertical="center" wrapText="1"/>
    </xf>
    <xf numFmtId="164" fontId="8" fillId="4" borderId="8" xfId="0" applyNumberFormat="1" applyFont="1" applyFill="1" applyBorder="1" applyAlignment="1">
      <alignment horizontal="right" vertical="center"/>
    </xf>
    <xf numFmtId="3" fontId="10" fillId="2" borderId="12" xfId="0" applyNumberFormat="1" applyFont="1" applyFill="1" applyBorder="1" applyAlignment="1">
      <alignment horizontal="right" vertical="center" wrapText="1"/>
    </xf>
    <xf numFmtId="165" fontId="11" fillId="2" borderId="13" xfId="0" applyNumberFormat="1" applyFont="1" applyFill="1" applyBorder="1" applyAlignment="1">
      <alignment horizontal="left" vertical="center" wrapText="1"/>
    </xf>
    <xf numFmtId="164" fontId="12" fillId="2" borderId="13" xfId="0" applyNumberFormat="1" applyFont="1" applyFill="1" applyBorder="1" applyAlignment="1">
      <alignment horizontal="center" vertical="center" wrapText="1"/>
    </xf>
    <xf numFmtId="3" fontId="13" fillId="2" borderId="14" xfId="0" applyNumberFormat="1" applyFont="1" applyFill="1" applyBorder="1" applyAlignment="1">
      <alignment horizontal="center" vertical="center" wrapText="1"/>
    </xf>
    <xf numFmtId="164" fontId="14" fillId="2" borderId="15" xfId="0" applyNumberFormat="1" applyFont="1" applyFill="1" applyBorder="1" applyAlignment="1">
      <alignment horizontal="right" vertical="center" wrapText="1"/>
    </xf>
    <xf numFmtId="165" fontId="15" fillId="2" borderId="13" xfId="0" applyNumberFormat="1" applyFont="1" applyFill="1" applyBorder="1" applyAlignment="1">
      <alignment horizontal="center" vertical="center" wrapText="1"/>
    </xf>
    <xf numFmtId="165" fontId="15" fillId="2" borderId="16" xfId="0" applyNumberFormat="1" applyFont="1" applyFill="1" applyBorder="1" applyAlignment="1">
      <alignment horizontal="center" vertical="center" wrapText="1"/>
    </xf>
    <xf numFmtId="3" fontId="15" fillId="2" borderId="16" xfId="0" applyNumberFormat="1" applyFont="1" applyFill="1" applyBorder="1" applyAlignment="1">
      <alignment horizontal="center" vertical="center" wrapText="1"/>
    </xf>
    <xf numFmtId="166" fontId="16" fillId="2" borderId="17" xfId="0" applyNumberFormat="1" applyFont="1" applyFill="1" applyBorder="1" applyAlignment="1">
      <alignment horizontal="center" vertical="center" wrapText="1"/>
    </xf>
    <xf numFmtId="165" fontId="17" fillId="2" borderId="13" xfId="0" applyNumberFormat="1" applyFont="1" applyFill="1" applyBorder="1" applyAlignment="1">
      <alignment horizontal="center" vertical="center" wrapText="1"/>
    </xf>
    <xf numFmtId="0" fontId="17" fillId="2" borderId="16" xfId="0" applyFont="1" applyFill="1" applyBorder="1" applyAlignment="1">
      <alignment horizontal="center" vertical="center" wrapText="1"/>
    </xf>
    <xf numFmtId="3" fontId="17" fillId="2" borderId="16" xfId="0" applyNumberFormat="1" applyFont="1" applyFill="1" applyBorder="1" applyAlignment="1">
      <alignment horizontal="center" vertical="center" wrapText="1"/>
    </xf>
    <xf numFmtId="166" fontId="18" fillId="2" borderId="17" xfId="0" applyNumberFormat="1" applyFont="1" applyFill="1" applyBorder="1" applyAlignment="1">
      <alignment horizontal="right" vertical="center" wrapText="1"/>
    </xf>
    <xf numFmtId="165" fontId="19" fillId="2" borderId="13" xfId="0" applyNumberFormat="1" applyFont="1" applyFill="1" applyBorder="1" applyAlignment="1">
      <alignment horizontal="center" vertical="center"/>
    </xf>
    <xf numFmtId="3" fontId="19" fillId="2" borderId="16" xfId="0" applyNumberFormat="1" applyFont="1" applyFill="1" applyBorder="1" applyAlignment="1">
      <alignment horizontal="center" vertical="center"/>
    </xf>
    <xf numFmtId="164" fontId="19" fillId="2" borderId="17" xfId="0" applyNumberFormat="1" applyFont="1" applyFill="1" applyBorder="1" applyAlignment="1">
      <alignment horizontal="right" vertical="center"/>
    </xf>
    <xf numFmtId="165" fontId="17" fillId="2" borderId="18" xfId="0" applyNumberFormat="1" applyFont="1" applyFill="1" applyBorder="1" applyAlignment="1">
      <alignment horizontal="center" vertical="center"/>
    </xf>
    <xf numFmtId="0" fontId="17" fillId="2" borderId="19" xfId="0" applyFont="1" applyFill="1" applyBorder="1" applyAlignment="1">
      <alignment horizontal="center" vertical="center"/>
    </xf>
    <xf numFmtId="3" fontId="17" fillId="2" borderId="19" xfId="0" applyNumberFormat="1" applyFont="1" applyFill="1" applyBorder="1" applyAlignment="1">
      <alignment horizontal="center" vertical="center"/>
    </xf>
    <xf numFmtId="0" fontId="17" fillId="2" borderId="20" xfId="0" applyFont="1" applyFill="1" applyBorder="1" applyAlignment="1">
      <alignment horizontal="center" vertical="center"/>
    </xf>
    <xf numFmtId="164" fontId="22" fillId="0" borderId="12" xfId="0" applyNumberFormat="1" applyFont="1" applyBorder="1" applyAlignment="1">
      <alignment horizontal="right" vertical="center"/>
    </xf>
    <xf numFmtId="164" fontId="24" fillId="0" borderId="0" xfId="0" applyNumberFormat="1" applyFont="1" applyAlignment="1">
      <alignment horizontal="right" vertical="center"/>
    </xf>
    <xf numFmtId="164" fontId="25" fillId="0" borderId="12" xfId="0" applyNumberFormat="1" applyFont="1" applyBorder="1" applyAlignment="1">
      <alignment horizontal="right" vertical="center"/>
    </xf>
    <xf numFmtId="167" fontId="26" fillId="4" borderId="12" xfId="0" applyNumberFormat="1" applyFont="1" applyFill="1" applyBorder="1" applyAlignment="1">
      <alignment horizontal="center" vertical="center"/>
    </xf>
    <xf numFmtId="0" fontId="27" fillId="4" borderId="12" xfId="0" applyFont="1" applyFill="1" applyBorder="1" applyAlignment="1">
      <alignment horizontal="center" vertical="center"/>
    </xf>
    <xf numFmtId="168" fontId="27" fillId="4" borderId="12" xfId="0" applyNumberFormat="1" applyFont="1" applyFill="1" applyBorder="1" applyAlignment="1">
      <alignment horizontal="center" vertical="center"/>
    </xf>
    <xf numFmtId="3" fontId="27" fillId="4" borderId="12" xfId="0" applyNumberFormat="1" applyFont="1" applyFill="1" applyBorder="1" applyAlignment="1">
      <alignment horizontal="right" vertical="center"/>
    </xf>
    <xf numFmtId="164" fontId="27" fillId="4" borderId="12" xfId="0" applyNumberFormat="1" applyFont="1" applyFill="1" applyBorder="1" applyAlignment="1">
      <alignment horizontal="right" vertical="center"/>
    </xf>
    <xf numFmtId="164" fontId="27" fillId="4" borderId="12" xfId="0" applyNumberFormat="1" applyFont="1" applyFill="1" applyBorder="1" applyAlignment="1">
      <alignment horizontal="center" vertical="center"/>
    </xf>
    <xf numFmtId="44" fontId="27" fillId="4" borderId="12" xfId="0" applyNumberFormat="1" applyFont="1" applyFill="1" applyBorder="1" applyAlignment="1">
      <alignment horizontal="center" vertical="center"/>
    </xf>
    <xf numFmtId="164" fontId="28" fillId="4" borderId="12" xfId="0" applyNumberFormat="1" applyFont="1" applyFill="1" applyBorder="1" applyAlignment="1">
      <alignment vertical="center"/>
    </xf>
    <xf numFmtId="164" fontId="29" fillId="4" borderId="12" xfId="0" applyNumberFormat="1" applyFont="1" applyFill="1" applyBorder="1" applyAlignment="1">
      <alignment horizontal="right" vertical="center"/>
    </xf>
    <xf numFmtId="3" fontId="30" fillId="4" borderId="12" xfId="0" applyNumberFormat="1" applyFont="1" applyFill="1" applyBorder="1" applyAlignment="1">
      <alignment horizontal="center" vertical="center"/>
    </xf>
    <xf numFmtId="165" fontId="30" fillId="4" borderId="12" xfId="0" applyNumberFormat="1" applyFont="1" applyFill="1" applyBorder="1" applyAlignment="1">
      <alignment horizontal="center" vertical="center"/>
    </xf>
    <xf numFmtId="0" fontId="30" fillId="4" borderId="12" xfId="0" applyFont="1" applyFill="1" applyBorder="1" applyAlignment="1">
      <alignment horizontal="center" vertical="center"/>
    </xf>
    <xf numFmtId="49" fontId="30" fillId="4" borderId="12" xfId="0" applyNumberFormat="1" applyFont="1" applyFill="1" applyBorder="1" applyAlignment="1">
      <alignment horizontal="center" vertical="center"/>
    </xf>
    <xf numFmtId="49" fontId="31" fillId="4" borderId="12" xfId="0" applyNumberFormat="1" applyFont="1" applyFill="1" applyBorder="1" applyAlignment="1">
      <alignment horizontal="center" vertical="center"/>
    </xf>
    <xf numFmtId="168" fontId="32" fillId="4" borderId="12" xfId="0" applyNumberFormat="1" applyFont="1" applyFill="1" applyBorder="1" applyAlignment="1">
      <alignment horizontal="center" vertical="center"/>
    </xf>
    <xf numFmtId="165" fontId="33" fillId="4" borderId="12" xfId="0" applyNumberFormat="1" applyFont="1" applyFill="1" applyBorder="1" applyAlignment="1">
      <alignment horizontal="center" vertical="center"/>
    </xf>
    <xf numFmtId="164" fontId="34" fillId="4" borderId="12" xfId="0" applyNumberFormat="1" applyFont="1" applyFill="1" applyBorder="1" applyAlignment="1">
      <alignment horizontal="center" vertical="center"/>
    </xf>
    <xf numFmtId="166" fontId="27" fillId="4" borderId="12" xfId="0" applyNumberFormat="1" applyFont="1" applyFill="1" applyBorder="1" applyAlignment="1">
      <alignment horizontal="center" vertical="center"/>
    </xf>
    <xf numFmtId="0" fontId="35" fillId="4" borderId="12" xfId="0" applyFont="1" applyFill="1" applyBorder="1" applyAlignment="1">
      <alignment horizontal="center" vertical="center"/>
    </xf>
    <xf numFmtId="167" fontId="36" fillId="0" borderId="2" xfId="0" applyNumberFormat="1" applyFont="1" applyBorder="1" applyAlignment="1">
      <alignment horizontal="center" vertical="center"/>
    </xf>
    <xf numFmtId="0" fontId="37" fillId="0" borderId="26" xfId="0" applyFont="1" applyBorder="1" applyAlignment="1">
      <alignment horizontal="center" vertical="center"/>
    </xf>
    <xf numFmtId="165" fontId="38" fillId="0" borderId="26" xfId="0" applyNumberFormat="1" applyFont="1" applyBorder="1" applyAlignment="1">
      <alignment horizontal="center" vertical="center"/>
    </xf>
    <xf numFmtId="3" fontId="38" fillId="0" borderId="26" xfId="0" applyNumberFormat="1" applyFont="1" applyBorder="1" applyAlignment="1">
      <alignment horizontal="center" vertical="center"/>
    </xf>
    <xf numFmtId="164" fontId="38" fillId="6" borderId="12" xfId="0" applyNumberFormat="1" applyFont="1" applyFill="1" applyBorder="1" applyAlignment="1">
      <alignment horizontal="center" vertical="center"/>
    </xf>
    <xf numFmtId="164" fontId="39" fillId="6" borderId="12" xfId="0" applyNumberFormat="1" applyFont="1" applyFill="1" applyBorder="1" applyAlignment="1">
      <alignment horizontal="center" vertical="center"/>
    </xf>
    <xf numFmtId="44" fontId="40" fillId="6" borderId="12" xfId="0" applyNumberFormat="1" applyFont="1" applyFill="1" applyBorder="1" applyAlignment="1">
      <alignment horizontal="center" vertical="center"/>
    </xf>
    <xf numFmtId="164" fontId="41" fillId="6" borderId="12" xfId="0" applyNumberFormat="1" applyFont="1" applyFill="1" applyBorder="1" applyAlignment="1">
      <alignment horizontal="center" vertical="center"/>
    </xf>
    <xf numFmtId="164" fontId="42" fillId="6" borderId="12" xfId="0" applyNumberFormat="1" applyFont="1" applyFill="1" applyBorder="1" applyAlignment="1">
      <alignment horizontal="center" vertical="center"/>
    </xf>
    <xf numFmtId="168" fontId="43" fillId="6" borderId="12" xfId="0" applyNumberFormat="1" applyFont="1" applyFill="1" applyBorder="1" applyAlignment="1">
      <alignment horizontal="center" vertical="center"/>
    </xf>
    <xf numFmtId="3" fontId="44" fillId="6" borderId="12" xfId="0" applyNumberFormat="1" applyFont="1" applyFill="1" applyBorder="1" applyAlignment="1">
      <alignment horizontal="center" vertical="center"/>
    </xf>
    <xf numFmtId="165" fontId="40" fillId="6" borderId="12" xfId="0" applyNumberFormat="1" applyFont="1" applyFill="1" applyBorder="1" applyAlignment="1">
      <alignment horizontal="center" vertical="center"/>
    </xf>
    <xf numFmtId="167" fontId="45" fillId="6" borderId="12" xfId="0" applyNumberFormat="1" applyFont="1" applyFill="1" applyBorder="1" applyAlignment="1">
      <alignment horizontal="center" vertical="center"/>
    </xf>
    <xf numFmtId="49" fontId="46" fillId="6" borderId="12" xfId="0" applyNumberFormat="1" applyFont="1" applyFill="1" applyBorder="1" applyAlignment="1">
      <alignment horizontal="center" vertical="center"/>
    </xf>
    <xf numFmtId="49" fontId="47" fillId="6" borderId="12" xfId="0" applyNumberFormat="1" applyFont="1" applyFill="1" applyBorder="1" applyAlignment="1">
      <alignment horizontal="center" vertical="center"/>
    </xf>
    <xf numFmtId="168" fontId="48" fillId="6" borderId="12" xfId="0" applyNumberFormat="1" applyFont="1" applyFill="1" applyBorder="1" applyAlignment="1">
      <alignment horizontal="right" vertical="center"/>
    </xf>
    <xf numFmtId="165" fontId="49" fillId="6" borderId="12" xfId="0" applyNumberFormat="1" applyFont="1" applyFill="1" applyBorder="1" applyAlignment="1">
      <alignment horizontal="right" vertical="center"/>
    </xf>
    <xf numFmtId="3" fontId="44" fillId="6" borderId="12" xfId="0" applyNumberFormat="1" applyFont="1" applyFill="1" applyBorder="1" applyAlignment="1">
      <alignment horizontal="right" vertical="center"/>
    </xf>
    <xf numFmtId="164" fontId="50" fillId="6" borderId="12" xfId="0" applyNumberFormat="1" applyFont="1" applyFill="1" applyBorder="1" applyAlignment="1">
      <alignment horizontal="right" vertical="center"/>
    </xf>
    <xf numFmtId="166" fontId="41" fillId="6" borderId="12" xfId="0" applyNumberFormat="1" applyFont="1" applyFill="1" applyBorder="1" applyAlignment="1">
      <alignment horizontal="right" vertical="center"/>
    </xf>
    <xf numFmtId="0" fontId="51" fillId="6" borderId="12" xfId="0" applyFont="1" applyFill="1" applyBorder="1" applyAlignment="1">
      <alignment horizontal="right" vertical="center"/>
    </xf>
    <xf numFmtId="167" fontId="52" fillId="0" borderId="12" xfId="0" applyNumberFormat="1" applyFont="1" applyBorder="1" applyAlignment="1">
      <alignment horizontal="center" vertical="center"/>
    </xf>
    <xf numFmtId="0" fontId="25" fillId="0" borderId="12" xfId="0" applyFont="1" applyBorder="1" applyAlignment="1">
      <alignment horizontal="center" vertical="center"/>
    </xf>
    <xf numFmtId="165" fontId="24" fillId="0" borderId="12" xfId="0" applyNumberFormat="1" applyFont="1" applyBorder="1" applyAlignment="1">
      <alignment horizontal="center" vertical="center"/>
    </xf>
    <xf numFmtId="3" fontId="24" fillId="0" borderId="12" xfId="0" applyNumberFormat="1" applyFont="1" applyBorder="1" applyAlignment="1">
      <alignment horizontal="center" vertical="center"/>
    </xf>
    <xf numFmtId="167" fontId="36" fillId="0" borderId="9" xfId="0" applyNumberFormat="1" applyFont="1" applyBorder="1" applyAlignment="1">
      <alignment horizontal="center" vertical="center"/>
    </xf>
    <xf numFmtId="14" fontId="37" fillId="0" borderId="29" xfId="0" applyNumberFormat="1" applyFont="1" applyBorder="1" applyAlignment="1">
      <alignment horizontal="center" vertical="center"/>
    </xf>
    <xf numFmtId="165" fontId="38" fillId="0" borderId="29" xfId="0" applyNumberFormat="1" applyFont="1" applyBorder="1" applyAlignment="1">
      <alignment horizontal="center" vertical="center"/>
    </xf>
    <xf numFmtId="3" fontId="38" fillId="0" borderId="29" xfId="0" applyNumberFormat="1" applyFont="1" applyBorder="1" applyAlignment="1">
      <alignment horizontal="center" vertical="center"/>
    </xf>
    <xf numFmtId="164" fontId="38" fillId="2" borderId="29" xfId="0" applyNumberFormat="1" applyFont="1" applyFill="1" applyBorder="1" applyAlignment="1">
      <alignment horizontal="center" vertical="center"/>
    </xf>
    <xf numFmtId="169" fontId="36" fillId="0" borderId="9" xfId="0" applyNumberFormat="1" applyFont="1" applyBorder="1" applyAlignment="1">
      <alignment horizontal="center" vertical="center"/>
    </xf>
    <xf numFmtId="0" fontId="37" fillId="0" borderId="29" xfId="0" applyFont="1" applyBorder="1" applyAlignment="1">
      <alignment horizontal="center" vertical="center"/>
    </xf>
    <xf numFmtId="164" fontId="38" fillId="0" borderId="29" xfId="0" applyNumberFormat="1" applyFont="1" applyBorder="1" applyAlignment="1">
      <alignment horizontal="center" vertical="center"/>
    </xf>
    <xf numFmtId="167" fontId="36" fillId="0" borderId="12" xfId="0" applyNumberFormat="1" applyFont="1" applyBorder="1" applyAlignment="1">
      <alignment horizontal="center" vertical="center"/>
    </xf>
    <xf numFmtId="14" fontId="37" fillId="0" borderId="12" xfId="0" applyNumberFormat="1" applyFont="1" applyBorder="1" applyAlignment="1">
      <alignment horizontal="center" vertical="center"/>
    </xf>
    <xf numFmtId="165" fontId="38" fillId="0" borderId="12" xfId="0" applyNumberFormat="1" applyFont="1" applyBorder="1" applyAlignment="1">
      <alignment horizontal="center" vertical="center"/>
    </xf>
    <xf numFmtId="3" fontId="38" fillId="0" borderId="12" xfId="0" applyNumberFormat="1" applyFont="1" applyBorder="1" applyAlignment="1">
      <alignment horizontal="center" vertical="center"/>
    </xf>
    <xf numFmtId="164" fontId="38" fillId="6" borderId="30" xfId="0" applyNumberFormat="1" applyFont="1" applyFill="1" applyBorder="1" applyAlignment="1">
      <alignment horizontal="center" vertical="center"/>
    </xf>
    <xf numFmtId="0" fontId="37" fillId="0" borderId="30" xfId="0" applyFont="1" applyBorder="1" applyAlignment="1">
      <alignment horizontal="center" vertical="center"/>
    </xf>
    <xf numFmtId="165" fontId="38" fillId="0" borderId="30" xfId="0" applyNumberFormat="1" applyFont="1" applyBorder="1" applyAlignment="1">
      <alignment horizontal="center" vertical="center"/>
    </xf>
    <xf numFmtId="3" fontId="38" fillId="0" borderId="30" xfId="0" applyNumberFormat="1" applyFont="1" applyBorder="1" applyAlignment="1">
      <alignment horizontal="center" vertical="center"/>
    </xf>
    <xf numFmtId="0" fontId="37" fillId="0" borderId="12" xfId="0" applyFont="1" applyBorder="1" applyAlignment="1">
      <alignment horizontal="center" vertical="center"/>
    </xf>
    <xf numFmtId="167" fontId="53" fillId="0" borderId="12" xfId="0" applyNumberFormat="1" applyFont="1" applyBorder="1" applyAlignment="1">
      <alignment horizontal="center" vertical="center"/>
    </xf>
    <xf numFmtId="14" fontId="37" fillId="0" borderId="26" xfId="0" applyNumberFormat="1" applyFont="1" applyBorder="1" applyAlignment="1">
      <alignment horizontal="center" vertical="center"/>
    </xf>
    <xf numFmtId="164" fontId="39" fillId="6" borderId="1" xfId="0" applyNumberFormat="1" applyFont="1" applyFill="1" applyBorder="1" applyAlignment="1">
      <alignment horizontal="center" vertical="center"/>
    </xf>
    <xf numFmtId="44" fontId="40" fillId="6" borderId="1" xfId="0" applyNumberFormat="1" applyFont="1" applyFill="1" applyBorder="1" applyAlignment="1">
      <alignment horizontal="center" vertical="center"/>
    </xf>
    <xf numFmtId="164" fontId="41" fillId="6" borderId="1" xfId="0" applyNumberFormat="1" applyFont="1" applyFill="1" applyBorder="1" applyAlignment="1">
      <alignment horizontal="center" vertical="center"/>
    </xf>
    <xf numFmtId="164" fontId="42" fillId="6" borderId="1" xfId="0" applyNumberFormat="1" applyFont="1" applyFill="1" applyBorder="1" applyAlignment="1">
      <alignment horizontal="center" vertical="center"/>
    </xf>
    <xf numFmtId="168" fontId="43" fillId="6" borderId="1" xfId="0" applyNumberFormat="1" applyFont="1" applyFill="1" applyBorder="1" applyAlignment="1">
      <alignment horizontal="center" vertical="center"/>
    </xf>
    <xf numFmtId="3" fontId="44" fillId="6" borderId="1" xfId="0" applyNumberFormat="1" applyFont="1" applyFill="1" applyBorder="1" applyAlignment="1">
      <alignment horizontal="center" vertical="center"/>
    </xf>
    <xf numFmtId="165" fontId="40" fillId="6" borderId="1" xfId="0" applyNumberFormat="1" applyFont="1" applyFill="1" applyBorder="1" applyAlignment="1">
      <alignment horizontal="center" vertical="center"/>
    </xf>
    <xf numFmtId="167" fontId="45" fillId="6" borderId="1" xfId="0" applyNumberFormat="1" applyFont="1" applyFill="1" applyBorder="1" applyAlignment="1">
      <alignment horizontal="center" vertical="center"/>
    </xf>
    <xf numFmtId="49" fontId="46" fillId="6" borderId="1" xfId="0" applyNumberFormat="1" applyFont="1" applyFill="1" applyBorder="1" applyAlignment="1">
      <alignment horizontal="center" vertical="center"/>
    </xf>
    <xf numFmtId="168" fontId="48" fillId="6" borderId="1" xfId="0" applyNumberFormat="1" applyFont="1" applyFill="1" applyBorder="1" applyAlignment="1">
      <alignment horizontal="right" vertical="center"/>
    </xf>
    <xf numFmtId="165" fontId="49" fillId="6" borderId="1" xfId="0" applyNumberFormat="1" applyFont="1" applyFill="1" applyBorder="1" applyAlignment="1">
      <alignment horizontal="right" vertical="center"/>
    </xf>
    <xf numFmtId="3" fontId="44" fillId="6" borderId="1" xfId="0" applyNumberFormat="1" applyFont="1" applyFill="1" applyBorder="1" applyAlignment="1">
      <alignment horizontal="right" vertical="center"/>
    </xf>
    <xf numFmtId="164" fontId="50" fillId="6" borderId="1" xfId="0" applyNumberFormat="1" applyFont="1" applyFill="1" applyBorder="1" applyAlignment="1">
      <alignment horizontal="right" vertical="center"/>
    </xf>
    <xf numFmtId="166" fontId="41" fillId="6" borderId="1" xfId="0" applyNumberFormat="1" applyFont="1" applyFill="1" applyBorder="1" applyAlignment="1">
      <alignment horizontal="right" vertical="center"/>
    </xf>
    <xf numFmtId="0" fontId="51" fillId="6" borderId="1" xfId="0" applyFont="1" applyFill="1" applyBorder="1" applyAlignment="1">
      <alignment horizontal="right" vertical="center"/>
    </xf>
    <xf numFmtId="167" fontId="36" fillId="6" borderId="9" xfId="0" applyNumberFormat="1" applyFont="1" applyFill="1" applyBorder="1" applyAlignment="1">
      <alignment horizontal="center" vertical="center"/>
    </xf>
    <xf numFmtId="0" fontId="37" fillId="6" borderId="29" xfId="0" applyFont="1" applyFill="1" applyBorder="1" applyAlignment="1">
      <alignment horizontal="center" vertical="center"/>
    </xf>
    <xf numFmtId="165" fontId="38" fillId="6" borderId="29" xfId="0" applyNumberFormat="1" applyFont="1" applyFill="1" applyBorder="1" applyAlignment="1">
      <alignment horizontal="center" vertical="center"/>
    </xf>
    <xf numFmtId="3" fontId="38" fillId="6" borderId="29" xfId="0" applyNumberFormat="1" applyFont="1" applyFill="1" applyBorder="1" applyAlignment="1">
      <alignment horizontal="center" vertical="center"/>
    </xf>
    <xf numFmtId="167" fontId="45" fillId="2" borderId="12" xfId="0" applyNumberFormat="1" applyFont="1" applyFill="1" applyBorder="1" applyAlignment="1">
      <alignment horizontal="center" vertical="center"/>
    </xf>
    <xf numFmtId="49" fontId="46" fillId="2" borderId="12" xfId="0" applyNumberFormat="1" applyFont="1" applyFill="1" applyBorder="1" applyAlignment="1">
      <alignment horizontal="center" vertical="center"/>
    </xf>
    <xf numFmtId="49" fontId="47" fillId="2" borderId="12" xfId="0" applyNumberFormat="1" applyFont="1" applyFill="1" applyBorder="1" applyAlignment="1">
      <alignment horizontal="center" vertical="center"/>
    </xf>
    <xf numFmtId="168" fontId="48" fillId="2" borderId="12" xfId="0" applyNumberFormat="1" applyFont="1" applyFill="1" applyBorder="1" applyAlignment="1">
      <alignment horizontal="right" vertical="center"/>
    </xf>
    <xf numFmtId="165" fontId="49" fillId="2" borderId="12" xfId="0" applyNumberFormat="1" applyFont="1" applyFill="1" applyBorder="1" applyAlignment="1">
      <alignment horizontal="right" vertical="center"/>
    </xf>
    <xf numFmtId="3" fontId="44" fillId="2" borderId="12" xfId="0" applyNumberFormat="1" applyFont="1" applyFill="1" applyBorder="1" applyAlignment="1">
      <alignment horizontal="right" vertical="center"/>
    </xf>
    <xf numFmtId="164" fontId="50" fillId="2" borderId="12" xfId="0" applyNumberFormat="1" applyFont="1" applyFill="1" applyBorder="1" applyAlignment="1">
      <alignment horizontal="right" vertical="center"/>
    </xf>
    <xf numFmtId="166" fontId="41" fillId="2" borderId="12" xfId="0" applyNumberFormat="1" applyFont="1" applyFill="1" applyBorder="1" applyAlignment="1">
      <alignment horizontal="right" vertical="center"/>
    </xf>
    <xf numFmtId="3" fontId="51" fillId="2" borderId="12" xfId="0" applyNumberFormat="1" applyFont="1" applyFill="1" applyBorder="1" applyAlignment="1">
      <alignment horizontal="right" vertical="center"/>
    </xf>
    <xf numFmtId="167" fontId="36" fillId="6" borderId="12" xfId="0" applyNumberFormat="1" applyFont="1" applyFill="1" applyBorder="1" applyAlignment="1">
      <alignment horizontal="center" vertical="center"/>
    </xf>
    <xf numFmtId="0" fontId="37" fillId="6" borderId="12" xfId="0" applyFont="1" applyFill="1" applyBorder="1" applyAlignment="1">
      <alignment horizontal="center" vertical="center"/>
    </xf>
    <xf numFmtId="165" fontId="38" fillId="6" borderId="12" xfId="0" applyNumberFormat="1" applyFont="1" applyFill="1" applyBorder="1" applyAlignment="1">
      <alignment horizontal="center" vertical="center"/>
    </xf>
    <xf numFmtId="3" fontId="38" fillId="6" borderId="12" xfId="0" applyNumberFormat="1" applyFont="1" applyFill="1" applyBorder="1" applyAlignment="1">
      <alignment horizontal="center" vertical="center"/>
    </xf>
    <xf numFmtId="169" fontId="36" fillId="6" borderId="12" xfId="0" applyNumberFormat="1" applyFont="1" applyFill="1" applyBorder="1" applyAlignment="1">
      <alignment horizontal="center" vertical="center"/>
    </xf>
    <xf numFmtId="14" fontId="37" fillId="6" borderId="29" xfId="0" applyNumberFormat="1" applyFont="1" applyFill="1" applyBorder="1" applyAlignment="1">
      <alignment horizontal="center" vertical="center"/>
    </xf>
    <xf numFmtId="164" fontId="38" fillId="6" borderId="29" xfId="0" applyNumberFormat="1" applyFont="1" applyFill="1" applyBorder="1" applyAlignment="1">
      <alignment horizontal="center" vertical="center"/>
    </xf>
    <xf numFmtId="169" fontId="36" fillId="6" borderId="9" xfId="0" applyNumberFormat="1" applyFont="1" applyFill="1" applyBorder="1" applyAlignment="1">
      <alignment horizontal="center" vertical="center"/>
    </xf>
    <xf numFmtId="14" fontId="37" fillId="6" borderId="30" xfId="0" applyNumberFormat="1" applyFont="1" applyFill="1" applyBorder="1" applyAlignment="1">
      <alignment horizontal="center" vertical="center"/>
    </xf>
    <xf numFmtId="165" fontId="38" fillId="6" borderId="30" xfId="0" applyNumberFormat="1" applyFont="1" applyFill="1" applyBorder="1" applyAlignment="1">
      <alignment horizontal="center" vertical="center"/>
    </xf>
    <xf numFmtId="3" fontId="38" fillId="6" borderId="30" xfId="0" applyNumberFormat="1" applyFont="1" applyFill="1" applyBorder="1" applyAlignment="1">
      <alignment horizontal="center" vertical="center"/>
    </xf>
    <xf numFmtId="167" fontId="36" fillId="6" borderId="2" xfId="0" applyNumberFormat="1" applyFont="1" applyFill="1" applyBorder="1" applyAlignment="1">
      <alignment horizontal="center" vertical="center"/>
    </xf>
    <xf numFmtId="0" fontId="25" fillId="6" borderId="12" xfId="0" applyFont="1" applyFill="1" applyBorder="1" applyAlignment="1">
      <alignment horizontal="center" vertical="center"/>
    </xf>
    <xf numFmtId="165" fontId="24" fillId="6" borderId="12" xfId="0" applyNumberFormat="1" applyFont="1" applyFill="1" applyBorder="1" applyAlignment="1">
      <alignment horizontal="center" vertical="center"/>
    </xf>
    <xf numFmtId="3" fontId="24" fillId="6" borderId="12" xfId="0" applyNumberFormat="1" applyFont="1" applyFill="1" applyBorder="1" applyAlignment="1">
      <alignment horizontal="center" vertical="center"/>
    </xf>
    <xf numFmtId="0" fontId="51" fillId="2" borderId="12" xfId="0" applyFont="1" applyFill="1" applyBorder="1" applyAlignment="1">
      <alignment horizontal="right" vertical="center"/>
    </xf>
    <xf numFmtId="170" fontId="36" fillId="6" borderId="2" xfId="0" applyNumberFormat="1" applyFont="1" applyFill="1" applyBorder="1" applyAlignment="1">
      <alignment horizontal="center" vertical="center"/>
    </xf>
    <xf numFmtId="167" fontId="53" fillId="6" borderId="12" xfId="0" applyNumberFormat="1" applyFont="1" applyFill="1" applyBorder="1" applyAlignment="1">
      <alignment horizontal="center" vertical="center"/>
    </xf>
    <xf numFmtId="167" fontId="36" fillId="6" borderId="9" xfId="0" applyNumberFormat="1" applyFont="1" applyFill="1" applyBorder="1" applyAlignment="1">
      <alignment horizontal="right" vertical="center"/>
    </xf>
    <xf numFmtId="165" fontId="38" fillId="6" borderId="29" xfId="0" applyNumberFormat="1" applyFont="1" applyFill="1" applyBorder="1" applyAlignment="1">
      <alignment horizontal="right" vertical="center"/>
    </xf>
    <xf numFmtId="3" fontId="38" fillId="6" borderId="29" xfId="0" applyNumberFormat="1" applyFont="1" applyFill="1" applyBorder="1" applyAlignment="1">
      <alignment horizontal="right" vertical="center"/>
    </xf>
    <xf numFmtId="164" fontId="38" fillId="6" borderId="12" xfId="0" applyNumberFormat="1" applyFont="1" applyFill="1" applyBorder="1" applyAlignment="1">
      <alignment horizontal="right" vertical="center"/>
    </xf>
    <xf numFmtId="164" fontId="39" fillId="6" borderId="12" xfId="0" applyNumberFormat="1" applyFont="1" applyFill="1" applyBorder="1" applyAlignment="1">
      <alignment vertical="center"/>
    </xf>
    <xf numFmtId="44" fontId="40" fillId="6" borderId="12" xfId="0" applyNumberFormat="1" applyFont="1" applyFill="1" applyBorder="1" applyAlignment="1">
      <alignment vertical="center"/>
    </xf>
    <xf numFmtId="164" fontId="41" fillId="6" borderId="12" xfId="0" applyNumberFormat="1" applyFont="1" applyFill="1" applyBorder="1" applyAlignment="1">
      <alignment vertical="center"/>
    </xf>
    <xf numFmtId="164" fontId="42" fillId="6" borderId="12" xfId="0" applyNumberFormat="1" applyFont="1" applyFill="1" applyBorder="1" applyAlignment="1">
      <alignment horizontal="right" vertical="center"/>
    </xf>
    <xf numFmtId="168" fontId="43" fillId="6" borderId="12" xfId="0" applyNumberFormat="1" applyFont="1" applyFill="1" applyBorder="1" applyAlignment="1">
      <alignment horizontal="right" vertical="center"/>
    </xf>
    <xf numFmtId="165" fontId="40" fillId="6" borderId="12" xfId="0" applyNumberFormat="1" applyFont="1" applyFill="1" applyBorder="1" applyAlignment="1">
      <alignment horizontal="right" vertical="center"/>
    </xf>
    <xf numFmtId="167" fontId="45" fillId="2" borderId="12" xfId="0" applyNumberFormat="1" applyFont="1" applyFill="1" applyBorder="1" applyAlignment="1">
      <alignment vertical="center"/>
    </xf>
    <xf numFmtId="168" fontId="48" fillId="2" borderId="12" xfId="0" applyNumberFormat="1" applyFont="1" applyFill="1" applyBorder="1" applyAlignment="1">
      <alignment vertical="center"/>
    </xf>
    <xf numFmtId="164" fontId="50" fillId="2" borderId="12" xfId="0" applyNumberFormat="1" applyFont="1" applyFill="1" applyBorder="1" applyAlignment="1">
      <alignment vertical="center"/>
    </xf>
    <xf numFmtId="166" fontId="41" fillId="2" borderId="12" xfId="0" applyNumberFormat="1" applyFont="1" applyFill="1" applyBorder="1" applyAlignment="1">
      <alignment vertical="center"/>
    </xf>
    <xf numFmtId="0" fontId="51" fillId="2" borderId="12" xfId="0" applyFont="1" applyFill="1" applyBorder="1" applyAlignment="1">
      <alignment horizontal="center" vertical="center"/>
    </xf>
    <xf numFmtId="169" fontId="36" fillId="6" borderId="9" xfId="0" applyNumberFormat="1" applyFont="1" applyFill="1" applyBorder="1" applyAlignment="1">
      <alignment horizontal="right" vertical="center"/>
    </xf>
    <xf numFmtId="164" fontId="38" fillId="6" borderId="29" xfId="0" applyNumberFormat="1" applyFont="1" applyFill="1" applyBorder="1" applyAlignment="1">
      <alignment horizontal="right" vertical="center"/>
    </xf>
    <xf numFmtId="167" fontId="53" fillId="6" borderId="12" xfId="0" applyNumberFormat="1" applyFont="1" applyFill="1" applyBorder="1" applyAlignment="1">
      <alignment vertical="center"/>
    </xf>
    <xf numFmtId="165" fontId="38" fillId="6" borderId="12" xfId="0" applyNumberFormat="1" applyFont="1" applyFill="1" applyBorder="1" applyAlignment="1">
      <alignment horizontal="right" vertical="center"/>
    </xf>
    <xf numFmtId="3" fontId="38" fillId="6" borderId="12" xfId="0" applyNumberFormat="1" applyFont="1" applyFill="1" applyBorder="1" applyAlignment="1">
      <alignment horizontal="right" vertical="center"/>
    </xf>
    <xf numFmtId="167" fontId="53" fillId="2" borderId="12" xfId="0" applyNumberFormat="1" applyFont="1" applyFill="1" applyBorder="1" applyAlignment="1">
      <alignment vertical="center"/>
    </xf>
    <xf numFmtId="165" fontId="38" fillId="2" borderId="12" xfId="0" applyNumberFormat="1" applyFont="1" applyFill="1" applyBorder="1" applyAlignment="1">
      <alignment horizontal="right" vertical="center"/>
    </xf>
    <xf numFmtId="3" fontId="38" fillId="2" borderId="12" xfId="0" applyNumberFormat="1" applyFont="1" applyFill="1" applyBorder="1" applyAlignment="1">
      <alignment horizontal="right" vertical="center"/>
    </xf>
    <xf numFmtId="0" fontId="38" fillId="6" borderId="12" xfId="0" quotePrefix="1" applyFont="1" applyFill="1" applyBorder="1" applyAlignment="1">
      <alignment horizontal="right" vertical="center"/>
    </xf>
    <xf numFmtId="0" fontId="38" fillId="2" borderId="12" xfId="0" quotePrefix="1" applyFont="1" applyFill="1" applyBorder="1" applyAlignment="1">
      <alignment horizontal="right" vertical="center"/>
    </xf>
    <xf numFmtId="49" fontId="55" fillId="2" borderId="12" xfId="0" applyNumberFormat="1" applyFont="1" applyFill="1" applyBorder="1" applyAlignment="1">
      <alignment horizontal="center" vertical="center"/>
    </xf>
    <xf numFmtId="168" fontId="56" fillId="2" borderId="12" xfId="0" applyNumberFormat="1" applyFont="1" applyFill="1" applyBorder="1" applyAlignment="1">
      <alignment vertical="center"/>
    </xf>
    <xf numFmtId="165" fontId="49" fillId="2" borderId="12" xfId="0" applyNumberFormat="1" applyFont="1" applyFill="1" applyBorder="1" applyAlignment="1">
      <alignment vertical="center"/>
    </xf>
    <xf numFmtId="167" fontId="36" fillId="6" borderId="12" xfId="0" applyNumberFormat="1" applyFont="1" applyFill="1" applyBorder="1" applyAlignment="1">
      <alignment horizontal="right" vertical="center"/>
    </xf>
    <xf numFmtId="165" fontId="38" fillId="6" borderId="30" xfId="0" applyNumberFormat="1" applyFont="1" applyFill="1" applyBorder="1" applyAlignment="1">
      <alignment horizontal="right" vertical="center"/>
    </xf>
    <xf numFmtId="3" fontId="38" fillId="6" borderId="30" xfId="0" applyNumberFormat="1" applyFont="1" applyFill="1" applyBorder="1" applyAlignment="1">
      <alignment horizontal="right" vertical="center"/>
    </xf>
    <xf numFmtId="164" fontId="38" fillId="6" borderId="30" xfId="0" applyNumberFormat="1" applyFont="1" applyFill="1" applyBorder="1" applyAlignment="1">
      <alignment horizontal="right" vertical="center"/>
    </xf>
    <xf numFmtId="167" fontId="52" fillId="6" borderId="12" xfId="0" applyNumberFormat="1" applyFont="1" applyFill="1" applyBorder="1" applyAlignment="1">
      <alignment vertical="center"/>
    </xf>
    <xf numFmtId="14" fontId="25" fillId="6" borderId="12" xfId="0" applyNumberFormat="1" applyFont="1" applyFill="1" applyBorder="1" applyAlignment="1">
      <alignment horizontal="center" vertical="center"/>
    </xf>
    <xf numFmtId="165" fontId="24" fillId="6" borderId="12" xfId="0" applyNumberFormat="1" applyFont="1" applyFill="1" applyBorder="1" applyAlignment="1">
      <alignment vertical="center"/>
    </xf>
    <xf numFmtId="3" fontId="24" fillId="6" borderId="12" xfId="0" applyNumberFormat="1" applyFont="1" applyFill="1" applyBorder="1" applyAlignment="1">
      <alignment horizontal="right" vertical="center"/>
    </xf>
    <xf numFmtId="164" fontId="24" fillId="6" borderId="12" xfId="0" applyNumberFormat="1" applyFont="1" applyFill="1" applyBorder="1" applyAlignment="1">
      <alignment horizontal="right" vertical="center"/>
    </xf>
    <xf numFmtId="0" fontId="42" fillId="6" borderId="12" xfId="0" applyFont="1" applyFill="1" applyBorder="1" applyAlignment="1">
      <alignment horizontal="right" vertical="center"/>
    </xf>
    <xf numFmtId="44" fontId="40" fillId="6" borderId="30" xfId="0" applyNumberFormat="1" applyFont="1" applyFill="1" applyBorder="1" applyAlignment="1">
      <alignment horizontal="center" vertical="center"/>
    </xf>
    <xf numFmtId="168" fontId="43" fillId="6" borderId="12" xfId="0" applyNumberFormat="1" applyFont="1" applyFill="1" applyBorder="1" applyAlignment="1">
      <alignment vertical="center"/>
    </xf>
    <xf numFmtId="3" fontId="39" fillId="6" borderId="12" xfId="0" applyNumberFormat="1" applyFont="1" applyFill="1" applyBorder="1" applyAlignment="1">
      <alignment horizontal="center" vertical="center"/>
    </xf>
    <xf numFmtId="165" fontId="40" fillId="6" borderId="30" xfId="0" applyNumberFormat="1" applyFont="1" applyFill="1" applyBorder="1" applyAlignment="1">
      <alignment horizontal="right" vertical="center"/>
    </xf>
    <xf numFmtId="167" fontId="45" fillId="2" borderId="30" xfId="0" applyNumberFormat="1" applyFont="1" applyFill="1" applyBorder="1" applyAlignment="1">
      <alignment vertical="center"/>
    </xf>
    <xf numFmtId="168" fontId="56" fillId="2" borderId="30" xfId="0" applyNumberFormat="1" applyFont="1" applyFill="1" applyBorder="1" applyAlignment="1">
      <alignment vertical="center"/>
    </xf>
    <xf numFmtId="3" fontId="44" fillId="2" borderId="30" xfId="0" applyNumberFormat="1" applyFont="1" applyFill="1" applyBorder="1" applyAlignment="1">
      <alignment horizontal="right" vertical="center"/>
    </xf>
    <xf numFmtId="164" fontId="50" fillId="2" borderId="30" xfId="0" applyNumberFormat="1" applyFont="1" applyFill="1" applyBorder="1" applyAlignment="1">
      <alignment vertical="center"/>
    </xf>
    <xf numFmtId="3" fontId="24" fillId="6" borderId="12" xfId="0" applyNumberFormat="1" applyFont="1" applyFill="1" applyBorder="1" applyAlignment="1">
      <alignment vertical="center"/>
    </xf>
    <xf numFmtId="167" fontId="52" fillId="6" borderId="12" xfId="0" applyNumberFormat="1" applyFont="1" applyFill="1" applyBorder="1" applyAlignment="1">
      <alignment horizontal="center" vertical="center"/>
    </xf>
    <xf numFmtId="168" fontId="24" fillId="6" borderId="12" xfId="0" applyNumberFormat="1" applyFont="1" applyFill="1" applyBorder="1" applyAlignment="1">
      <alignment vertical="center"/>
    </xf>
    <xf numFmtId="44" fontId="24" fillId="6" borderId="12" xfId="0" applyNumberFormat="1" applyFont="1" applyFill="1" applyBorder="1" applyAlignment="1">
      <alignment horizontal="right" vertical="center"/>
    </xf>
    <xf numFmtId="164" fontId="24" fillId="6" borderId="12" xfId="0" applyNumberFormat="1" applyFont="1" applyFill="1" applyBorder="1" applyAlignment="1">
      <alignment vertical="center"/>
    </xf>
    <xf numFmtId="44" fontId="24" fillId="6" borderId="12" xfId="0" applyNumberFormat="1" applyFont="1" applyFill="1" applyBorder="1" applyAlignment="1">
      <alignment horizontal="center" vertical="center"/>
    </xf>
    <xf numFmtId="44" fontId="24" fillId="6" borderId="12" xfId="0" applyNumberFormat="1" applyFont="1" applyFill="1" applyBorder="1" applyAlignment="1">
      <alignment vertical="center"/>
    </xf>
    <xf numFmtId="167" fontId="57" fillId="2" borderId="12" xfId="0" applyNumberFormat="1" applyFont="1" applyFill="1" applyBorder="1" applyAlignment="1">
      <alignment vertical="center"/>
    </xf>
    <xf numFmtId="49" fontId="25" fillId="2" borderId="12" xfId="0" applyNumberFormat="1" applyFont="1" applyFill="1" applyBorder="1" applyAlignment="1">
      <alignment horizontal="center" vertical="center"/>
    </xf>
    <xf numFmtId="168" fontId="24" fillId="2" borderId="12" xfId="0" applyNumberFormat="1" applyFont="1" applyFill="1" applyBorder="1" applyAlignment="1">
      <alignment vertical="center"/>
    </xf>
    <xf numFmtId="165" fontId="24" fillId="2" borderId="12" xfId="0" applyNumberFormat="1" applyFont="1" applyFill="1" applyBorder="1" applyAlignment="1">
      <alignment vertical="center"/>
    </xf>
    <xf numFmtId="164" fontId="58" fillId="2" borderId="12" xfId="0" applyNumberFormat="1" applyFont="1" applyFill="1" applyBorder="1" applyAlignment="1">
      <alignment vertical="center"/>
    </xf>
    <xf numFmtId="0" fontId="24" fillId="2" borderId="12" xfId="0" applyFont="1" applyFill="1" applyBorder="1" applyAlignment="1">
      <alignment horizontal="center" vertical="center"/>
    </xf>
    <xf numFmtId="0" fontId="59" fillId="7" borderId="12" xfId="0" applyFont="1" applyFill="1" applyBorder="1" applyAlignment="1">
      <alignment horizontal="center" vertical="center"/>
    </xf>
    <xf numFmtId="0" fontId="27" fillId="4" borderId="9" xfId="0" applyFont="1" applyFill="1" applyBorder="1" applyAlignment="1">
      <alignment horizontal="center" vertical="center"/>
    </xf>
    <xf numFmtId="168" fontId="27" fillId="4" borderId="9" xfId="0" applyNumberFormat="1" applyFont="1" applyFill="1" applyBorder="1" applyAlignment="1">
      <alignment horizontal="center" vertical="center"/>
    </xf>
    <xf numFmtId="3" fontId="27" fillId="4" borderId="9" xfId="0" applyNumberFormat="1" applyFont="1" applyFill="1" applyBorder="1" applyAlignment="1">
      <alignment horizontal="center" vertical="center"/>
    </xf>
    <xf numFmtId="44" fontId="27" fillId="4" borderId="9" xfId="0" applyNumberFormat="1" applyFont="1" applyFill="1" applyBorder="1" applyAlignment="1">
      <alignment horizontal="right" vertical="center"/>
    </xf>
    <xf numFmtId="164" fontId="27" fillId="4" borderId="9" xfId="0" applyNumberFormat="1" applyFont="1" applyFill="1" applyBorder="1" applyAlignment="1">
      <alignment horizontal="center" vertical="center"/>
    </xf>
    <xf numFmtId="44" fontId="27" fillId="4" borderId="9" xfId="0" applyNumberFormat="1" applyFont="1" applyFill="1" applyBorder="1" applyAlignment="1">
      <alignment horizontal="center" vertical="center"/>
    </xf>
    <xf numFmtId="3" fontId="30" fillId="4" borderId="9" xfId="0" applyNumberFormat="1" applyFont="1" applyFill="1" applyBorder="1" applyAlignment="1">
      <alignment horizontal="center" vertical="center"/>
    </xf>
    <xf numFmtId="165" fontId="30" fillId="4" borderId="9" xfId="0" applyNumberFormat="1" applyFont="1" applyFill="1" applyBorder="1" applyAlignment="1">
      <alignment horizontal="center" vertical="center"/>
    </xf>
    <xf numFmtId="0" fontId="30" fillId="4" borderId="9" xfId="0" applyFont="1" applyFill="1" applyBorder="1" applyAlignment="1">
      <alignment horizontal="center" vertical="center"/>
    </xf>
    <xf numFmtId="49" fontId="30" fillId="4" borderId="9" xfId="0" applyNumberFormat="1" applyFont="1" applyFill="1" applyBorder="1" applyAlignment="1">
      <alignment horizontal="center" vertical="center"/>
    </xf>
    <xf numFmtId="49" fontId="60" fillId="4" borderId="9" xfId="0" applyNumberFormat="1" applyFont="1" applyFill="1" applyBorder="1" applyAlignment="1">
      <alignment horizontal="center" vertical="center"/>
    </xf>
    <xf numFmtId="168" fontId="32" fillId="4" borderId="9" xfId="0" applyNumberFormat="1" applyFont="1" applyFill="1" applyBorder="1" applyAlignment="1">
      <alignment horizontal="center" vertical="center"/>
    </xf>
    <xf numFmtId="165" fontId="33" fillId="4" borderId="9" xfId="0" applyNumberFormat="1" applyFont="1" applyFill="1" applyBorder="1" applyAlignment="1">
      <alignment horizontal="center" vertical="center"/>
    </xf>
    <xf numFmtId="3" fontId="61" fillId="4" borderId="9" xfId="0" applyNumberFormat="1" applyFont="1" applyFill="1" applyBorder="1" applyAlignment="1">
      <alignment horizontal="right" vertical="center"/>
    </xf>
    <xf numFmtId="164" fontId="62" fillId="4" borderId="9" xfId="0" applyNumberFormat="1" applyFont="1" applyFill="1" applyBorder="1" applyAlignment="1">
      <alignment horizontal="center" vertical="center"/>
    </xf>
    <xf numFmtId="166" fontId="27" fillId="4" borderId="9" xfId="0" applyNumberFormat="1" applyFont="1" applyFill="1" applyBorder="1" applyAlignment="1">
      <alignment horizontal="center" vertical="center"/>
    </xf>
    <xf numFmtId="165" fontId="9" fillId="3" borderId="21" xfId="0" applyNumberFormat="1" applyFont="1" applyFill="1" applyBorder="1" applyAlignment="1">
      <alignment horizontal="center" vertical="center" wrapText="1"/>
    </xf>
    <xf numFmtId="0" fontId="4" fillId="0" borderId="21" xfId="0" applyFont="1" applyBorder="1"/>
    <xf numFmtId="0" fontId="4" fillId="0" borderId="22" xfId="0" applyFont="1" applyBorder="1"/>
    <xf numFmtId="164" fontId="20" fillId="3" borderId="0" xfId="0" applyNumberFormat="1" applyFont="1" applyFill="1" applyAlignment="1">
      <alignment horizontal="left" vertical="center" wrapText="1"/>
    </xf>
    <xf numFmtId="0" fontId="0" fillId="0" borderId="0" xfId="0"/>
    <xf numFmtId="0" fontId="4" fillId="0" borderId="11" xfId="0" applyFont="1" applyBorder="1"/>
    <xf numFmtId="164" fontId="2" fillId="2" borderId="0" xfId="0" applyNumberFormat="1" applyFont="1" applyFill="1" applyAlignment="1">
      <alignment horizontal="left" vertical="center" wrapText="1"/>
    </xf>
    <xf numFmtId="164" fontId="3" fillId="3" borderId="0" xfId="0" applyNumberFormat="1" applyFont="1" applyFill="1" applyAlignment="1">
      <alignment horizontal="left" vertical="center" wrapText="1"/>
    </xf>
    <xf numFmtId="165" fontId="5" fillId="4" borderId="3" xfId="0" applyNumberFormat="1" applyFont="1" applyFill="1" applyBorder="1" applyAlignment="1">
      <alignment horizontal="left" vertical="center" wrapText="1"/>
    </xf>
    <xf numFmtId="0" fontId="4" fillId="0" borderId="3" xfId="0" applyFont="1" applyBorder="1"/>
    <xf numFmtId="0" fontId="4" fillId="0" borderId="4" xfId="0" applyFont="1" applyBorder="1"/>
    <xf numFmtId="165" fontId="5" fillId="4" borderId="6" xfId="0" applyNumberFormat="1" applyFont="1" applyFill="1" applyBorder="1" applyAlignment="1">
      <alignment horizontal="left" vertical="center" wrapText="1"/>
    </xf>
    <xf numFmtId="165" fontId="6" fillId="4" borderId="6" xfId="0" applyNumberFormat="1" applyFont="1" applyFill="1" applyBorder="1" applyAlignment="1">
      <alignment horizontal="left" vertical="center" wrapText="1"/>
    </xf>
    <xf numFmtId="165" fontId="9" fillId="5" borderId="10" xfId="0" applyNumberFormat="1" applyFont="1" applyFill="1" applyBorder="1" applyAlignment="1">
      <alignment horizontal="center" vertical="center" wrapText="1"/>
    </xf>
    <xf numFmtId="3" fontId="1" fillId="2" borderId="1" xfId="0" applyNumberFormat="1" applyFont="1" applyFill="1" applyBorder="1" applyAlignment="1">
      <alignment horizontal="right" vertical="center" wrapText="1"/>
    </xf>
    <xf numFmtId="0" fontId="4" fillId="0" borderId="2" xfId="0" applyFont="1" applyBorder="1"/>
    <xf numFmtId="0" fontId="4" fillId="0" borderId="9" xfId="0" applyFont="1" applyBorder="1"/>
    <xf numFmtId="167" fontId="21" fillId="2" borderId="23" xfId="0" applyNumberFormat="1" applyFont="1" applyFill="1" applyBorder="1"/>
    <xf numFmtId="0" fontId="4" fillId="0" borderId="24" xfId="0" applyFont="1" applyBorder="1"/>
    <xf numFmtId="0" fontId="4" fillId="0" borderId="25" xfId="0" applyFont="1" applyBorder="1"/>
    <xf numFmtId="0" fontId="4" fillId="0" borderId="10" xfId="0" applyFont="1" applyBorder="1"/>
    <xf numFmtId="0" fontId="4" fillId="0" borderId="26" xfId="0" applyFont="1" applyBorder="1"/>
    <xf numFmtId="0" fontId="4" fillId="0" borderId="27" xfId="0" applyFont="1" applyBorder="1"/>
    <xf numFmtId="0" fontId="4" fillId="0" borderId="28" xfId="0" applyFont="1" applyBorder="1"/>
    <xf numFmtId="0" fontId="4" fillId="0" borderId="29" xfId="0" applyFont="1" applyBorder="1"/>
    <xf numFmtId="166" fontId="23" fillId="2" borderId="1" xfId="0" applyNumberFormat="1" applyFont="1" applyFill="1" applyBorder="1"/>
    <xf numFmtId="0" fontId="54" fillId="7" borderId="0" xfId="0" applyFont="1" applyFill="1" applyAlignment="1">
      <alignment horizontal="center" vertical="center"/>
    </xf>
  </cellXfs>
  <cellStyles count="1">
    <cellStyle name="Normal" xfId="0" builtinId="0"/>
  </cellStyles>
  <dxfs count="66">
    <dxf>
      <font>
        <color rgb="FFFF0000"/>
      </font>
      <fill>
        <patternFill patternType="none"/>
      </fill>
    </dxf>
    <dxf>
      <font>
        <color rgb="FF34A853"/>
      </font>
      <fill>
        <patternFill patternType="none"/>
      </fill>
    </dxf>
    <dxf>
      <font>
        <b/>
        <color rgb="FFFF0000"/>
      </font>
      <fill>
        <patternFill patternType="solid">
          <fgColor rgb="FFFFF2CC"/>
          <bgColor rgb="FFFFF2CC"/>
        </patternFill>
      </fill>
    </dxf>
    <dxf>
      <font>
        <color rgb="FF6AA84F"/>
      </font>
      <fill>
        <patternFill patternType="none"/>
      </fill>
    </dxf>
    <dxf>
      <font>
        <color rgb="FF34A853"/>
      </font>
      <fill>
        <patternFill patternType="none"/>
      </fill>
    </dxf>
    <dxf>
      <font>
        <color rgb="FFFF6262"/>
      </font>
      <fill>
        <patternFill patternType="none"/>
      </fill>
    </dxf>
    <dxf>
      <font>
        <color rgb="FF34A853"/>
      </font>
      <fill>
        <patternFill patternType="none"/>
      </fill>
    </dxf>
    <dxf>
      <font>
        <color rgb="FFFF6262"/>
      </font>
      <fill>
        <patternFill patternType="none"/>
      </fill>
    </dxf>
    <dxf>
      <font>
        <color rgb="FF34A853"/>
      </font>
      <fill>
        <patternFill patternType="none"/>
      </fill>
    </dxf>
    <dxf>
      <font>
        <color rgb="FF6AA84F"/>
      </font>
      <fill>
        <patternFill patternType="none"/>
      </fill>
    </dxf>
    <dxf>
      <font>
        <color rgb="FFFF0000"/>
      </font>
      <fill>
        <patternFill patternType="none"/>
      </fill>
    </dxf>
    <dxf>
      <font>
        <color rgb="FF34A853"/>
      </font>
      <fill>
        <patternFill patternType="none"/>
      </fill>
    </dxf>
    <dxf>
      <font>
        <color rgb="FF34A853"/>
      </font>
      <fill>
        <patternFill patternType="none"/>
      </fill>
    </dxf>
    <dxf>
      <font>
        <b/>
        <color rgb="FFFF0000"/>
      </font>
      <fill>
        <patternFill patternType="solid">
          <fgColor rgb="FFFFF2CC"/>
          <bgColor rgb="FFFFF2CC"/>
        </patternFill>
      </fill>
    </dxf>
    <dxf>
      <font>
        <color rgb="FF34A853"/>
      </font>
      <fill>
        <patternFill patternType="none"/>
      </fill>
    </dxf>
    <dxf>
      <font>
        <color rgb="FFFF6262"/>
      </font>
      <fill>
        <patternFill patternType="none"/>
      </fill>
    </dxf>
    <dxf>
      <font>
        <color rgb="FF34A853"/>
      </font>
      <fill>
        <patternFill patternType="none"/>
      </fill>
    </dxf>
    <dxf>
      <font>
        <color rgb="FFFF0000"/>
      </font>
      <fill>
        <patternFill patternType="none"/>
      </fill>
    </dxf>
    <dxf>
      <font>
        <color rgb="FF34A853"/>
      </font>
      <fill>
        <patternFill patternType="solid">
          <fgColor rgb="FFF3FFEF"/>
          <bgColor rgb="FFF3FFEF"/>
        </patternFill>
      </fill>
    </dxf>
    <dxf>
      <font>
        <color rgb="FFFF0000"/>
      </font>
      <fill>
        <patternFill patternType="none"/>
      </fill>
    </dxf>
    <dxf>
      <font>
        <color rgb="FF00FF00"/>
      </font>
      <fill>
        <patternFill patternType="none"/>
      </fill>
    </dxf>
    <dxf>
      <font>
        <color rgb="FFFF6262"/>
      </font>
      <fill>
        <patternFill patternType="none"/>
      </fill>
    </dxf>
    <dxf>
      <font>
        <color rgb="FF990000"/>
      </font>
      <fill>
        <patternFill patternType="none"/>
      </fill>
    </dxf>
    <dxf>
      <font>
        <color rgb="FF38761D"/>
      </font>
      <fill>
        <patternFill patternType="none"/>
      </fill>
    </dxf>
    <dxf>
      <font>
        <color rgb="FF660000"/>
      </font>
      <fill>
        <patternFill patternType="none"/>
      </fill>
    </dxf>
    <dxf>
      <font>
        <color rgb="FF38761D"/>
      </font>
      <fill>
        <patternFill patternType="none"/>
      </fill>
    </dxf>
    <dxf>
      <font>
        <color rgb="FF660000"/>
      </font>
      <fill>
        <patternFill patternType="none"/>
      </fill>
    </dxf>
    <dxf>
      <font>
        <color rgb="FF38761D"/>
      </font>
      <fill>
        <patternFill patternType="none"/>
      </fill>
    </dxf>
    <dxf>
      <font>
        <color rgb="FF660000"/>
      </font>
      <fill>
        <patternFill patternType="none"/>
      </fill>
    </dxf>
    <dxf>
      <font>
        <color rgb="FF38761D"/>
      </font>
      <fill>
        <patternFill patternType="none"/>
      </fill>
    </dxf>
    <dxf>
      <font>
        <color rgb="FF660000"/>
      </font>
      <fill>
        <patternFill patternType="none"/>
      </fill>
    </dxf>
    <dxf>
      <font>
        <color rgb="FF38761D"/>
      </font>
      <fill>
        <patternFill patternType="none"/>
      </fill>
    </dxf>
    <dxf>
      <font>
        <color rgb="FF66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990000"/>
      </font>
      <fill>
        <patternFill patternType="none"/>
      </fill>
    </dxf>
    <dxf>
      <font>
        <color rgb="FF38761D"/>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1">
                <a:solidFill>
                  <a:srgbClr val="97A4A4"/>
                </a:solidFill>
                <a:latin typeface="+mn-lt"/>
              </a:defRPr>
            </a:pPr>
            <a:r>
              <a:rPr lang="en-US" sz="1200" b="1">
                <a:solidFill>
                  <a:srgbClr val="97A4A4"/>
                </a:solidFill>
                <a:latin typeface="+mn-lt"/>
              </a:rPr>
              <a:t>Invested Money</a:t>
            </a:r>
          </a:p>
        </c:rich>
      </c:tx>
      <c:overlay val="0"/>
    </c:title>
    <c:autoTitleDeleted val="0"/>
    <c:plotArea>
      <c:layout/>
      <c:doughnutChart>
        <c:varyColors val="1"/>
        <c:ser>
          <c:idx val="0"/>
          <c:order val="0"/>
          <c:dPt>
            <c:idx val="0"/>
            <c:bubble3D val="0"/>
            <c:spPr>
              <a:solidFill>
                <a:srgbClr val="B0725D"/>
              </a:solidFill>
              <a:ln w="9525" cmpd="sng">
                <a:solidFill>
                  <a:srgbClr val="FFFFFF"/>
                </a:solidFill>
              </a:ln>
            </c:spPr>
            <c:extLst>
              <c:ext xmlns:c16="http://schemas.microsoft.com/office/drawing/2014/chart" uri="{C3380CC4-5D6E-409C-BE32-E72D297353CC}">
                <c16:uniqueId val="{00000001-09A1-4CA1-99A9-E214E63300DD}"/>
              </c:ext>
            </c:extLst>
          </c:dPt>
          <c:dPt>
            <c:idx val="1"/>
            <c:bubble3D val="0"/>
            <c:spPr>
              <a:solidFill>
                <a:srgbClr val="8F3738"/>
              </a:solidFill>
              <a:ln w="9525" cmpd="sng">
                <a:solidFill>
                  <a:srgbClr val="FFFFFF"/>
                </a:solidFill>
              </a:ln>
            </c:spPr>
            <c:extLst>
              <c:ext xmlns:c16="http://schemas.microsoft.com/office/drawing/2014/chart" uri="{C3380CC4-5D6E-409C-BE32-E72D297353CC}">
                <c16:uniqueId val="{00000003-09A1-4CA1-99A9-E214E63300DD}"/>
              </c:ext>
            </c:extLst>
          </c:dPt>
          <c:dPt>
            <c:idx val="2"/>
            <c:bubble3D val="0"/>
            <c:spPr>
              <a:solidFill>
                <a:srgbClr val="E79A3C"/>
              </a:solidFill>
              <a:ln w="9525" cmpd="sng">
                <a:solidFill>
                  <a:srgbClr val="FFFFFF"/>
                </a:solidFill>
              </a:ln>
            </c:spPr>
            <c:extLst>
              <c:ext xmlns:c16="http://schemas.microsoft.com/office/drawing/2014/chart" uri="{C3380CC4-5D6E-409C-BE32-E72D297353CC}">
                <c16:uniqueId val="{00000005-09A1-4CA1-99A9-E214E63300DD}"/>
              </c:ext>
            </c:extLst>
          </c:dPt>
          <c:dPt>
            <c:idx val="3"/>
            <c:bubble3D val="0"/>
            <c:spPr>
              <a:solidFill>
                <a:srgbClr val="447874"/>
              </a:solidFill>
              <a:ln w="9525" cmpd="sng">
                <a:solidFill>
                  <a:srgbClr val="FFFFFF"/>
                </a:solidFill>
              </a:ln>
            </c:spPr>
            <c:extLst>
              <c:ext xmlns:c16="http://schemas.microsoft.com/office/drawing/2014/chart" uri="{C3380CC4-5D6E-409C-BE32-E72D297353CC}">
                <c16:uniqueId val="{00000007-09A1-4CA1-99A9-E214E63300DD}"/>
              </c:ext>
            </c:extLst>
          </c:dPt>
          <c:dPt>
            <c:idx val="4"/>
            <c:bubble3D val="0"/>
            <c:spPr>
              <a:solidFill>
                <a:srgbClr val="D2D479"/>
              </a:solidFill>
              <a:ln w="9525" cmpd="sng">
                <a:solidFill>
                  <a:srgbClr val="FFFFFF"/>
                </a:solidFill>
              </a:ln>
            </c:spPr>
            <c:extLst>
              <c:ext xmlns:c16="http://schemas.microsoft.com/office/drawing/2014/chart" uri="{C3380CC4-5D6E-409C-BE32-E72D297353CC}">
                <c16:uniqueId val="{00000009-09A1-4CA1-99A9-E214E63300DD}"/>
              </c:ext>
            </c:extLst>
          </c:dPt>
          <c:dPt>
            <c:idx val="5"/>
            <c:bubble3D val="0"/>
            <c:spPr>
              <a:solidFill>
                <a:srgbClr val="8B8948"/>
              </a:solidFill>
              <a:ln w="9525" cmpd="sng">
                <a:solidFill>
                  <a:srgbClr val="FFFFFF"/>
                </a:solidFill>
              </a:ln>
            </c:spPr>
            <c:extLst>
              <c:ext xmlns:c16="http://schemas.microsoft.com/office/drawing/2014/chart" uri="{C3380CC4-5D6E-409C-BE32-E72D297353CC}">
                <c16:uniqueId val="{0000000B-09A1-4CA1-99A9-E214E63300DD}"/>
              </c:ext>
            </c:extLst>
          </c:dPt>
          <c:dPt>
            <c:idx val="6"/>
            <c:bubble3D val="0"/>
            <c:spPr>
              <a:solidFill>
                <a:srgbClr val="C89C8E"/>
              </a:solidFill>
              <a:ln w="9525" cmpd="sng">
                <a:solidFill>
                  <a:srgbClr val="FFFFFF"/>
                </a:solidFill>
              </a:ln>
            </c:spPr>
            <c:extLst>
              <c:ext xmlns:c16="http://schemas.microsoft.com/office/drawing/2014/chart" uri="{C3380CC4-5D6E-409C-BE32-E72D297353CC}">
                <c16:uniqueId val="{0000000D-09A1-4CA1-99A9-E214E63300DD}"/>
              </c:ext>
            </c:extLst>
          </c:dPt>
          <c:dPt>
            <c:idx val="7"/>
            <c:bubble3D val="0"/>
            <c:spPr>
              <a:solidFill>
                <a:srgbClr val="B17374"/>
              </a:solidFill>
              <a:ln w="9525" cmpd="sng">
                <a:solidFill>
                  <a:srgbClr val="FFFFFF"/>
                </a:solidFill>
              </a:ln>
            </c:spPr>
            <c:extLst>
              <c:ext xmlns:c16="http://schemas.microsoft.com/office/drawing/2014/chart" uri="{C3380CC4-5D6E-409C-BE32-E72D297353CC}">
                <c16:uniqueId val="{0000000F-09A1-4CA1-99A9-E214E63300DD}"/>
              </c:ext>
            </c:extLst>
          </c:dPt>
          <c:dPt>
            <c:idx val="8"/>
            <c:bubble3D val="0"/>
            <c:spPr>
              <a:solidFill>
                <a:srgbClr val="EEB877"/>
              </a:solidFill>
              <a:ln w="9525" cmpd="sng">
                <a:solidFill>
                  <a:srgbClr val="FFFFFF"/>
                </a:solidFill>
              </a:ln>
            </c:spPr>
            <c:extLst>
              <c:ext xmlns:c16="http://schemas.microsoft.com/office/drawing/2014/chart" uri="{C3380CC4-5D6E-409C-BE32-E72D297353CC}">
                <c16:uniqueId val="{00000011-09A1-4CA1-99A9-E214E63300DD}"/>
              </c:ext>
            </c:extLst>
          </c:dPt>
          <c:dPt>
            <c:idx val="9"/>
            <c:bubble3D val="0"/>
            <c:spPr>
              <a:solidFill>
                <a:srgbClr val="7CA19E"/>
              </a:solidFill>
              <a:ln w="9525" cmpd="sng">
                <a:solidFill>
                  <a:srgbClr val="FFFFFF"/>
                </a:solidFill>
              </a:ln>
            </c:spPr>
            <c:extLst>
              <c:ext xmlns:c16="http://schemas.microsoft.com/office/drawing/2014/chart" uri="{C3380CC4-5D6E-409C-BE32-E72D297353CC}">
                <c16:uniqueId val="{00000013-09A1-4CA1-99A9-E214E63300DD}"/>
              </c:ext>
            </c:extLst>
          </c:dPt>
          <c:dPt>
            <c:idx val="10"/>
            <c:bubble3D val="0"/>
            <c:spPr>
              <a:solidFill>
                <a:srgbClr val="E0E1A1"/>
              </a:solidFill>
              <a:ln w="9525" cmpd="sng">
                <a:solidFill>
                  <a:srgbClr val="FFFFFF"/>
                </a:solidFill>
              </a:ln>
            </c:spPr>
            <c:extLst>
              <c:ext xmlns:c16="http://schemas.microsoft.com/office/drawing/2014/chart" uri="{C3380CC4-5D6E-409C-BE32-E72D297353CC}">
                <c16:uniqueId val="{00000015-09A1-4CA1-99A9-E214E63300DD}"/>
              </c:ext>
            </c:extLst>
          </c:dPt>
          <c:dPt>
            <c:idx val="11"/>
            <c:bubble3D val="0"/>
            <c:extLst>
              <c:ext xmlns:c16="http://schemas.microsoft.com/office/drawing/2014/chart" uri="{C3380CC4-5D6E-409C-BE32-E72D297353CC}">
                <c16:uniqueId val="{00000016-09A1-4CA1-99A9-E214E63300DD}"/>
              </c:ext>
            </c:extLst>
          </c:dPt>
          <c:dPt>
            <c:idx val="12"/>
            <c:bubble3D val="0"/>
            <c:extLst>
              <c:ext xmlns:c16="http://schemas.microsoft.com/office/drawing/2014/chart" uri="{C3380CC4-5D6E-409C-BE32-E72D297353CC}">
                <c16:uniqueId val="{00000017-09A1-4CA1-99A9-E214E63300DD}"/>
              </c:ext>
            </c:extLst>
          </c:dPt>
          <c:dPt>
            <c:idx val="13"/>
            <c:bubble3D val="0"/>
            <c:extLst>
              <c:ext xmlns:c16="http://schemas.microsoft.com/office/drawing/2014/chart" uri="{C3380CC4-5D6E-409C-BE32-E72D297353CC}">
                <c16:uniqueId val="{00000018-09A1-4CA1-99A9-E214E63300DD}"/>
              </c:ext>
            </c:extLst>
          </c:dPt>
          <c:dPt>
            <c:idx val="14"/>
            <c:bubble3D val="0"/>
            <c:extLst>
              <c:ext xmlns:c16="http://schemas.microsoft.com/office/drawing/2014/chart" uri="{C3380CC4-5D6E-409C-BE32-E72D297353CC}">
                <c16:uniqueId val="{00000019-09A1-4CA1-99A9-E214E63300DD}"/>
              </c:ext>
            </c:extLst>
          </c:dPt>
          <c:cat>
            <c:strRef>
              <c:f>Holding!$B$6:$B$22</c:f>
              <c:strCache>
                <c:ptCount val="11"/>
                <c:pt idx="0">
                  <c:v>PBH</c:v>
                </c:pt>
                <c:pt idx="1">
                  <c:v>PBH</c:v>
                </c:pt>
                <c:pt idx="2">
                  <c:v>E25</c:v>
                </c:pt>
                <c:pt idx="3">
                  <c:v>E25</c:v>
                </c:pt>
                <c:pt idx="4">
                  <c:v>APX</c:v>
                </c:pt>
                <c:pt idx="5">
                  <c:v>ART</c:v>
                </c:pt>
                <c:pt idx="6">
                  <c:v>AIZ</c:v>
                </c:pt>
                <c:pt idx="7">
                  <c:v>AEF</c:v>
                </c:pt>
                <c:pt idx="8">
                  <c:v>LRK</c:v>
                </c:pt>
                <c:pt idx="9">
                  <c:v>A2M</c:v>
                </c:pt>
                <c:pt idx="10">
                  <c:v>EOS</c:v>
                </c:pt>
              </c:strCache>
            </c:strRef>
          </c:cat>
          <c:val>
            <c:numRef>
              <c:f>Holding!$F$6:$F$20</c:f>
              <c:numCache>
                <c:formatCode>"$"#,##0.00</c:formatCode>
                <c:ptCount val="15"/>
                <c:pt idx="0">
                  <c:v>658.6400000000001</c:v>
                </c:pt>
                <c:pt idx="1">
                  <c:v>893.74</c:v>
                </c:pt>
                <c:pt idx="2">
                  <c:v>1821.55</c:v>
                </c:pt>
                <c:pt idx="3">
                  <c:v>157.28</c:v>
                </c:pt>
                <c:pt idx="4">
                  <c:v>1275.7</c:v>
                </c:pt>
                <c:pt idx="5">
                  <c:v>1004.68</c:v>
                </c:pt>
                <c:pt idx="6">
                  <c:v>909.79000000000008</c:v>
                </c:pt>
                <c:pt idx="7">
                  <c:v>693.8</c:v>
                </c:pt>
                <c:pt idx="8">
                  <c:v>558.48</c:v>
                </c:pt>
                <c:pt idx="9">
                  <c:v>1101.48</c:v>
                </c:pt>
                <c:pt idx="10">
                  <c:v>1124.7349999999999</c:v>
                </c:pt>
                <c:pt idx="11">
                  <c:v>0</c:v>
                </c:pt>
                <c:pt idx="12">
                  <c:v>0</c:v>
                </c:pt>
                <c:pt idx="13">
                  <c:v>0</c:v>
                </c:pt>
                <c:pt idx="14">
                  <c:v>0</c:v>
                </c:pt>
              </c:numCache>
            </c:numRef>
          </c:val>
          <c:extLst>
            <c:ext xmlns:c16="http://schemas.microsoft.com/office/drawing/2014/chart" uri="{C3380CC4-5D6E-409C-BE32-E72D297353CC}">
              <c16:uniqueId val="{0000001A-09A1-4CA1-99A9-E214E63300DD}"/>
            </c:ext>
          </c:extLst>
        </c:ser>
        <c:dLbls>
          <c:showLegendKey val="0"/>
          <c:showVal val="0"/>
          <c:showCatName val="0"/>
          <c:showSerName val="0"/>
          <c:showPercent val="0"/>
          <c:showBubbleSize val="0"/>
          <c:showLeaderLines val="1"/>
        </c:dLbls>
        <c:firstSliceAng val="0"/>
        <c:holeSize val="75"/>
      </c:doughnutChart>
    </c:plotArea>
    <c:legend>
      <c:legendPos val="r"/>
      <c:overlay val="0"/>
      <c:txPr>
        <a:bodyPr/>
        <a:lstStyle/>
        <a:p>
          <a:pPr lvl="0">
            <a:defRPr sz="1000" b="0">
              <a:solidFill>
                <a:srgbClr val="516767"/>
              </a:solidFill>
              <a:latin typeface="Arial black"/>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762250" cy="18669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847725</xdr:colOff>
      <xdr:row>0</xdr:row>
      <xdr:rowOff>257175</xdr:rowOff>
    </xdr:from>
    <xdr:ext cx="1781175" cy="111442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13</xdr:col>
      <xdr:colOff>466725</xdr:colOff>
      <xdr:row>0</xdr:row>
      <xdr:rowOff>257175</xdr:rowOff>
    </xdr:from>
    <xdr:ext cx="1152525" cy="1114425"/>
    <xdr:pic>
      <xdr:nvPicPr>
        <xdr:cNvPr id="4" name="image2.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3E5656"/>
      </a:dk1>
      <a:lt1>
        <a:srgbClr val="F5F5F5"/>
      </a:lt1>
      <a:dk2>
        <a:srgbClr val="3E5656"/>
      </a:dk2>
      <a:lt2>
        <a:srgbClr val="F5F5F5"/>
      </a:lt2>
      <a:accent1>
        <a:srgbClr val="B0725D"/>
      </a:accent1>
      <a:accent2>
        <a:srgbClr val="8F3738"/>
      </a:accent2>
      <a:accent3>
        <a:srgbClr val="E79A3C"/>
      </a:accent3>
      <a:accent4>
        <a:srgbClr val="447874"/>
      </a:accent4>
      <a:accent5>
        <a:srgbClr val="D2D479"/>
      </a:accent5>
      <a:accent6>
        <a:srgbClr val="8B8948"/>
      </a:accent6>
      <a:hlink>
        <a:srgbClr val="8B8948"/>
      </a:hlink>
      <a:folHlink>
        <a:srgbClr val="8B894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cript.google.com/home/projects/1319EYIuiHI1Fkmldd_e71E4lrxwMdlJCeSd8RB6d6n7IaXHxadFPFNHs/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156"/>
  <sheetViews>
    <sheetView topLeftCell="A38" workbookViewId="0">
      <selection activeCell="H67" sqref="H67"/>
    </sheetView>
  </sheetViews>
  <sheetFormatPr defaultColWidth="12.5703125" defaultRowHeight="15.75" customHeight="1"/>
  <cols>
    <col min="1" max="1" width="3.140625" customWidth="1"/>
    <col min="2" max="2" width="11.85546875" customWidth="1"/>
    <col min="3" max="3" width="11.140625" customWidth="1"/>
    <col min="4" max="4" width="9.85546875" customWidth="1"/>
    <col min="5" max="5" width="14.140625" customWidth="1"/>
    <col min="6" max="6" width="2.28515625" customWidth="1"/>
  </cols>
  <sheetData>
    <row r="1" spans="1:6" ht="21.75" customHeight="1">
      <c r="A1" s="227"/>
      <c r="B1" s="219" t="s">
        <v>0</v>
      </c>
      <c r="C1" s="217"/>
      <c r="D1" s="217"/>
      <c r="E1" s="217"/>
      <c r="F1" s="220"/>
    </row>
    <row r="2" spans="1:6" ht="31.5" customHeight="1">
      <c r="A2" s="228"/>
      <c r="B2" s="221" t="s">
        <v>1</v>
      </c>
      <c r="C2" s="222"/>
      <c r="D2" s="223"/>
      <c r="E2" s="1">
        <f>Holding!V1</f>
        <v>798.18350000000055</v>
      </c>
      <c r="F2" s="217"/>
    </row>
    <row r="3" spans="1:6" ht="31.5" customHeight="1">
      <c r="A3" s="228"/>
      <c r="B3" s="221" t="s">
        <v>2</v>
      </c>
      <c r="C3" s="222"/>
      <c r="D3" s="223"/>
      <c r="E3" s="2">
        <f>Holding!V2</f>
        <v>0</v>
      </c>
      <c r="F3" s="217"/>
    </row>
    <row r="4" spans="1:6" ht="31.5" customHeight="1">
      <c r="A4" s="228"/>
      <c r="B4" s="224" t="s">
        <v>3</v>
      </c>
      <c r="C4" s="222"/>
      <c r="D4" s="223"/>
      <c r="E4" s="3">
        <f>Holding!V3</f>
        <v>0</v>
      </c>
      <c r="F4" s="217"/>
    </row>
    <row r="5" spans="1:6" ht="31.5" customHeight="1">
      <c r="A5" s="228"/>
      <c r="B5" s="225" t="s">
        <v>4</v>
      </c>
      <c r="C5" s="222"/>
      <c r="D5" s="223"/>
      <c r="E5" s="4">
        <f>Holding!J5</f>
        <v>10199.875000000002</v>
      </c>
      <c r="F5" s="217"/>
    </row>
    <row r="6" spans="1:6" ht="10.5" customHeight="1">
      <c r="A6" s="229"/>
      <c r="B6" s="226"/>
      <c r="C6" s="217"/>
      <c r="D6" s="217"/>
      <c r="E6" s="218"/>
      <c r="F6" s="217"/>
    </row>
    <row r="7" spans="1:6" ht="31.5" customHeight="1">
      <c r="A7" s="5">
        <v>1</v>
      </c>
      <c r="B7" s="6" t="str">
        <f>Holding!$B$6</f>
        <v>PBH</v>
      </c>
      <c r="C7" s="7"/>
      <c r="D7" s="8" t="str">
        <f ca="1">IFERROR(__xludf.DUMMYFUNCTION("IF(B7="""","""",SPARKLINE(INDEX(GOOGLEFINANCE(""ASX:""&amp;B7,""price"",TODAY()-14,TODAY()),,2),{""charttype"",""line""})) "),"")</f>
        <v/>
      </c>
      <c r="E7" s="9" t="str">
        <f>Holding!$I$6</f>
        <v/>
      </c>
      <c r="F7" s="217"/>
    </row>
    <row r="8" spans="1:6" ht="31.5" customHeight="1">
      <c r="A8" s="227"/>
      <c r="B8" s="10">
        <f>Holding!$K$6</f>
        <v>8.5128205129999994</v>
      </c>
      <c r="C8" s="11">
        <f ca="1">Holding!$R$6</f>
        <v>0.77</v>
      </c>
      <c r="D8" s="12">
        <f>Holding!$D$6</f>
        <v>78</v>
      </c>
      <c r="E8" s="13">
        <f ca="1">Holding!$U$6</f>
        <v>4.0000000000000036E-2</v>
      </c>
      <c r="F8" s="217"/>
    </row>
    <row r="9" spans="1:6" ht="35.25" customHeight="1">
      <c r="A9" s="228"/>
      <c r="B9" s="14" t="s">
        <v>5</v>
      </c>
      <c r="C9" s="15" t="s">
        <v>6</v>
      </c>
      <c r="D9" s="16" t="s">
        <v>7</v>
      </c>
      <c r="E9" s="17">
        <f ca="1">IF(B8="","",(C8-B8))</f>
        <v>-7.7428205129999998</v>
      </c>
      <c r="F9" s="217"/>
    </row>
    <row r="10" spans="1:6" ht="31.5" customHeight="1">
      <c r="A10" s="228"/>
      <c r="B10" s="18"/>
      <c r="C10" s="19" t="str">
        <f>Holding!$L$6</f>
        <v/>
      </c>
      <c r="D10" s="19"/>
      <c r="E10" s="20">
        <f>Holding!$T$6</f>
        <v>-5</v>
      </c>
      <c r="F10" s="217"/>
    </row>
    <row r="11" spans="1:6" ht="20.25" customHeight="1">
      <c r="A11" s="228"/>
      <c r="B11" s="21" t="s">
        <v>8</v>
      </c>
      <c r="C11" s="22" t="s">
        <v>9</v>
      </c>
      <c r="D11" s="23" t="s">
        <v>10</v>
      </c>
      <c r="E11" s="24" t="s">
        <v>11</v>
      </c>
      <c r="F11" s="217"/>
    </row>
    <row r="12" spans="1:6" ht="10.5" customHeight="1">
      <c r="A12" s="229"/>
      <c r="B12" s="213"/>
      <c r="C12" s="214"/>
      <c r="D12" s="214"/>
      <c r="E12" s="215"/>
      <c r="F12" s="217"/>
    </row>
    <row r="13" spans="1:6" ht="31.5" customHeight="1">
      <c r="A13" s="5">
        <f>A7+1</f>
        <v>2</v>
      </c>
      <c r="B13" s="6" t="str">
        <f>Holding!$B$7</f>
        <v>PBH</v>
      </c>
      <c r="C13" s="7"/>
      <c r="D13" s="8" t="str">
        <f ca="1">IFERROR(__xludf.DUMMYFUNCTION("IF(B13="""","""",SPARKLINE(INDEX(GOOGLEFINANCE(""ASX:""&amp;B13,""price"",TODAY()-14,TODAY()),,2),{""charttype"",""line""}))
"),"")</f>
        <v/>
      </c>
      <c r="E13" s="9" t="str">
        <f>Holding!$I$7</f>
        <v/>
      </c>
      <c r="F13" s="217"/>
    </row>
    <row r="14" spans="1:6" ht="31.5" customHeight="1">
      <c r="A14" s="227"/>
      <c r="B14" s="10">
        <f>Holding!$K$7</f>
        <v>12.14864865</v>
      </c>
      <c r="C14" s="11">
        <f ca="1">Holding!$R$7</f>
        <v>0.77</v>
      </c>
      <c r="D14" s="12">
        <f>Holding!$D$7</f>
        <v>74</v>
      </c>
      <c r="E14" s="13">
        <f ca="1">Holding!$U$7</f>
        <v>4.0000000000000036E-2</v>
      </c>
      <c r="F14" s="217"/>
    </row>
    <row r="15" spans="1:6" ht="35.25" customHeight="1">
      <c r="A15" s="228"/>
      <c r="B15" s="14" t="s">
        <v>5</v>
      </c>
      <c r="C15" s="15" t="s">
        <v>6</v>
      </c>
      <c r="D15" s="16" t="s">
        <v>7</v>
      </c>
      <c r="E15" s="17">
        <f ca="1">IF(B14="","",(C14-B14))</f>
        <v>-11.378648650000001</v>
      </c>
      <c r="F15" s="217"/>
    </row>
    <row r="16" spans="1:6" ht="31.5" customHeight="1">
      <c r="A16" s="228"/>
      <c r="B16" s="18"/>
      <c r="C16" s="19" t="str">
        <f>Holding!$L$7</f>
        <v/>
      </c>
      <c r="D16" s="19"/>
      <c r="E16" s="20">
        <f>Holding!$T$7</f>
        <v>-5</v>
      </c>
      <c r="F16" s="217"/>
    </row>
    <row r="17" spans="1:6" ht="20.25" customHeight="1">
      <c r="A17" s="228"/>
      <c r="B17" s="21" t="s">
        <v>8</v>
      </c>
      <c r="C17" s="22" t="s">
        <v>9</v>
      </c>
      <c r="D17" s="23" t="s">
        <v>10</v>
      </c>
      <c r="E17" s="24" t="s">
        <v>11</v>
      </c>
      <c r="F17" s="217"/>
    </row>
    <row r="18" spans="1:6" ht="10.5" customHeight="1">
      <c r="A18" s="229"/>
      <c r="B18" s="213"/>
      <c r="C18" s="214"/>
      <c r="D18" s="214"/>
      <c r="E18" s="215"/>
      <c r="F18" s="217"/>
    </row>
    <row r="19" spans="1:6" ht="31.5" customHeight="1">
      <c r="A19" s="5">
        <f>A13+1</f>
        <v>3</v>
      </c>
      <c r="B19" s="6" t="str">
        <f>Holding!$B$8</f>
        <v>E25</v>
      </c>
      <c r="C19" s="7"/>
      <c r="D19" s="8" t="str">
        <f ca="1">IFERROR(__xludf.DUMMYFUNCTION("IF(B19="""","""",SPARKLINE(INDEX(GOOGLEFINANCE(""ASX:""&amp;B19,""price"",TODAY()-14,TODAY()),,2),{""charttype"",""line""}))
"),"")</f>
        <v/>
      </c>
      <c r="E19" s="9" t="str">
        <f>Holding!$I$8</f>
        <v/>
      </c>
      <c r="F19" s="217"/>
    </row>
    <row r="20" spans="1:6" ht="31.5" customHeight="1">
      <c r="A20" s="227"/>
      <c r="B20" s="10">
        <f>Holding!$K$8</f>
        <v>2.6671532849999999</v>
      </c>
      <c r="C20" s="11">
        <f ca="1">Holding!$R$8</f>
        <v>0.46</v>
      </c>
      <c r="D20" s="12">
        <f>Holding!$D$8</f>
        <v>685</v>
      </c>
      <c r="E20" s="13">
        <f ca="1">Holding!$U$8</f>
        <v>0.15000000000000002</v>
      </c>
      <c r="F20" s="217"/>
    </row>
    <row r="21" spans="1:6" ht="35.25" customHeight="1">
      <c r="A21" s="228"/>
      <c r="B21" s="14" t="s">
        <v>5</v>
      </c>
      <c r="C21" s="15" t="s">
        <v>6</v>
      </c>
      <c r="D21" s="16" t="s">
        <v>7</v>
      </c>
      <c r="E21" s="17">
        <f ca="1">IF(B20="","",(C20-B20))</f>
        <v>-2.207153285</v>
      </c>
      <c r="F21" s="217"/>
    </row>
    <row r="22" spans="1:6" ht="31.5" customHeight="1">
      <c r="A22" s="228"/>
      <c r="B22" s="18"/>
      <c r="C22" s="19" t="str">
        <f>Holding!$L$8</f>
        <v/>
      </c>
      <c r="D22" s="19"/>
      <c r="E22" s="20">
        <f>Holding!$T$8</f>
        <v>-5</v>
      </c>
      <c r="F22" s="217"/>
    </row>
    <row r="23" spans="1:6" ht="20.25" customHeight="1">
      <c r="A23" s="228"/>
      <c r="B23" s="21" t="s">
        <v>8</v>
      </c>
      <c r="C23" s="22" t="s">
        <v>9</v>
      </c>
      <c r="D23" s="23" t="s">
        <v>10</v>
      </c>
      <c r="E23" s="24" t="s">
        <v>11</v>
      </c>
      <c r="F23" s="217"/>
    </row>
    <row r="24" spans="1:6" ht="10.5" customHeight="1">
      <c r="A24" s="229"/>
      <c r="B24" s="213"/>
      <c r="C24" s="214"/>
      <c r="D24" s="214"/>
      <c r="E24" s="215"/>
      <c r="F24" s="217"/>
    </row>
    <row r="25" spans="1:6" ht="31.5" customHeight="1">
      <c r="A25" s="5">
        <f>A19+1</f>
        <v>4</v>
      </c>
      <c r="B25" s="6" t="str">
        <f>Holding!$B$9</f>
        <v>E25</v>
      </c>
      <c r="C25" s="7"/>
      <c r="D25" s="8" t="str">
        <f ca="1">IFERROR(__xludf.DUMMYFUNCTION("IF(B25="""","""",SPARKLINE(INDEX(GOOGLEFINANCE(""ASX:""&amp;B25,""price"",TODAY()-14,TODAY()),,2),{""charttype"",""line""}))
"),"")</f>
        <v/>
      </c>
      <c r="E25" s="9" t="str">
        <f>Holding!$I$9</f>
        <v/>
      </c>
      <c r="F25" s="217"/>
    </row>
    <row r="26" spans="1:6" ht="31.5" customHeight="1">
      <c r="A26" s="227"/>
      <c r="B26" s="10">
        <f>Holding!$K$9</f>
        <v>2.0123456790000001</v>
      </c>
      <c r="C26" s="11">
        <f ca="1">Holding!$R$9</f>
        <v>0.46</v>
      </c>
      <c r="D26" s="12">
        <f>Holding!$D$9</f>
        <v>81</v>
      </c>
      <c r="E26" s="13">
        <f ca="1">Holding!$U$9</f>
        <v>0.15000000000000002</v>
      </c>
      <c r="F26" s="217"/>
    </row>
    <row r="27" spans="1:6" ht="35.25" customHeight="1">
      <c r="A27" s="228"/>
      <c r="B27" s="14" t="s">
        <v>5</v>
      </c>
      <c r="C27" s="15" t="s">
        <v>6</v>
      </c>
      <c r="D27" s="16" t="s">
        <v>7</v>
      </c>
      <c r="E27" s="17">
        <f ca="1">IF(B26="","",(C26-B26))</f>
        <v>-1.5523456790000001</v>
      </c>
      <c r="F27" s="217"/>
    </row>
    <row r="28" spans="1:6" ht="31.5" customHeight="1">
      <c r="A28" s="228"/>
      <c r="B28" s="18"/>
      <c r="C28" s="19" t="str">
        <f>Holding!$L$9</f>
        <v/>
      </c>
      <c r="D28" s="19"/>
      <c r="E28" s="20">
        <f>Holding!$T$9</f>
        <v>-5</v>
      </c>
      <c r="F28" s="217"/>
    </row>
    <row r="29" spans="1:6" ht="20.25" customHeight="1">
      <c r="A29" s="228"/>
      <c r="B29" s="21" t="s">
        <v>8</v>
      </c>
      <c r="C29" s="22" t="s">
        <v>9</v>
      </c>
      <c r="D29" s="23" t="s">
        <v>10</v>
      </c>
      <c r="E29" s="24" t="s">
        <v>11</v>
      </c>
      <c r="F29" s="217"/>
    </row>
    <row r="30" spans="1:6" ht="10.5" customHeight="1">
      <c r="A30" s="229"/>
      <c r="B30" s="213"/>
      <c r="C30" s="214"/>
      <c r="D30" s="214"/>
      <c r="E30" s="215"/>
      <c r="F30" s="217"/>
    </row>
    <row r="31" spans="1:6" ht="31.5" customHeight="1">
      <c r="A31" s="5">
        <f>A25+1</f>
        <v>5</v>
      </c>
      <c r="B31" s="6" t="str">
        <f>Holding!$B$10</f>
        <v>APX</v>
      </c>
      <c r="C31" s="7"/>
      <c r="D31" s="8" t="str">
        <f ca="1">IFERROR(__xludf.DUMMYFUNCTION("IF(B31="""","""",SPARKLINE(INDEX(GOOGLEFINANCE(""ASX:""&amp;B31,""price"",TODAY()-14,TODAY()),,2),{""charttype"",""line""})) "),"")</f>
        <v/>
      </c>
      <c r="E31" s="9" t="str">
        <f>Holding!$I$10</f>
        <v/>
      </c>
      <c r="F31" s="217"/>
    </row>
    <row r="32" spans="1:6" ht="31.5" customHeight="1">
      <c r="A32" s="227"/>
      <c r="B32" s="10">
        <f>Holding!$K$10</f>
        <v>13.206185570000001</v>
      </c>
      <c r="C32" s="11">
        <f ca="1">Holding!$R$10</f>
        <v>1.41</v>
      </c>
      <c r="D32" s="12">
        <f>Holding!$D$10</f>
        <v>97</v>
      </c>
      <c r="E32" s="13">
        <f ca="1">Holding!$U$10</f>
        <v>5.9999999999999831E-2</v>
      </c>
      <c r="F32" s="217"/>
    </row>
    <row r="33" spans="1:6" ht="35.25" customHeight="1">
      <c r="A33" s="228"/>
      <c r="B33" s="14" t="s">
        <v>5</v>
      </c>
      <c r="C33" s="15" t="s">
        <v>6</v>
      </c>
      <c r="D33" s="16" t="s">
        <v>7</v>
      </c>
      <c r="E33" s="17">
        <f ca="1">IF(B32="","",(C32-B32))</f>
        <v>-11.79618557</v>
      </c>
      <c r="F33" s="217"/>
    </row>
    <row r="34" spans="1:6" ht="31.5" customHeight="1">
      <c r="A34" s="228"/>
      <c r="B34" s="18"/>
      <c r="C34" s="19" t="str">
        <f>Holding!$L$10</f>
        <v/>
      </c>
      <c r="D34" s="19"/>
      <c r="E34" s="20">
        <f>Holding!$T$10</f>
        <v>-5</v>
      </c>
      <c r="F34" s="217"/>
    </row>
    <row r="35" spans="1:6" ht="20.25" customHeight="1">
      <c r="A35" s="228"/>
      <c r="B35" s="21" t="s">
        <v>8</v>
      </c>
      <c r="C35" s="22" t="s">
        <v>9</v>
      </c>
      <c r="D35" s="23" t="s">
        <v>10</v>
      </c>
      <c r="E35" s="24" t="s">
        <v>11</v>
      </c>
      <c r="F35" s="217"/>
    </row>
    <row r="36" spans="1:6" ht="10.5" customHeight="1">
      <c r="A36" s="229"/>
      <c r="B36" s="213"/>
      <c r="C36" s="214"/>
      <c r="D36" s="214"/>
      <c r="E36" s="215"/>
      <c r="F36" s="217"/>
    </row>
    <row r="37" spans="1:6" ht="31.5" customHeight="1">
      <c r="A37" s="5">
        <f>A31+1</f>
        <v>6</v>
      </c>
      <c r="B37" s="6" t="str">
        <f>Holding!$B$11</f>
        <v>ART</v>
      </c>
      <c r="C37" s="7"/>
      <c r="D37" s="8" t="str">
        <f ca="1">IFERROR(__xludf.DUMMYFUNCTION("IF(B37="""","""",SPARKLINE(INDEX(GOOGLEFINANCE(""ASX:""&amp;B37,""price"",TODAY()-14,TODAY()),,2),{""charttype"",""line""}))
"),"")</f>
        <v/>
      </c>
      <c r="E37" s="9" t="str">
        <f>Holding!$I$11</f>
        <v/>
      </c>
      <c r="F37" s="217"/>
    </row>
    <row r="38" spans="1:6" ht="31.5" customHeight="1">
      <c r="A38" s="227"/>
      <c r="B38" s="10">
        <f>Holding!$K$11</f>
        <v>1.4346590910000001</v>
      </c>
      <c r="C38" s="11">
        <f ca="1">Holding!$R$11</f>
        <v>0.2</v>
      </c>
      <c r="D38" s="12">
        <f>Holding!$D$11</f>
        <v>704</v>
      </c>
      <c r="E38" s="13">
        <f ca="1">Holding!$U$11</f>
        <v>0</v>
      </c>
      <c r="F38" s="217"/>
    </row>
    <row r="39" spans="1:6" ht="35.25" customHeight="1">
      <c r="A39" s="228"/>
      <c r="B39" s="14" t="s">
        <v>5</v>
      </c>
      <c r="C39" s="15" t="s">
        <v>6</v>
      </c>
      <c r="D39" s="16" t="s">
        <v>7</v>
      </c>
      <c r="E39" s="17">
        <f ca="1">IF(B38="","",(C38-B38))</f>
        <v>-1.2346590910000002</v>
      </c>
      <c r="F39" s="217"/>
    </row>
    <row r="40" spans="1:6" ht="31.5" customHeight="1">
      <c r="A40" s="228"/>
      <c r="B40" s="18"/>
      <c r="C40" s="19" t="str">
        <f>Holding!$L$11</f>
        <v/>
      </c>
      <c r="D40" s="19"/>
      <c r="E40" s="20">
        <f>Holding!$T$11</f>
        <v>-5</v>
      </c>
      <c r="F40" s="217"/>
    </row>
    <row r="41" spans="1:6" ht="20.25" customHeight="1">
      <c r="A41" s="228"/>
      <c r="B41" s="21" t="s">
        <v>8</v>
      </c>
      <c r="C41" s="22" t="s">
        <v>9</v>
      </c>
      <c r="D41" s="23" t="s">
        <v>10</v>
      </c>
      <c r="E41" s="24" t="s">
        <v>11</v>
      </c>
      <c r="F41" s="217"/>
    </row>
    <row r="42" spans="1:6" ht="10.5" customHeight="1">
      <c r="A42" s="229"/>
      <c r="B42" s="213"/>
      <c r="C42" s="214"/>
      <c r="D42" s="214"/>
      <c r="E42" s="215"/>
      <c r="F42" s="217"/>
    </row>
    <row r="43" spans="1:6" ht="31.5" customHeight="1">
      <c r="A43" s="5">
        <f>A37+1</f>
        <v>7</v>
      </c>
      <c r="B43" s="6" t="str">
        <f>Holding!$B$12</f>
        <v>AIZ</v>
      </c>
      <c r="C43" s="7"/>
      <c r="D43" s="8" t="str">
        <f ca="1">IFERROR(__xludf.DUMMYFUNCTION("IF(B43="""","""",SPARKLINE(INDEX(GOOGLEFINANCE(""ASX:""&amp;B43,""price"",TODAY()-14,TODAY()),,2),{""charttype"",""line""}))
"),"")</f>
        <v/>
      </c>
      <c r="E43" s="9" t="str">
        <f>Holding!$I$12</f>
        <v/>
      </c>
      <c r="F43" s="217"/>
    </row>
    <row r="44" spans="1:6" ht="31.5" customHeight="1">
      <c r="A44" s="227"/>
      <c r="B44" s="10">
        <f>Holding!$K$12</f>
        <v>1.713483146</v>
      </c>
      <c r="C44" s="11">
        <f ca="1">Holding!$R$12</f>
        <v>0.68</v>
      </c>
      <c r="D44" s="12">
        <f>Holding!$D$12</f>
        <v>534</v>
      </c>
      <c r="E44" s="13">
        <f ca="1">Holding!$U$12</f>
        <v>-9.9999999999998979E-3</v>
      </c>
      <c r="F44" s="217"/>
    </row>
    <row r="45" spans="1:6" ht="35.25" customHeight="1">
      <c r="A45" s="228"/>
      <c r="B45" s="14" t="s">
        <v>5</v>
      </c>
      <c r="C45" s="15" t="s">
        <v>6</v>
      </c>
      <c r="D45" s="16" t="s">
        <v>7</v>
      </c>
      <c r="E45" s="17">
        <f ca="1">IF(B44="","",(C44-B44))</f>
        <v>-1.033483146</v>
      </c>
      <c r="F45" s="217"/>
    </row>
    <row r="46" spans="1:6" ht="31.5" customHeight="1">
      <c r="A46" s="228"/>
      <c r="B46" s="18"/>
      <c r="C46" s="19" t="str">
        <f>Holding!$L$12</f>
        <v/>
      </c>
      <c r="D46" s="19"/>
      <c r="E46" s="20">
        <f>Holding!$T$12</f>
        <v>-5</v>
      </c>
      <c r="F46" s="217"/>
    </row>
    <row r="47" spans="1:6" ht="20.25" customHeight="1">
      <c r="A47" s="228"/>
      <c r="B47" s="21" t="s">
        <v>8</v>
      </c>
      <c r="C47" s="22" t="s">
        <v>9</v>
      </c>
      <c r="D47" s="23" t="s">
        <v>10</v>
      </c>
      <c r="E47" s="24" t="s">
        <v>11</v>
      </c>
      <c r="F47" s="217"/>
    </row>
    <row r="48" spans="1:6" ht="10.5" customHeight="1">
      <c r="A48" s="229"/>
      <c r="B48" s="213"/>
      <c r="C48" s="214"/>
      <c r="D48" s="214"/>
      <c r="E48" s="215"/>
      <c r="F48" s="217"/>
    </row>
    <row r="49" spans="1:6" ht="31.5" customHeight="1">
      <c r="A49" s="5">
        <f>A43+1</f>
        <v>8</v>
      </c>
      <c r="B49" s="6" t="str">
        <f>Holding!$B$13</f>
        <v>AEF</v>
      </c>
      <c r="C49" s="7"/>
      <c r="D49" s="8" t="str">
        <f ca="1">IFERROR(__xludf.DUMMYFUNCTION("IF(B49="""","""",SPARKLINE(INDEX(GOOGLEFINANCE(""ASX:""&amp;B49,""price"",TODAY()-14,TODAY()),,2),{""charttype"",""line""})) "),"")</f>
        <v/>
      </c>
      <c r="E49" s="9" t="str">
        <f>Holding!$I$13</f>
        <v/>
      </c>
      <c r="F49" s="217"/>
    </row>
    <row r="50" spans="1:6" ht="31.5" customHeight="1">
      <c r="A50" s="227"/>
      <c r="B50" s="10">
        <f>Holding!$K$13</f>
        <v>6.6571428570000002</v>
      </c>
      <c r="C50" s="11">
        <f ca="1">Holding!$R$13</f>
        <v>4.76</v>
      </c>
      <c r="D50" s="12">
        <f>Holding!$D$13</f>
        <v>105</v>
      </c>
      <c r="E50" s="13">
        <f ca="1">Holding!$U$13</f>
        <v>0.38999999999999968</v>
      </c>
      <c r="F50" s="217"/>
    </row>
    <row r="51" spans="1:6" ht="35.25" customHeight="1">
      <c r="A51" s="228"/>
      <c r="B51" s="14" t="s">
        <v>5</v>
      </c>
      <c r="C51" s="15" t="s">
        <v>6</v>
      </c>
      <c r="D51" s="16" t="s">
        <v>7</v>
      </c>
      <c r="E51" s="17">
        <f ca="1">IF(B50="","",(C50-B50))</f>
        <v>-1.8971428570000004</v>
      </c>
      <c r="F51" s="217"/>
    </row>
    <row r="52" spans="1:6" ht="31.5" customHeight="1">
      <c r="A52" s="228"/>
      <c r="B52" s="18"/>
      <c r="C52" s="19" t="str">
        <f>Holding!$L$13</f>
        <v/>
      </c>
      <c r="D52" s="19"/>
      <c r="E52" s="20">
        <f>Holding!$T$13</f>
        <v>-5</v>
      </c>
      <c r="F52" s="217"/>
    </row>
    <row r="53" spans="1:6" ht="20.25" customHeight="1">
      <c r="A53" s="228"/>
      <c r="B53" s="21" t="s">
        <v>8</v>
      </c>
      <c r="C53" s="22" t="s">
        <v>9</v>
      </c>
      <c r="D53" s="23" t="s">
        <v>10</v>
      </c>
      <c r="E53" s="24" t="s">
        <v>11</v>
      </c>
      <c r="F53" s="217"/>
    </row>
    <row r="54" spans="1:6" ht="10.5" customHeight="1">
      <c r="A54" s="229"/>
      <c r="B54" s="213"/>
      <c r="C54" s="214"/>
      <c r="D54" s="214"/>
      <c r="E54" s="215"/>
      <c r="F54" s="217"/>
    </row>
    <row r="55" spans="1:6" ht="31.5" customHeight="1">
      <c r="A55" s="5">
        <f>A49+1</f>
        <v>9</v>
      </c>
      <c r="B55" s="6" t="str">
        <f>Holding!$B$14</f>
        <v>LRK</v>
      </c>
      <c r="C55" s="7"/>
      <c r="D55" s="8" t="str">
        <f ca="1">IFERROR(__xludf.DUMMYFUNCTION("IF(B55="""","""",SPARKLINE(INDEX(GOOGLEFINANCE(""ASX:""&amp;B55,""price"",TODAY()-14,TODAY()),,2),{""charttype"",""line""}))
"),"")</f>
        <v/>
      </c>
      <c r="E55" s="9" t="str">
        <f>Holding!$I$14</f>
        <v/>
      </c>
      <c r="F55" s="217"/>
    </row>
    <row r="56" spans="1:6" ht="31.5" customHeight="1">
      <c r="A56" s="227"/>
      <c r="B56" s="10">
        <f>Holding!$K$14</f>
        <v>5.5841584160000002</v>
      </c>
      <c r="C56" s="11">
        <f ca="1">Holding!$R$14</f>
        <v>1.43</v>
      </c>
      <c r="D56" s="12">
        <f>Holding!$D$14</f>
        <v>101</v>
      </c>
      <c r="E56" s="13">
        <f ca="1">Holding!$U$14</f>
        <v>0</v>
      </c>
      <c r="F56" s="217"/>
    </row>
    <row r="57" spans="1:6" ht="35.25" customHeight="1">
      <c r="A57" s="228"/>
      <c r="B57" s="14" t="s">
        <v>5</v>
      </c>
      <c r="C57" s="15" t="s">
        <v>6</v>
      </c>
      <c r="D57" s="16" t="s">
        <v>7</v>
      </c>
      <c r="E57" s="17">
        <f ca="1">IF(B56="","",(C56-B56))</f>
        <v>-4.1541584160000005</v>
      </c>
      <c r="F57" s="217"/>
    </row>
    <row r="58" spans="1:6" ht="31.5" customHeight="1">
      <c r="A58" s="228"/>
      <c r="B58" s="18"/>
      <c r="C58" s="19" t="str">
        <f>Holding!$L$14</f>
        <v/>
      </c>
      <c r="D58" s="19"/>
      <c r="E58" s="20">
        <f>Holding!$T$14</f>
        <v>-5</v>
      </c>
      <c r="F58" s="217"/>
    </row>
    <row r="59" spans="1:6" ht="20.25" customHeight="1">
      <c r="A59" s="228"/>
      <c r="B59" s="21" t="s">
        <v>8</v>
      </c>
      <c r="C59" s="22" t="s">
        <v>9</v>
      </c>
      <c r="D59" s="23" t="s">
        <v>10</v>
      </c>
      <c r="E59" s="24" t="s">
        <v>11</v>
      </c>
      <c r="F59" s="217"/>
    </row>
    <row r="60" spans="1:6" ht="10.5" customHeight="1">
      <c r="A60" s="229"/>
      <c r="B60" s="213"/>
      <c r="C60" s="214"/>
      <c r="D60" s="214"/>
      <c r="E60" s="215"/>
      <c r="F60" s="217"/>
    </row>
    <row r="61" spans="1:6" ht="31.5" customHeight="1">
      <c r="A61" s="5">
        <f>A55+1</f>
        <v>10</v>
      </c>
      <c r="B61" s="6" t="str">
        <f>Holding!$B$15</f>
        <v>A2M</v>
      </c>
      <c r="C61" s="7"/>
      <c r="D61" s="8" t="str">
        <f ca="1">IFERROR(__xludf.DUMMYFUNCTION("IF(B61="""","""",SPARKLINE(INDEX(GOOGLEFINANCE(""ASX:""&amp;B61,""price"",TODAY()-14,TODAY()),,2),{""charttype"",""line""}))
"),"")</f>
        <v/>
      </c>
      <c r="E61" s="9" t="str">
        <f>Holding!$I$15</f>
        <v/>
      </c>
      <c r="F61" s="217"/>
    </row>
    <row r="62" spans="1:6" ht="31.5" customHeight="1">
      <c r="A62" s="227"/>
      <c r="B62" s="10">
        <f>Holding!$K$15</f>
        <v>7.1883116879999998</v>
      </c>
      <c r="C62" s="11">
        <f ca="1">Holding!$R$15</f>
        <v>4.4800000000000004</v>
      </c>
      <c r="D62" s="12">
        <f>Holding!$D$15</f>
        <v>154</v>
      </c>
      <c r="E62" s="13">
        <f ca="1">Holding!$U$15</f>
        <v>6.0000000000000497E-2</v>
      </c>
      <c r="F62" s="217"/>
    </row>
    <row r="63" spans="1:6" ht="35.25" customHeight="1">
      <c r="A63" s="228"/>
      <c r="B63" s="14" t="s">
        <v>5</v>
      </c>
      <c r="C63" s="15" t="s">
        <v>6</v>
      </c>
      <c r="D63" s="16" t="s">
        <v>7</v>
      </c>
      <c r="E63" s="17">
        <f ca="1">IF(B62="","",(C62-B62))</f>
        <v>-2.7083116879999993</v>
      </c>
      <c r="F63" s="217"/>
    </row>
    <row r="64" spans="1:6" ht="31.5" customHeight="1">
      <c r="A64" s="228"/>
      <c r="B64" s="18"/>
      <c r="C64" s="19" t="str">
        <f>Holding!$L$15</f>
        <v/>
      </c>
      <c r="D64" s="19"/>
      <c r="E64" s="20">
        <f>Holding!$T$15</f>
        <v>-5</v>
      </c>
      <c r="F64" s="217"/>
    </row>
    <row r="65" spans="1:6" ht="20.25" customHeight="1">
      <c r="A65" s="228"/>
      <c r="B65" s="21" t="s">
        <v>8</v>
      </c>
      <c r="C65" s="22" t="s">
        <v>9</v>
      </c>
      <c r="D65" s="23" t="s">
        <v>10</v>
      </c>
      <c r="E65" s="24" t="s">
        <v>11</v>
      </c>
      <c r="F65" s="217"/>
    </row>
    <row r="66" spans="1:6" ht="10.5" customHeight="1">
      <c r="A66" s="229"/>
      <c r="B66" s="213"/>
      <c r="C66" s="214"/>
      <c r="D66" s="214"/>
      <c r="E66" s="215"/>
      <c r="F66" s="217"/>
    </row>
    <row r="67" spans="1:6" ht="31.5" customHeight="1">
      <c r="A67" s="5">
        <f>A61+1</f>
        <v>11</v>
      </c>
      <c r="B67" s="6" t="str">
        <f>Holding!$B$16</f>
        <v>EOS</v>
      </c>
      <c r="C67" s="7"/>
      <c r="D67" s="8" t="str">
        <f ca="1">IFERROR(__xludf.DUMMYFUNCTION("IF(B67="""","""",SPARKLINE(INDEX(GOOGLEFINANCE(""ASX:""&amp;B67,""price"",TODAY()-14,TODAY()),,2),{""charttype"",""line""}))
"),"")</f>
        <v/>
      </c>
      <c r="E67" s="9" t="str">
        <f>Holding!$I$16</f>
        <v/>
      </c>
      <c r="F67" s="217"/>
    </row>
    <row r="68" spans="1:6" ht="31.5" customHeight="1">
      <c r="A68" s="227"/>
      <c r="B68" s="10">
        <f>Holding!$K$16</f>
        <v>0.84265473530000001</v>
      </c>
      <c r="C68" s="11">
        <f ca="1">Holding!$R$16</f>
        <v>1.08</v>
      </c>
      <c r="D68" s="12">
        <f>Holding!$D$16</f>
        <v>1341</v>
      </c>
      <c r="E68" s="13">
        <f ca="1">Holding!$U$16</f>
        <v>-2.0000000000000018E-2</v>
      </c>
      <c r="F68" s="217"/>
    </row>
    <row r="69" spans="1:6" ht="35.25" customHeight="1">
      <c r="A69" s="228"/>
      <c r="B69" s="14" t="s">
        <v>5</v>
      </c>
      <c r="C69" s="15" t="s">
        <v>6</v>
      </c>
      <c r="D69" s="16" t="s">
        <v>7</v>
      </c>
      <c r="E69" s="17">
        <f ca="1">IF(B68="","",(C68-B68))</f>
        <v>0.23734526470000006</v>
      </c>
      <c r="F69" s="217"/>
    </row>
    <row r="70" spans="1:6" ht="31.5" customHeight="1">
      <c r="A70" s="228"/>
      <c r="B70" s="18"/>
      <c r="C70" s="19" t="str">
        <f>Holding!$L$16</f>
        <v/>
      </c>
      <c r="D70" s="19"/>
      <c r="E70" s="20">
        <f>Holding!$T$16</f>
        <v>-5</v>
      </c>
      <c r="F70" s="217"/>
    </row>
    <row r="71" spans="1:6" ht="20.25" customHeight="1">
      <c r="A71" s="228"/>
      <c r="B71" s="21" t="s">
        <v>8</v>
      </c>
      <c r="C71" s="22" t="s">
        <v>9</v>
      </c>
      <c r="D71" s="23" t="s">
        <v>10</v>
      </c>
      <c r="E71" s="24" t="s">
        <v>11</v>
      </c>
      <c r="F71" s="217"/>
    </row>
    <row r="72" spans="1:6" ht="10.5" customHeight="1">
      <c r="A72" s="229"/>
      <c r="B72" s="213"/>
      <c r="C72" s="214"/>
      <c r="D72" s="214"/>
      <c r="E72" s="215"/>
      <c r="F72" s="217"/>
    </row>
    <row r="73" spans="1:6" ht="31.5" customHeight="1">
      <c r="A73" s="5">
        <f>A67+1</f>
        <v>12</v>
      </c>
      <c r="B73" s="6">
        <f>Holding!$B$17</f>
        <v>0</v>
      </c>
      <c r="C73" s="7"/>
      <c r="D73" s="8" t="str">
        <f ca="1">IFERROR(__xludf.DUMMYFUNCTION("IF(B73="""","""",SPARKLINE(INDEX(GOOGLEFINANCE(""ASX:""&amp;B73,""price"",TODAY()-14,TODAY()),,2),{""charttype"",""line""}))
"),"")</f>
        <v/>
      </c>
      <c r="E73" s="9" t="str">
        <f>Holding!$I$17</f>
        <v/>
      </c>
      <c r="F73" s="217"/>
    </row>
    <row r="74" spans="1:6" ht="31.5" customHeight="1">
      <c r="A74" s="227"/>
      <c r="B74" s="10" t="str">
        <f>Holding!$K$17</f>
        <v/>
      </c>
      <c r="C74" s="11" t="str">
        <f ca="1">Holding!$R$17</f>
        <v/>
      </c>
      <c r="D74" s="12">
        <f>Holding!$D$17</f>
        <v>0</v>
      </c>
      <c r="E74" s="13" t="str">
        <f ca="1">Holding!$U$17</f>
        <v/>
      </c>
      <c r="F74" s="217"/>
    </row>
    <row r="75" spans="1:6" ht="21" customHeight="1">
      <c r="A75" s="228"/>
      <c r="B75" s="14" t="s">
        <v>5</v>
      </c>
      <c r="C75" s="15" t="s">
        <v>6</v>
      </c>
      <c r="D75" s="16" t="s">
        <v>7</v>
      </c>
      <c r="E75" s="17" t="str">
        <f>IF(B74="","",(C74-B74))</f>
        <v/>
      </c>
      <c r="F75" s="217"/>
    </row>
    <row r="76" spans="1:6" ht="31.5" customHeight="1">
      <c r="A76" s="228"/>
      <c r="B76" s="18"/>
      <c r="C76" s="19" t="str">
        <f>Holding!$L$17</f>
        <v/>
      </c>
      <c r="D76" s="19"/>
      <c r="E76" s="20" t="str">
        <f>Holding!$T$17</f>
        <v/>
      </c>
      <c r="F76" s="217"/>
    </row>
    <row r="77" spans="1:6" ht="20.25" customHeight="1">
      <c r="A77" s="228"/>
      <c r="B77" s="21" t="s">
        <v>8</v>
      </c>
      <c r="C77" s="22" t="s">
        <v>9</v>
      </c>
      <c r="D77" s="23" t="s">
        <v>10</v>
      </c>
      <c r="E77" s="24" t="s">
        <v>11</v>
      </c>
      <c r="F77" s="217"/>
    </row>
    <row r="78" spans="1:6" ht="10.5" customHeight="1">
      <c r="A78" s="229"/>
      <c r="B78" s="213"/>
      <c r="C78" s="214"/>
      <c r="D78" s="214"/>
      <c r="E78" s="215"/>
      <c r="F78" s="217"/>
    </row>
    <row r="79" spans="1:6" ht="31.5" customHeight="1">
      <c r="A79" s="5">
        <f>A73+1</f>
        <v>13</v>
      </c>
      <c r="B79" s="6">
        <f>Holding!$B$18</f>
        <v>0</v>
      </c>
      <c r="C79" s="7"/>
      <c r="D79" s="8" t="str">
        <f ca="1">IFERROR(__xludf.DUMMYFUNCTION("IF(B79="""","""",SPARKLINE(INDEX(GOOGLEFINANCE(""ASX:""&amp;B79,""price"",TODAY()-14,TODAY()),,2),{""charttype"",""line""}))
"),"")</f>
        <v/>
      </c>
      <c r="E79" s="9" t="str">
        <f>Holding!$I$18</f>
        <v/>
      </c>
      <c r="F79" s="217"/>
    </row>
    <row r="80" spans="1:6" ht="31.5" customHeight="1">
      <c r="A80" s="227"/>
      <c r="B80" s="10" t="str">
        <f>Holding!$K$18</f>
        <v/>
      </c>
      <c r="C80" s="11" t="str">
        <f ca="1">Holding!$R$18</f>
        <v/>
      </c>
      <c r="D80" s="12">
        <f>Holding!$D$18</f>
        <v>0</v>
      </c>
      <c r="E80" s="13" t="str">
        <f ca="1">Holding!$U$18</f>
        <v/>
      </c>
      <c r="F80" s="217"/>
    </row>
    <row r="81" spans="1:6" ht="21" customHeight="1">
      <c r="A81" s="228"/>
      <c r="B81" s="14" t="s">
        <v>5</v>
      </c>
      <c r="C81" s="15" t="s">
        <v>6</v>
      </c>
      <c r="D81" s="16" t="s">
        <v>7</v>
      </c>
      <c r="E81" s="17" t="str">
        <f>IF(B80="","",(C80-B80))</f>
        <v/>
      </c>
      <c r="F81" s="217"/>
    </row>
    <row r="82" spans="1:6" ht="31.5" customHeight="1">
      <c r="A82" s="228"/>
      <c r="B82" s="18"/>
      <c r="C82" s="19" t="str">
        <f>Holding!$L$18</f>
        <v/>
      </c>
      <c r="D82" s="19"/>
      <c r="E82" s="20" t="str">
        <f>Holding!$T$18</f>
        <v/>
      </c>
      <c r="F82" s="217"/>
    </row>
    <row r="83" spans="1:6" ht="20.25" customHeight="1">
      <c r="A83" s="228"/>
      <c r="B83" s="21" t="s">
        <v>8</v>
      </c>
      <c r="C83" s="22" t="s">
        <v>9</v>
      </c>
      <c r="D83" s="23" t="s">
        <v>10</v>
      </c>
      <c r="E83" s="24" t="s">
        <v>11</v>
      </c>
      <c r="F83" s="217"/>
    </row>
    <row r="84" spans="1:6" ht="10.5" customHeight="1">
      <c r="A84" s="229"/>
      <c r="B84" s="213"/>
      <c r="C84" s="214"/>
      <c r="D84" s="214"/>
      <c r="E84" s="215"/>
      <c r="F84" s="217"/>
    </row>
    <row r="85" spans="1:6" ht="31.5" customHeight="1">
      <c r="A85" s="5">
        <f>A79+1</f>
        <v>14</v>
      </c>
      <c r="B85" s="6">
        <f>Holding!$B$19</f>
        <v>0</v>
      </c>
      <c r="C85" s="7"/>
      <c r="D85" s="8" t="str">
        <f ca="1">IFERROR(__xludf.DUMMYFUNCTION("IF(B85="""","""",SPARKLINE(INDEX(GOOGLEFINANCE(""ASX:""&amp;B85,""price"",TODAY()-14,TODAY()),,2),{""charttype"",""line""})) "),"")</f>
        <v/>
      </c>
      <c r="E85" s="9" t="str">
        <f>Holding!$I$19</f>
        <v/>
      </c>
      <c r="F85" s="217"/>
    </row>
    <row r="86" spans="1:6" ht="31.5" customHeight="1">
      <c r="A86" s="227"/>
      <c r="B86" s="10" t="str">
        <f>Holding!$K$19</f>
        <v/>
      </c>
      <c r="C86" s="11" t="str">
        <f ca="1">Holding!$R$19</f>
        <v/>
      </c>
      <c r="D86" s="12">
        <f>Holding!$D$19</f>
        <v>0</v>
      </c>
      <c r="E86" s="13" t="str">
        <f ca="1">Holding!$U$19</f>
        <v/>
      </c>
      <c r="F86" s="217"/>
    </row>
    <row r="87" spans="1:6" ht="21" customHeight="1">
      <c r="A87" s="228"/>
      <c r="B87" s="14" t="s">
        <v>5</v>
      </c>
      <c r="C87" s="15" t="s">
        <v>6</v>
      </c>
      <c r="D87" s="16" t="s">
        <v>7</v>
      </c>
      <c r="E87" s="17" t="str">
        <f>IF(B86="","",(C86-B86))</f>
        <v/>
      </c>
      <c r="F87" s="217"/>
    </row>
    <row r="88" spans="1:6" ht="31.5" customHeight="1">
      <c r="A88" s="228"/>
      <c r="B88" s="18"/>
      <c r="C88" s="19" t="str">
        <f>Holding!$L$19</f>
        <v/>
      </c>
      <c r="D88" s="19"/>
      <c r="E88" s="20" t="str">
        <f>Holding!$T$19</f>
        <v/>
      </c>
      <c r="F88" s="217"/>
    </row>
    <row r="89" spans="1:6" ht="20.25" customHeight="1">
      <c r="A89" s="228"/>
      <c r="B89" s="21" t="s">
        <v>8</v>
      </c>
      <c r="C89" s="22" t="s">
        <v>9</v>
      </c>
      <c r="D89" s="23" t="s">
        <v>10</v>
      </c>
      <c r="E89" s="24" t="s">
        <v>11</v>
      </c>
      <c r="F89" s="217"/>
    </row>
    <row r="90" spans="1:6" ht="12.75" customHeight="1">
      <c r="A90" s="229"/>
      <c r="B90" s="216"/>
      <c r="C90" s="217"/>
      <c r="D90" s="217"/>
      <c r="E90" s="218"/>
      <c r="F90" s="217"/>
    </row>
    <row r="91" spans="1:6" ht="31.5" customHeight="1">
      <c r="A91" s="5">
        <f>A85+1</f>
        <v>15</v>
      </c>
      <c r="B91" s="6">
        <f>Holding!$B$20</f>
        <v>0</v>
      </c>
      <c r="C91" s="7"/>
      <c r="D91" s="8" t="str">
        <f ca="1">IFERROR(__xludf.DUMMYFUNCTION("IF(B91="""","""",SPARKLINE(INDEX(GOOGLEFINANCE(""ASX:""&amp;B91,""price"",TODAY()-14,TODAY()),,2),{""charttype"",""line""}))
"),"")</f>
        <v/>
      </c>
      <c r="E91" s="9" t="str">
        <f>Holding!$I$20</f>
        <v/>
      </c>
      <c r="F91" s="217"/>
    </row>
    <row r="92" spans="1:6" ht="31.5" customHeight="1">
      <c r="A92" s="227"/>
      <c r="B92" s="10" t="str">
        <f>Holding!$K$20</f>
        <v/>
      </c>
      <c r="C92" s="11" t="str">
        <f ca="1">Holding!$R$20</f>
        <v/>
      </c>
      <c r="D92" s="12">
        <f>Holding!$D$20</f>
        <v>0</v>
      </c>
      <c r="E92" s="13" t="str">
        <f ca="1">Holding!$U$20</f>
        <v/>
      </c>
      <c r="F92" s="217"/>
    </row>
    <row r="93" spans="1:6" ht="21" customHeight="1">
      <c r="A93" s="228"/>
      <c r="B93" s="14" t="s">
        <v>5</v>
      </c>
      <c r="C93" s="15" t="s">
        <v>6</v>
      </c>
      <c r="D93" s="16" t="s">
        <v>7</v>
      </c>
      <c r="E93" s="17" t="str">
        <f>IF(B92="","",(C92-B92))</f>
        <v/>
      </c>
      <c r="F93" s="217"/>
    </row>
    <row r="94" spans="1:6" ht="31.5" customHeight="1">
      <c r="A94" s="228"/>
      <c r="B94" s="18"/>
      <c r="C94" s="19" t="str">
        <f>Holding!$L$20</f>
        <v/>
      </c>
      <c r="D94" s="19"/>
      <c r="E94" s="20" t="str">
        <f>Holding!$T$20</f>
        <v/>
      </c>
      <c r="F94" s="217"/>
    </row>
    <row r="95" spans="1:6" ht="20.25" customHeight="1">
      <c r="A95" s="228"/>
      <c r="B95" s="21" t="s">
        <v>8</v>
      </c>
      <c r="C95" s="22" t="s">
        <v>9</v>
      </c>
      <c r="D95" s="23" t="s">
        <v>10</v>
      </c>
      <c r="E95" s="24" t="s">
        <v>11</v>
      </c>
      <c r="F95" s="217"/>
    </row>
    <row r="96" spans="1:6" ht="10.5" customHeight="1">
      <c r="A96" s="229"/>
      <c r="B96" s="213"/>
      <c r="C96" s="214"/>
      <c r="D96" s="214"/>
      <c r="E96" s="215"/>
      <c r="F96" s="217"/>
    </row>
    <row r="97" spans="1:6" ht="31.5" customHeight="1">
      <c r="A97" s="5">
        <f>A91+1</f>
        <v>16</v>
      </c>
      <c r="B97" s="6">
        <f>Holding!$B$21</f>
        <v>0</v>
      </c>
      <c r="C97" s="7"/>
      <c r="D97" s="8" t="str">
        <f ca="1">IFERROR(__xludf.DUMMYFUNCTION("IF(B97="""","""",SPARKLINE(INDEX(GOOGLEFINANCE(""ASX:""&amp;B97,""price"",TODAY()-14,TODAY()),,2),{""charttype"",""line""}))
"),"")</f>
        <v/>
      </c>
      <c r="E97" s="9" t="str">
        <f>Holding!$I$21</f>
        <v/>
      </c>
      <c r="F97" s="217"/>
    </row>
    <row r="98" spans="1:6" ht="31.5" customHeight="1">
      <c r="A98" s="227"/>
      <c r="B98" s="10" t="str">
        <f>Holding!$K$21</f>
        <v/>
      </c>
      <c r="C98" s="11" t="str">
        <f ca="1">Holding!$R$21</f>
        <v/>
      </c>
      <c r="D98" s="12">
        <f>Holding!$D$21</f>
        <v>0</v>
      </c>
      <c r="E98" s="13" t="str">
        <f ca="1">Holding!$U$21</f>
        <v/>
      </c>
      <c r="F98" s="217"/>
    </row>
    <row r="99" spans="1:6" ht="21" customHeight="1">
      <c r="A99" s="228"/>
      <c r="B99" s="14" t="s">
        <v>5</v>
      </c>
      <c r="C99" s="15" t="s">
        <v>6</v>
      </c>
      <c r="D99" s="16" t="s">
        <v>7</v>
      </c>
      <c r="E99" s="17" t="str">
        <f>IF(B98="","",(C98-B98))</f>
        <v/>
      </c>
      <c r="F99" s="217"/>
    </row>
    <row r="100" spans="1:6" ht="31.5" customHeight="1">
      <c r="A100" s="228"/>
      <c r="B100" s="18"/>
      <c r="C100" s="19" t="str">
        <f>Holding!$L$21</f>
        <v/>
      </c>
      <c r="D100" s="19"/>
      <c r="E100" s="20" t="str">
        <f>Holding!$T$21</f>
        <v/>
      </c>
      <c r="F100" s="217"/>
    </row>
    <row r="101" spans="1:6" ht="20.25" customHeight="1">
      <c r="A101" s="228"/>
      <c r="B101" s="21" t="s">
        <v>8</v>
      </c>
      <c r="C101" s="22" t="s">
        <v>9</v>
      </c>
      <c r="D101" s="23" t="s">
        <v>10</v>
      </c>
      <c r="E101" s="24" t="s">
        <v>11</v>
      </c>
      <c r="F101" s="217"/>
    </row>
    <row r="102" spans="1:6" ht="10.5" customHeight="1">
      <c r="A102" s="229"/>
      <c r="B102" s="213"/>
      <c r="C102" s="214"/>
      <c r="D102" s="214"/>
      <c r="E102" s="215"/>
      <c r="F102" s="217"/>
    </row>
    <row r="103" spans="1:6" ht="31.5" customHeight="1">
      <c r="A103" s="5">
        <f>A97+1</f>
        <v>17</v>
      </c>
      <c r="B103" s="6">
        <f>Holding!$B$22</f>
        <v>0</v>
      </c>
      <c r="C103" s="7"/>
      <c r="D103" s="8" t="str">
        <f ca="1">IFERROR(__xludf.DUMMYFUNCTION("IF(B103="""","""",SPARKLINE(INDEX(GOOGLEFINANCE(""ASX:""&amp;B103,""price"",TODAY()-14,TODAY()),,2),{""charttype"",""line""}))
"),"")</f>
        <v/>
      </c>
      <c r="E103" s="9" t="str">
        <f>Holding!$I$22</f>
        <v/>
      </c>
      <c r="F103" s="217"/>
    </row>
    <row r="104" spans="1:6" ht="31.5" customHeight="1">
      <c r="A104" s="227"/>
      <c r="B104" s="10" t="str">
        <f>Holding!$K$22</f>
        <v/>
      </c>
      <c r="C104" s="11" t="str">
        <f ca="1">Holding!$R$22</f>
        <v/>
      </c>
      <c r="D104" s="12">
        <f>Holding!$D$22</f>
        <v>0</v>
      </c>
      <c r="E104" s="13" t="str">
        <f ca="1">Holding!$U$22</f>
        <v/>
      </c>
      <c r="F104" s="217"/>
    </row>
    <row r="105" spans="1:6" ht="21" customHeight="1">
      <c r="A105" s="228"/>
      <c r="B105" s="14" t="s">
        <v>5</v>
      </c>
      <c r="C105" s="15" t="s">
        <v>6</v>
      </c>
      <c r="D105" s="16" t="s">
        <v>7</v>
      </c>
      <c r="E105" s="17" t="str">
        <f>IF(B104="","",(C104-B104))</f>
        <v/>
      </c>
      <c r="F105" s="217"/>
    </row>
    <row r="106" spans="1:6" ht="31.5" customHeight="1">
      <c r="A106" s="228"/>
      <c r="B106" s="18"/>
      <c r="C106" s="19" t="str">
        <f>Holding!$L$22</f>
        <v/>
      </c>
      <c r="D106" s="19"/>
      <c r="E106" s="20" t="str">
        <f>Holding!$T$22</f>
        <v/>
      </c>
      <c r="F106" s="217"/>
    </row>
    <row r="107" spans="1:6" ht="20.25" customHeight="1">
      <c r="A107" s="228"/>
      <c r="B107" s="21" t="s">
        <v>8</v>
      </c>
      <c r="C107" s="22" t="s">
        <v>9</v>
      </c>
      <c r="D107" s="23" t="s">
        <v>10</v>
      </c>
      <c r="E107" s="24" t="s">
        <v>11</v>
      </c>
      <c r="F107" s="217"/>
    </row>
    <row r="108" spans="1:6" ht="10.5" customHeight="1">
      <c r="A108" s="229"/>
      <c r="B108" s="213"/>
      <c r="C108" s="214"/>
      <c r="D108" s="214"/>
      <c r="E108" s="215"/>
      <c r="F108" s="217"/>
    </row>
    <row r="109" spans="1:6" ht="31.5" customHeight="1">
      <c r="A109" s="5">
        <f>A103+1</f>
        <v>18</v>
      </c>
      <c r="B109" s="6">
        <f>Holding!$B$23</f>
        <v>0</v>
      </c>
      <c r="C109" s="7"/>
      <c r="D109" s="8" t="str">
        <f ca="1">IFERROR(__xludf.DUMMYFUNCTION("IF(B109="""","""",SPARKLINE(INDEX(GOOGLEFINANCE(""ASX:""&amp;B109,""price"",TODAY()-14,TODAY()),,2),{""charttype"",""line""}))
"),"")</f>
        <v/>
      </c>
      <c r="E109" s="9" t="str">
        <f>Holding!$I$23</f>
        <v/>
      </c>
      <c r="F109" s="217"/>
    </row>
    <row r="110" spans="1:6" ht="31.5" customHeight="1">
      <c r="A110" s="227"/>
      <c r="B110" s="10" t="str">
        <f>Holding!$K$23</f>
        <v/>
      </c>
      <c r="C110" s="11" t="str">
        <f ca="1">Holding!$R$23</f>
        <v/>
      </c>
      <c r="D110" s="12">
        <f>Holding!$D$23</f>
        <v>0</v>
      </c>
      <c r="E110" s="13" t="str">
        <f ca="1">Holding!$U$23</f>
        <v/>
      </c>
      <c r="F110" s="217"/>
    </row>
    <row r="111" spans="1:6" ht="21" customHeight="1">
      <c r="A111" s="228"/>
      <c r="B111" s="14" t="s">
        <v>5</v>
      </c>
      <c r="C111" s="15" t="s">
        <v>6</v>
      </c>
      <c r="D111" s="16" t="s">
        <v>7</v>
      </c>
      <c r="E111" s="17" t="str">
        <f>IF(B110="","",(C110-B110))</f>
        <v/>
      </c>
      <c r="F111" s="217"/>
    </row>
    <row r="112" spans="1:6" ht="31.5" customHeight="1">
      <c r="A112" s="228"/>
      <c r="B112" s="18"/>
      <c r="C112" s="19" t="str">
        <f>Holding!$L$23</f>
        <v/>
      </c>
      <c r="D112" s="19"/>
      <c r="E112" s="20" t="str">
        <f>Holding!$T$23</f>
        <v/>
      </c>
      <c r="F112" s="217"/>
    </row>
    <row r="113" spans="1:6" ht="20.25" customHeight="1">
      <c r="A113" s="228"/>
      <c r="B113" s="21" t="s">
        <v>8</v>
      </c>
      <c r="C113" s="22" t="s">
        <v>9</v>
      </c>
      <c r="D113" s="23" t="s">
        <v>10</v>
      </c>
      <c r="E113" s="24" t="s">
        <v>11</v>
      </c>
      <c r="F113" s="217"/>
    </row>
    <row r="114" spans="1:6" ht="10.5" customHeight="1">
      <c r="A114" s="229"/>
      <c r="B114" s="213"/>
      <c r="C114" s="214"/>
      <c r="D114" s="214"/>
      <c r="E114" s="215"/>
      <c r="F114" s="217"/>
    </row>
    <row r="115" spans="1:6" ht="31.5" customHeight="1">
      <c r="A115" s="5">
        <f>A109+1</f>
        <v>19</v>
      </c>
      <c r="B115" s="6">
        <f>Holding!$B$24</f>
        <v>0</v>
      </c>
      <c r="C115" s="7"/>
      <c r="D115" s="8" t="str">
        <f ca="1">IFERROR(__xludf.DUMMYFUNCTION("IF(B115="""","""",SPARKLINE(INDEX(GOOGLEFINANCE(""ASX:""&amp;B115,""price"",TODAY()-14,TODAY()),,2),{""charttype"",""line""}))
"),"")</f>
        <v/>
      </c>
      <c r="E115" s="9" t="str">
        <f>Holding!$I$24</f>
        <v/>
      </c>
      <c r="F115" s="217"/>
    </row>
    <row r="116" spans="1:6" ht="31.5" customHeight="1">
      <c r="A116" s="227"/>
      <c r="B116" s="10" t="str">
        <f>Holding!$K$24</f>
        <v/>
      </c>
      <c r="C116" s="11" t="str">
        <f ca="1">Holding!$R$24</f>
        <v/>
      </c>
      <c r="D116" s="12">
        <f>Holding!$D$24</f>
        <v>0</v>
      </c>
      <c r="E116" s="13" t="str">
        <f ca="1">Holding!$U$24</f>
        <v/>
      </c>
      <c r="F116" s="217"/>
    </row>
    <row r="117" spans="1:6" ht="21" customHeight="1">
      <c r="A117" s="228"/>
      <c r="B117" s="14" t="s">
        <v>5</v>
      </c>
      <c r="C117" s="15" t="s">
        <v>6</v>
      </c>
      <c r="D117" s="16" t="s">
        <v>7</v>
      </c>
      <c r="E117" s="17" t="str">
        <f>IF(B116="","",(C116-B116))</f>
        <v/>
      </c>
      <c r="F117" s="217"/>
    </row>
    <row r="118" spans="1:6" ht="31.5" customHeight="1">
      <c r="A118" s="228"/>
      <c r="B118" s="18"/>
      <c r="C118" s="19" t="str">
        <f>Holding!$L$24</f>
        <v/>
      </c>
      <c r="D118" s="19"/>
      <c r="E118" s="20" t="str">
        <f>Holding!$T$24</f>
        <v/>
      </c>
      <c r="F118" s="217"/>
    </row>
    <row r="119" spans="1:6" ht="20.25" customHeight="1">
      <c r="A119" s="228"/>
      <c r="B119" s="21" t="s">
        <v>8</v>
      </c>
      <c r="C119" s="22" t="s">
        <v>9</v>
      </c>
      <c r="D119" s="23" t="s">
        <v>10</v>
      </c>
      <c r="E119" s="24" t="s">
        <v>11</v>
      </c>
      <c r="F119" s="217"/>
    </row>
    <row r="120" spans="1:6" ht="10.5" customHeight="1">
      <c r="A120" s="229"/>
      <c r="B120" s="213"/>
      <c r="C120" s="214"/>
      <c r="D120" s="214"/>
      <c r="E120" s="215"/>
      <c r="F120" s="217"/>
    </row>
    <row r="121" spans="1:6" ht="31.5" customHeight="1">
      <c r="A121" s="5">
        <f>A115+1</f>
        <v>20</v>
      </c>
      <c r="B121" s="6">
        <f>Holding!$B$25</f>
        <v>0</v>
      </c>
      <c r="C121" s="7"/>
      <c r="D121" s="8" t="str">
        <f ca="1">IFERROR(__xludf.DUMMYFUNCTION("IF(B121="""","""",SPARKLINE(INDEX(GOOGLEFINANCE(""ASX:""&amp;B121,""price"",TODAY()-14,TODAY()),,2),{""charttype"",""line""}))
"),"")</f>
        <v/>
      </c>
      <c r="E121" s="9" t="str">
        <f>Holding!$I$25</f>
        <v/>
      </c>
      <c r="F121" s="217"/>
    </row>
    <row r="122" spans="1:6" ht="31.5" customHeight="1">
      <c r="A122" s="227"/>
      <c r="B122" s="10" t="str">
        <f>Holding!$K$25</f>
        <v/>
      </c>
      <c r="C122" s="11" t="str">
        <f ca="1">Holding!$R$25</f>
        <v/>
      </c>
      <c r="D122" s="12">
        <f>Holding!$D$25</f>
        <v>0</v>
      </c>
      <c r="E122" s="13" t="str">
        <f ca="1">Holding!$U$25</f>
        <v/>
      </c>
      <c r="F122" s="217"/>
    </row>
    <row r="123" spans="1:6" ht="21" customHeight="1">
      <c r="A123" s="228"/>
      <c r="B123" s="14" t="s">
        <v>5</v>
      </c>
      <c r="C123" s="15" t="s">
        <v>6</v>
      </c>
      <c r="D123" s="16" t="s">
        <v>7</v>
      </c>
      <c r="E123" s="17" t="str">
        <f>IF(B122="","",(C122-B122))</f>
        <v/>
      </c>
      <c r="F123" s="217"/>
    </row>
    <row r="124" spans="1:6" ht="31.5" customHeight="1">
      <c r="A124" s="228"/>
      <c r="B124" s="18"/>
      <c r="C124" s="19" t="str">
        <f>Holding!$L$25</f>
        <v/>
      </c>
      <c r="D124" s="19"/>
      <c r="E124" s="20" t="str">
        <f>Holding!$T$25</f>
        <v/>
      </c>
      <c r="F124" s="217"/>
    </row>
    <row r="125" spans="1:6" ht="20.25" customHeight="1">
      <c r="A125" s="228"/>
      <c r="B125" s="21" t="s">
        <v>8</v>
      </c>
      <c r="C125" s="22" t="s">
        <v>9</v>
      </c>
      <c r="D125" s="23" t="s">
        <v>10</v>
      </c>
      <c r="E125" s="24" t="s">
        <v>11</v>
      </c>
      <c r="F125" s="217"/>
    </row>
    <row r="126" spans="1:6" ht="10.5" customHeight="1">
      <c r="A126" s="229"/>
      <c r="B126" s="213"/>
      <c r="C126" s="214"/>
      <c r="D126" s="214"/>
      <c r="E126" s="215"/>
      <c r="F126" s="217"/>
    </row>
    <row r="127" spans="1:6" ht="31.5" customHeight="1">
      <c r="A127" s="5">
        <f>A121+1</f>
        <v>21</v>
      </c>
      <c r="B127" s="6">
        <f>Holding!$B$26</f>
        <v>0</v>
      </c>
      <c r="C127" s="7"/>
      <c r="D127" s="8" t="str">
        <f ca="1">IFERROR(__xludf.DUMMYFUNCTION("IF(B127="""","""",SPARKLINE(INDEX(GOOGLEFINANCE(""ASX:""&amp;B127,""price"",TODAY()-14,TODAY()),,2),{""charttype"",""line""}))
"),"")</f>
        <v/>
      </c>
      <c r="E127" s="9" t="str">
        <f>Holding!$I$26</f>
        <v/>
      </c>
      <c r="F127" s="217"/>
    </row>
    <row r="128" spans="1:6" ht="31.5" customHeight="1">
      <c r="A128" s="227"/>
      <c r="B128" s="10" t="str">
        <f>Holding!$K$26</f>
        <v/>
      </c>
      <c r="C128" s="11" t="str">
        <f ca="1">Holding!$R$26</f>
        <v/>
      </c>
      <c r="D128" s="12">
        <f>Holding!$D$26</f>
        <v>0</v>
      </c>
      <c r="E128" s="13" t="str">
        <f ca="1">Holding!$U$26</f>
        <v/>
      </c>
      <c r="F128" s="217"/>
    </row>
    <row r="129" spans="1:6" ht="21" customHeight="1">
      <c r="A129" s="228"/>
      <c r="B129" s="14" t="s">
        <v>5</v>
      </c>
      <c r="C129" s="15" t="s">
        <v>6</v>
      </c>
      <c r="D129" s="16" t="s">
        <v>7</v>
      </c>
      <c r="E129" s="17" t="str">
        <f>IF(B128="","",(C128-B128))</f>
        <v/>
      </c>
      <c r="F129" s="217"/>
    </row>
    <row r="130" spans="1:6" ht="31.5" customHeight="1">
      <c r="A130" s="228"/>
      <c r="B130" s="18"/>
      <c r="C130" s="19" t="str">
        <f>Holding!$L$26</f>
        <v/>
      </c>
      <c r="D130" s="19"/>
      <c r="E130" s="20" t="str">
        <f>Holding!$T$26</f>
        <v/>
      </c>
      <c r="F130" s="217"/>
    </row>
    <row r="131" spans="1:6" ht="20.25" customHeight="1">
      <c r="A131" s="228"/>
      <c r="B131" s="21" t="s">
        <v>8</v>
      </c>
      <c r="C131" s="22" t="s">
        <v>9</v>
      </c>
      <c r="D131" s="23" t="s">
        <v>10</v>
      </c>
      <c r="E131" s="24" t="s">
        <v>11</v>
      </c>
      <c r="F131" s="217"/>
    </row>
    <row r="132" spans="1:6" ht="10.5" customHeight="1">
      <c r="A132" s="229"/>
      <c r="B132" s="213"/>
      <c r="C132" s="214"/>
      <c r="D132" s="214"/>
      <c r="E132" s="215"/>
      <c r="F132" s="217"/>
    </row>
    <row r="133" spans="1:6" ht="31.5" customHeight="1">
      <c r="A133" s="5">
        <f>A127+1</f>
        <v>22</v>
      </c>
      <c r="B133" s="6">
        <f>Holding!$B$27</f>
        <v>0</v>
      </c>
      <c r="C133" s="7"/>
      <c r="D133" s="8" t="str">
        <f ca="1">IFERROR(__xludf.DUMMYFUNCTION("IF(B133="""","""",SPARKLINE(INDEX(GOOGLEFINANCE(""ASX:""&amp;B133,""price"",TODAY()-14,TODAY()),,2),{""charttype"",""line""}))
"),"")</f>
        <v/>
      </c>
      <c r="E133" s="9" t="str">
        <f>Holding!$I$27</f>
        <v/>
      </c>
      <c r="F133" s="217"/>
    </row>
    <row r="134" spans="1:6" ht="31.5" customHeight="1">
      <c r="A134" s="227"/>
      <c r="B134" s="10" t="str">
        <f>Holding!$K$27</f>
        <v/>
      </c>
      <c r="C134" s="11" t="str">
        <f ca="1">Holding!$R$27</f>
        <v/>
      </c>
      <c r="D134" s="12">
        <f>Holding!$D$27</f>
        <v>0</v>
      </c>
      <c r="E134" s="13" t="str">
        <f ca="1">Holding!$U$27</f>
        <v/>
      </c>
      <c r="F134" s="217"/>
    </row>
    <row r="135" spans="1:6" ht="21" customHeight="1">
      <c r="A135" s="228"/>
      <c r="B135" s="14" t="s">
        <v>5</v>
      </c>
      <c r="C135" s="15" t="s">
        <v>6</v>
      </c>
      <c r="D135" s="16" t="s">
        <v>7</v>
      </c>
      <c r="E135" s="17" t="str">
        <f>IF(B134="","",(C134-B134))</f>
        <v/>
      </c>
      <c r="F135" s="217"/>
    </row>
    <row r="136" spans="1:6" ht="31.5" customHeight="1">
      <c r="A136" s="228"/>
      <c r="B136" s="18"/>
      <c r="C136" s="19" t="str">
        <f>Holding!$L$27</f>
        <v/>
      </c>
      <c r="D136" s="19"/>
      <c r="E136" s="20" t="str">
        <f>Holding!$T$27</f>
        <v/>
      </c>
      <c r="F136" s="217"/>
    </row>
    <row r="137" spans="1:6" ht="20.25" customHeight="1">
      <c r="A137" s="228"/>
      <c r="B137" s="21" t="s">
        <v>8</v>
      </c>
      <c r="C137" s="22" t="s">
        <v>9</v>
      </c>
      <c r="D137" s="23" t="s">
        <v>10</v>
      </c>
      <c r="E137" s="24" t="s">
        <v>11</v>
      </c>
      <c r="F137" s="217"/>
    </row>
    <row r="138" spans="1:6" ht="10.5" customHeight="1">
      <c r="A138" s="229"/>
      <c r="B138" s="213"/>
      <c r="C138" s="214"/>
      <c r="D138" s="214"/>
      <c r="E138" s="215"/>
      <c r="F138" s="217"/>
    </row>
    <row r="139" spans="1:6" ht="31.5" customHeight="1">
      <c r="A139" s="5">
        <f>A133+1</f>
        <v>23</v>
      </c>
      <c r="B139" s="6">
        <f>Holding!$B$28</f>
        <v>0</v>
      </c>
      <c r="C139" s="7"/>
      <c r="D139" s="8" t="str">
        <f ca="1">IFERROR(__xludf.DUMMYFUNCTION("IF(B139="""","""",SPARKLINE(INDEX(GOOGLEFINANCE(""ASX:""&amp;B139,""price"",TODAY()-14,TODAY()),,2),{""charttype"",""line""}))
"),"")</f>
        <v/>
      </c>
      <c r="E139" s="9" t="str">
        <f>Holding!$I$28</f>
        <v/>
      </c>
      <c r="F139" s="217"/>
    </row>
    <row r="140" spans="1:6" ht="31.5" customHeight="1">
      <c r="A140" s="227"/>
      <c r="B140" s="10" t="str">
        <f>Holding!$K$28</f>
        <v/>
      </c>
      <c r="C140" s="11" t="str">
        <f ca="1">Holding!$R$28</f>
        <v/>
      </c>
      <c r="D140" s="12">
        <f>Holding!$D$28</f>
        <v>0</v>
      </c>
      <c r="E140" s="13" t="str">
        <f ca="1">Holding!$U$28</f>
        <v/>
      </c>
      <c r="F140" s="217"/>
    </row>
    <row r="141" spans="1:6" ht="21" customHeight="1">
      <c r="A141" s="228"/>
      <c r="B141" s="14" t="s">
        <v>5</v>
      </c>
      <c r="C141" s="15" t="s">
        <v>6</v>
      </c>
      <c r="D141" s="16" t="s">
        <v>7</v>
      </c>
      <c r="E141" s="17" t="str">
        <f>IF(B140="","",(C140-B140))</f>
        <v/>
      </c>
      <c r="F141" s="217"/>
    </row>
    <row r="142" spans="1:6" ht="31.5" customHeight="1">
      <c r="A142" s="228"/>
      <c r="B142" s="18"/>
      <c r="C142" s="19" t="str">
        <f>Holding!$L$28</f>
        <v/>
      </c>
      <c r="D142" s="19"/>
      <c r="E142" s="20" t="str">
        <f>Holding!$T$28</f>
        <v/>
      </c>
      <c r="F142" s="217"/>
    </row>
    <row r="143" spans="1:6" ht="20.25" customHeight="1">
      <c r="A143" s="228"/>
      <c r="B143" s="21" t="s">
        <v>8</v>
      </c>
      <c r="C143" s="22" t="s">
        <v>9</v>
      </c>
      <c r="D143" s="23" t="s">
        <v>10</v>
      </c>
      <c r="E143" s="24" t="s">
        <v>11</v>
      </c>
      <c r="F143" s="217"/>
    </row>
    <row r="144" spans="1:6" ht="10.5" customHeight="1">
      <c r="A144" s="229"/>
      <c r="B144" s="213"/>
      <c r="C144" s="214"/>
      <c r="D144" s="214"/>
      <c r="E144" s="215"/>
      <c r="F144" s="217"/>
    </row>
    <row r="145" spans="1:6" ht="31.5" customHeight="1">
      <c r="A145" s="5">
        <f>A139+1</f>
        <v>24</v>
      </c>
      <c r="B145" s="6">
        <f>Holding!$B$29</f>
        <v>0</v>
      </c>
      <c r="C145" s="7"/>
      <c r="D145" s="8" t="str">
        <f ca="1">IFERROR(__xludf.DUMMYFUNCTION("IF(B145="""","""",SPARKLINE(INDEX(GOOGLEFINANCE(""ASX:""&amp;B145,""price"",TODAY()-14,TODAY()),,2),{""charttype"",""line""}))
"),"")</f>
        <v/>
      </c>
      <c r="E145" s="9" t="str">
        <f>Holding!$I$29</f>
        <v/>
      </c>
      <c r="F145" s="217"/>
    </row>
    <row r="146" spans="1:6" ht="31.5" customHeight="1">
      <c r="A146" s="227"/>
      <c r="B146" s="10" t="str">
        <f>Holding!$K$29</f>
        <v/>
      </c>
      <c r="C146" s="11" t="str">
        <f ca="1">Holding!$R$29</f>
        <v/>
      </c>
      <c r="D146" s="12">
        <f>Holding!$D$29</f>
        <v>0</v>
      </c>
      <c r="E146" s="13" t="str">
        <f ca="1">Holding!$U$29</f>
        <v/>
      </c>
      <c r="F146" s="217"/>
    </row>
    <row r="147" spans="1:6" ht="21" customHeight="1">
      <c r="A147" s="228"/>
      <c r="B147" s="14" t="s">
        <v>5</v>
      </c>
      <c r="C147" s="15" t="s">
        <v>6</v>
      </c>
      <c r="D147" s="16" t="s">
        <v>7</v>
      </c>
      <c r="E147" s="17" t="str">
        <f>IF(B146="","",(C146-B146))</f>
        <v/>
      </c>
      <c r="F147" s="217"/>
    </row>
    <row r="148" spans="1:6" ht="31.5" customHeight="1">
      <c r="A148" s="228"/>
      <c r="B148" s="18"/>
      <c r="C148" s="19" t="str">
        <f>Holding!$L$29</f>
        <v/>
      </c>
      <c r="D148" s="19"/>
      <c r="E148" s="20" t="str">
        <f>Holding!$T$29</f>
        <v/>
      </c>
      <c r="F148" s="217"/>
    </row>
    <row r="149" spans="1:6" ht="20.25" customHeight="1">
      <c r="A149" s="228"/>
      <c r="B149" s="21" t="s">
        <v>8</v>
      </c>
      <c r="C149" s="22" t="s">
        <v>9</v>
      </c>
      <c r="D149" s="23" t="s">
        <v>10</v>
      </c>
      <c r="E149" s="24" t="s">
        <v>11</v>
      </c>
      <c r="F149" s="217"/>
    </row>
    <row r="150" spans="1:6" ht="10.5" customHeight="1">
      <c r="A150" s="229"/>
      <c r="B150" s="213"/>
      <c r="C150" s="214"/>
      <c r="D150" s="214"/>
      <c r="E150" s="215"/>
      <c r="F150" s="217"/>
    </row>
    <row r="151" spans="1:6" ht="31.5" customHeight="1">
      <c r="A151" s="5">
        <f>A145+1</f>
        <v>25</v>
      </c>
      <c r="B151" s="6">
        <f>Holding!$B$30</f>
        <v>0</v>
      </c>
      <c r="C151" s="7"/>
      <c r="D151" s="8" t="str">
        <f ca="1">IFERROR(__xludf.DUMMYFUNCTION("IF(B151="""","""",SPARKLINE(INDEX(GOOGLEFINANCE(""ASX:""&amp;B151,""price"",TODAY()-14,TODAY()),,2),{""charttype"",""line""}))
"),"")</f>
        <v/>
      </c>
      <c r="E151" s="9" t="str">
        <f>Holding!$I$30</f>
        <v/>
      </c>
      <c r="F151" s="217"/>
    </row>
    <row r="152" spans="1:6" ht="31.5" customHeight="1">
      <c r="A152" s="227"/>
      <c r="B152" s="10" t="str">
        <f>Holding!$K$30</f>
        <v/>
      </c>
      <c r="C152" s="11" t="str">
        <f ca="1">Holding!$R$30</f>
        <v/>
      </c>
      <c r="D152" s="12">
        <f>Holding!$D$30</f>
        <v>0</v>
      </c>
      <c r="E152" s="13" t="str">
        <f ca="1">Holding!$U$30</f>
        <v/>
      </c>
      <c r="F152" s="217"/>
    </row>
    <row r="153" spans="1:6" ht="21" customHeight="1">
      <c r="A153" s="228"/>
      <c r="B153" s="14" t="s">
        <v>5</v>
      </c>
      <c r="C153" s="15" t="s">
        <v>6</v>
      </c>
      <c r="D153" s="16" t="s">
        <v>7</v>
      </c>
      <c r="E153" s="17" t="str">
        <f>IF(B152="","",(C152-B152))</f>
        <v/>
      </c>
      <c r="F153" s="217"/>
    </row>
    <row r="154" spans="1:6" ht="31.5" customHeight="1">
      <c r="A154" s="228"/>
      <c r="B154" s="18"/>
      <c r="C154" s="19" t="str">
        <f>Holding!$L$30</f>
        <v/>
      </c>
      <c r="D154" s="19"/>
      <c r="E154" s="20" t="str">
        <f>Holding!$T$30</f>
        <v/>
      </c>
      <c r="F154" s="217"/>
    </row>
    <row r="155" spans="1:6" ht="20.25" customHeight="1">
      <c r="A155" s="228"/>
      <c r="B155" s="21" t="s">
        <v>8</v>
      </c>
      <c r="C155" s="22" t="s">
        <v>9</v>
      </c>
      <c r="D155" s="23" t="s">
        <v>10</v>
      </c>
      <c r="E155" s="24" t="s">
        <v>11</v>
      </c>
      <c r="F155" s="217"/>
    </row>
    <row r="156" spans="1:6" ht="10.5" customHeight="1">
      <c r="A156" s="229"/>
      <c r="B156" s="213"/>
      <c r="C156" s="214"/>
      <c r="D156" s="214"/>
      <c r="E156" s="215"/>
      <c r="F156" s="217"/>
    </row>
  </sheetData>
  <sheetProtection algorithmName="SHA-512" hashValue="CwfEVmGjpnt+A7A8bC6oyXYM6m0Nz5CqvZveNPmrdyC1uwaDSUOJNGOQv3NRyXqSEDeSJmmbZ6WdmmHt9a3PIA==" saltValue="MYAavnSqi740XSnN/CbVkA==" spinCount="100000" sheet="1" objects="1" scenarios="1" formatColumns="0" formatRows="0"/>
  <mergeCells count="58">
    <mergeCell ref="A56:A60"/>
    <mergeCell ref="A62:A66"/>
    <mergeCell ref="A68:A72"/>
    <mergeCell ref="A74:A78"/>
    <mergeCell ref="A80:A84"/>
    <mergeCell ref="A1:A6"/>
    <mergeCell ref="A8:A12"/>
    <mergeCell ref="A14:A18"/>
    <mergeCell ref="A20:A24"/>
    <mergeCell ref="A26:A30"/>
    <mergeCell ref="A116:A120"/>
    <mergeCell ref="A122:A126"/>
    <mergeCell ref="B12:E12"/>
    <mergeCell ref="B18:E18"/>
    <mergeCell ref="B24:E24"/>
    <mergeCell ref="B30:E30"/>
    <mergeCell ref="B36:E36"/>
    <mergeCell ref="B42:E42"/>
    <mergeCell ref="A32:A36"/>
    <mergeCell ref="A38:A42"/>
    <mergeCell ref="B48:E48"/>
    <mergeCell ref="B54:E54"/>
    <mergeCell ref="B60:E60"/>
    <mergeCell ref="B66:E66"/>
    <mergeCell ref="A44:A48"/>
    <mergeCell ref="A50:A54"/>
    <mergeCell ref="A86:A90"/>
    <mergeCell ref="A92:A96"/>
    <mergeCell ref="A98:A102"/>
    <mergeCell ref="A104:A108"/>
    <mergeCell ref="A110:A114"/>
    <mergeCell ref="A128:A132"/>
    <mergeCell ref="A134:A138"/>
    <mergeCell ref="A140:A144"/>
    <mergeCell ref="A146:A150"/>
    <mergeCell ref="A152:A156"/>
    <mergeCell ref="F1:F156"/>
    <mergeCell ref="B2:D2"/>
    <mergeCell ref="B3:D3"/>
    <mergeCell ref="B4:D4"/>
    <mergeCell ref="B5:D5"/>
    <mergeCell ref="B6:E6"/>
    <mergeCell ref="B156:E156"/>
    <mergeCell ref="B132:E132"/>
    <mergeCell ref="B138:E138"/>
    <mergeCell ref="B144:E144"/>
    <mergeCell ref="B150:E150"/>
    <mergeCell ref="B1:E1"/>
    <mergeCell ref="B102:E102"/>
    <mergeCell ref="B108:E108"/>
    <mergeCell ref="B114:E114"/>
    <mergeCell ref="B120:E120"/>
    <mergeCell ref="B126:E126"/>
    <mergeCell ref="B72:E72"/>
    <mergeCell ref="B78:E78"/>
    <mergeCell ref="B84:E84"/>
    <mergeCell ref="B90:E90"/>
    <mergeCell ref="B96:E96"/>
  </mergeCells>
  <conditionalFormatting sqref="B7:E11 E15 E21 E27 E33 E39 E45 E51 E57 E63 E69 E75 E81 E87 E93 E99 E105 E111 E117 E123 E129 E135 E141 E147 E153 C13 C19 C25 C31 C37 C43 C49 C55 C61 C67 C73 C79 C85 C91 C97 C103 C109 C115 C121 C127 C133 C139 C145 C151">
    <cfRule type="expression" dxfId="65" priority="20">
      <formula>$B$7=""</formula>
    </cfRule>
  </conditionalFormatting>
  <conditionalFormatting sqref="B13:E17 C19">
    <cfRule type="expression" dxfId="64" priority="19">
      <formula>$B$13=""</formula>
    </cfRule>
  </conditionalFormatting>
  <conditionalFormatting sqref="B19:E23">
    <cfRule type="expression" dxfId="63" priority="18">
      <formula>$B$19=""</formula>
    </cfRule>
  </conditionalFormatting>
  <conditionalFormatting sqref="B25:E29">
    <cfRule type="expression" dxfId="62" priority="17">
      <formula>$B$25=""</formula>
    </cfRule>
  </conditionalFormatting>
  <conditionalFormatting sqref="B31:E35">
    <cfRule type="expression" dxfId="61" priority="16">
      <formula>$B$31=""</formula>
    </cfRule>
  </conditionalFormatting>
  <conditionalFormatting sqref="B43:E47">
    <cfRule type="expression" dxfId="60" priority="14">
      <formula>$B$43=""</formula>
    </cfRule>
  </conditionalFormatting>
  <conditionalFormatting sqref="B49:E53">
    <cfRule type="expression" dxfId="59" priority="13">
      <formula>$B$49=""</formula>
    </cfRule>
  </conditionalFormatting>
  <conditionalFormatting sqref="B55:E59">
    <cfRule type="expression" dxfId="58" priority="12">
      <formula>$B$55=""</formula>
    </cfRule>
  </conditionalFormatting>
  <conditionalFormatting sqref="B61:E65">
    <cfRule type="expression" dxfId="57" priority="11">
      <formula>$B$61=""</formula>
    </cfRule>
  </conditionalFormatting>
  <conditionalFormatting sqref="B67:E71">
    <cfRule type="expression" dxfId="56" priority="10">
      <formula>$B$67=""</formula>
    </cfRule>
  </conditionalFormatting>
  <conditionalFormatting sqref="B73:E77">
    <cfRule type="expression" dxfId="55" priority="9">
      <formula>$B$73=""</formula>
    </cfRule>
  </conditionalFormatting>
  <conditionalFormatting sqref="B79:E83">
    <cfRule type="expression" dxfId="54" priority="5">
      <formula>$B$79=""</formula>
    </cfRule>
  </conditionalFormatting>
  <conditionalFormatting sqref="B85:E89">
    <cfRule type="expression" dxfId="53" priority="1">
      <formula>$B$85=""</formula>
    </cfRule>
  </conditionalFormatting>
  <conditionalFormatting sqref="B91:E95 B97:E101 B103:E107 B109:E113 B115:E119 B121:E125 B127:E131 B133:E137 B139:E143 B145:E149 B151:E155">
    <cfRule type="expression" dxfId="52" priority="15">
      <formula>$B$91=""</formula>
    </cfRule>
  </conditionalFormatting>
  <conditionalFormatting sqref="C7 C13 C19 C25 C31 C37 C43 C49 C55 C61 C67 C73 C79 C85 C91 C97 C103 C109 C115 C121 C127 C133 C139 C145 C151">
    <cfRule type="expression" dxfId="51" priority="21">
      <formula>($C$7-$B$8)&gt;0</formula>
    </cfRule>
    <cfRule type="expression" dxfId="50" priority="22">
      <formula>($C$7-$B$8)&lt;0</formula>
    </cfRule>
  </conditionalFormatting>
  <conditionalFormatting sqref="C13 C19">
    <cfRule type="expression" dxfId="49" priority="23">
      <formula>($C$13-$B$14)&gt;0</formula>
    </cfRule>
    <cfRule type="expression" dxfId="48" priority="24">
      <formula>($C$13-$B$14)&lt;0</formula>
    </cfRule>
  </conditionalFormatting>
  <conditionalFormatting sqref="C19">
    <cfRule type="expression" dxfId="47" priority="25">
      <formula>($C$19-$B$20)&gt;0</formula>
    </cfRule>
    <cfRule type="expression" dxfId="46" priority="26">
      <formula>($C$19-$B$20)&lt;0</formula>
    </cfRule>
  </conditionalFormatting>
  <conditionalFormatting sqref="C25">
    <cfRule type="expression" dxfId="45" priority="27">
      <formula>($C$25-$B$26)&gt;0</formula>
    </cfRule>
    <cfRule type="expression" dxfId="44" priority="28">
      <formula>($C$25-$B$26)&lt;0</formula>
    </cfRule>
  </conditionalFormatting>
  <conditionalFormatting sqref="C31">
    <cfRule type="expression" dxfId="43" priority="29">
      <formula>($C$31-$B$32)&gt;0</formula>
    </cfRule>
    <cfRule type="expression" dxfId="42" priority="30">
      <formula>($C$31-$B$32)&lt;0</formula>
    </cfRule>
  </conditionalFormatting>
  <conditionalFormatting sqref="C37 C91 C97 C103 C109 C115 C121 C127 C133 C139 C145 C151">
    <cfRule type="expression" dxfId="41" priority="31">
      <formula>($C$37-$B$38)&gt;0</formula>
    </cfRule>
    <cfRule type="expression" dxfId="40" priority="32">
      <formula>($C$37-$B$38)&lt;0</formula>
    </cfRule>
  </conditionalFormatting>
  <conditionalFormatting sqref="C43">
    <cfRule type="expression" dxfId="39" priority="35">
      <formula>($C$43-$B$44)&gt;0</formula>
    </cfRule>
    <cfRule type="expression" dxfId="38" priority="36">
      <formula>($C$43-$B$44)&lt;0</formula>
    </cfRule>
  </conditionalFormatting>
  <conditionalFormatting sqref="C49">
    <cfRule type="expression" dxfId="37" priority="37">
      <formula>($C$49-$B$50)&gt;0</formula>
    </cfRule>
    <cfRule type="expression" dxfId="36" priority="38">
      <formula>($C$49-$B$50)&lt;0</formula>
    </cfRule>
  </conditionalFormatting>
  <conditionalFormatting sqref="C55">
    <cfRule type="expression" dxfId="35" priority="39">
      <formula>($C$55-$B$56)&gt;0</formula>
    </cfRule>
    <cfRule type="expression" dxfId="34" priority="40">
      <formula>($C$55-$B$56)&lt;0</formula>
    </cfRule>
  </conditionalFormatting>
  <conditionalFormatting sqref="C61">
    <cfRule type="expression" dxfId="33" priority="41">
      <formula>($C$61-$B$62)&gt;0</formula>
    </cfRule>
    <cfRule type="expression" dxfId="32" priority="42">
      <formula>($C$61-$B$62)&lt;0</formula>
    </cfRule>
  </conditionalFormatting>
  <conditionalFormatting sqref="C67">
    <cfRule type="expression" dxfId="31" priority="43">
      <formula>($C$67-$B$68)&gt;0</formula>
    </cfRule>
    <cfRule type="expression" dxfId="30" priority="44">
      <formula>($C$67-$B$68)&lt;0</formula>
    </cfRule>
  </conditionalFormatting>
  <conditionalFormatting sqref="C73">
    <cfRule type="expression" dxfId="29" priority="45">
      <formula>($C$73-$B$74)&gt;0</formula>
    </cfRule>
    <cfRule type="expression" dxfId="28" priority="46">
      <formula>($C$73-$B$74)&lt;0</formula>
    </cfRule>
  </conditionalFormatting>
  <conditionalFormatting sqref="C79">
    <cfRule type="expression" dxfId="27" priority="47">
      <formula>($C$79-$B$80)&gt;0</formula>
    </cfRule>
    <cfRule type="expression" dxfId="26" priority="48">
      <formula>($C$79-$B$80)&lt;0</formula>
    </cfRule>
  </conditionalFormatting>
  <conditionalFormatting sqref="C85">
    <cfRule type="expression" dxfId="25" priority="49">
      <formula>($C$85-$B$86)&gt;0</formula>
    </cfRule>
    <cfRule type="expression" dxfId="24" priority="50">
      <formula>($C$85-$B$86)&lt;0</formula>
    </cfRule>
  </conditionalFormatting>
  <conditionalFormatting sqref="C91 C97 C103 C109 C115 C121 C127 C133 C139 C145 C151">
    <cfRule type="expression" dxfId="23" priority="33">
      <formula>($C$91-$B$92)&gt;0</formula>
    </cfRule>
    <cfRule type="expression" dxfId="22" priority="34">
      <formula>($C$91-$B$92)&lt;0</formula>
    </cfRule>
  </conditionalFormatting>
  <conditionalFormatting sqref="E2:E4">
    <cfRule type="cellIs" dxfId="21" priority="8" operator="lessThan">
      <formula>0</formula>
    </cfRule>
    <cfRule type="cellIs" dxfId="20" priority="7" operator="greaterThan">
      <formula>0</formula>
    </cfRule>
  </conditionalFormatting>
  <conditionalFormatting sqref="E79 E82:E83">
    <cfRule type="cellIs" dxfId="19" priority="6" operator="lessThan">
      <formula>0</formula>
    </cfRule>
  </conditionalFormatting>
  <conditionalFormatting sqref="E85 E89 E7 E13 E19 E25 E31 E37 E43 E49 E55 E61 E67 E73 E79 E91 E97 E103 E109 E115 E121 E127 E133 E139 E145 E151">
    <cfRule type="cellIs" dxfId="18" priority="4" operator="greaterThan">
      <formula>0</formula>
    </cfRule>
  </conditionalFormatting>
  <conditionalFormatting sqref="E85:E88 E7:E17 E19:E23 E25:E29 E31:E35 E37:E41 E43:E47 E49:E53 E55:E59 E61:E65 E67:E71 E73:E77 E80:E81 E91:E95 E97:E101 E103:E107 E109:E113 E115:E119 E121:E125 E127:E131 E133:E137 E139:E143 E145:E149 E151:E155">
    <cfRule type="cellIs" dxfId="17" priority="3" operator="lessThan">
      <formula>0</formula>
    </cfRule>
  </conditionalFormatting>
  <conditionalFormatting sqref="E86:E88 E8:E10 E14:E16 E20:E22 E26:E28 E32:E34 E38:E40 E44:E46 E50:E52 E56:E58 E62:E64 E68:E70 E74:E76 E80:E82 E92:E94 E98:E100 E104:E106 E110:E112 E116:E118 E122:E124 E128:E130 E134:E136 E140:E142 E146:E148 E152:E154">
    <cfRule type="cellIs" dxfId="16" priority="2" operator="greaterThan">
      <formula>0</formula>
    </cfRule>
  </conditionalFormatting>
  <hyperlinks>
    <hyperlink ref="B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W30"/>
  <sheetViews>
    <sheetView workbookViewId="0">
      <selection activeCell="Q5" sqref="Q1:Q1048576"/>
    </sheetView>
  </sheetViews>
  <sheetFormatPr defaultColWidth="12.5703125" defaultRowHeight="15.75" customHeight="1"/>
  <cols>
    <col min="1" max="1" width="15.42578125" customWidth="1"/>
    <col min="2" max="2" width="6.5703125" customWidth="1"/>
    <col min="3" max="3" width="15.42578125" customWidth="1"/>
    <col min="4" max="4" width="8" customWidth="1"/>
    <col min="5" max="5" width="11" customWidth="1"/>
    <col min="6" max="6" width="14.140625" customWidth="1"/>
    <col min="7" max="8" width="12.140625" customWidth="1"/>
    <col min="9" max="9" width="11.7109375" customWidth="1"/>
    <col min="10" max="10" width="12" customWidth="1"/>
    <col min="11" max="11" width="15.5703125" customWidth="1"/>
    <col min="12" max="12" width="10.5703125" customWidth="1"/>
    <col min="13" max="14" width="15.7109375" customWidth="1"/>
    <col min="15" max="15" width="6.85546875" customWidth="1"/>
    <col min="16" max="16" width="3.140625" customWidth="1"/>
    <col min="17" max="17" width="13.42578125" customWidth="1"/>
    <col min="18" max="18" width="13.140625" customWidth="1"/>
    <col min="19" max="19" width="8.28515625" customWidth="1"/>
    <col min="20" max="20" width="11.5703125" customWidth="1"/>
    <col min="21" max="21" width="9.5703125" customWidth="1"/>
    <col min="22" max="22" width="12.140625" customWidth="1"/>
    <col min="23" max="23" width="1.5703125" customWidth="1"/>
  </cols>
  <sheetData>
    <row r="1" spans="1:23" ht="36.75" customHeight="1">
      <c r="A1" s="230"/>
      <c r="B1" s="231"/>
      <c r="C1" s="231"/>
      <c r="D1" s="231"/>
      <c r="E1" s="231"/>
      <c r="F1" s="231"/>
      <c r="G1" s="231"/>
      <c r="H1" s="231"/>
      <c r="I1" s="231"/>
      <c r="J1" s="231"/>
      <c r="K1" s="231"/>
      <c r="L1" s="231"/>
      <c r="M1" s="231"/>
      <c r="N1" s="231"/>
      <c r="O1" s="231"/>
      <c r="P1" s="231"/>
      <c r="Q1" s="231"/>
      <c r="R1" s="231"/>
      <c r="S1" s="231"/>
      <c r="T1" s="231"/>
      <c r="U1" s="232"/>
      <c r="V1" s="25">
        <f>SUM(T6:T30)+SUM('Transaction History'!$T$1:'Transaction History'!T1038)</f>
        <v>798.18350000000055</v>
      </c>
      <c r="W1" s="238"/>
    </row>
    <row r="2" spans="1:23" ht="36.75" customHeight="1">
      <c r="A2" s="233"/>
      <c r="B2" s="217"/>
      <c r="C2" s="217"/>
      <c r="D2" s="217"/>
      <c r="E2" s="217"/>
      <c r="F2" s="217"/>
      <c r="G2" s="217"/>
      <c r="H2" s="217"/>
      <c r="I2" s="217"/>
      <c r="J2" s="217"/>
      <c r="K2" s="217"/>
      <c r="L2" s="217"/>
      <c r="M2" s="217"/>
      <c r="N2" s="217"/>
      <c r="O2" s="217"/>
      <c r="P2" s="217"/>
      <c r="Q2" s="217"/>
      <c r="R2" s="217"/>
      <c r="S2" s="217"/>
      <c r="T2" s="217"/>
      <c r="U2" s="234"/>
      <c r="V2" s="26">
        <f>I5</f>
        <v>0</v>
      </c>
      <c r="W2" s="228"/>
    </row>
    <row r="3" spans="1:23" ht="36.75" customHeight="1">
      <c r="A3" s="233"/>
      <c r="B3" s="217"/>
      <c r="C3" s="217"/>
      <c r="D3" s="217"/>
      <c r="E3" s="217"/>
      <c r="F3" s="217"/>
      <c r="G3" s="217"/>
      <c r="H3" s="217"/>
      <c r="I3" s="217"/>
      <c r="J3" s="217"/>
      <c r="K3" s="217"/>
      <c r="L3" s="217"/>
      <c r="M3" s="217"/>
      <c r="N3" s="217"/>
      <c r="O3" s="217"/>
      <c r="P3" s="217"/>
      <c r="Q3" s="217"/>
      <c r="R3" s="217"/>
      <c r="S3" s="217"/>
      <c r="T3" s="217"/>
      <c r="U3" s="234"/>
      <c r="V3" s="27">
        <f>SUMIF(I6:I30,"&gt;0")</f>
        <v>0</v>
      </c>
      <c r="W3" s="228"/>
    </row>
    <row r="4" spans="1:23" ht="36.75" customHeight="1">
      <c r="A4" s="235"/>
      <c r="B4" s="236"/>
      <c r="C4" s="236"/>
      <c r="D4" s="236"/>
      <c r="E4" s="236"/>
      <c r="F4" s="236"/>
      <c r="G4" s="236"/>
      <c r="H4" s="236"/>
      <c r="I4" s="236"/>
      <c r="J4" s="236"/>
      <c r="K4" s="236"/>
      <c r="L4" s="236"/>
      <c r="M4" s="236"/>
      <c r="N4" s="236"/>
      <c r="O4" s="236"/>
      <c r="P4" s="236"/>
      <c r="Q4" s="236"/>
      <c r="R4" s="236"/>
      <c r="S4" s="236"/>
      <c r="T4" s="236"/>
      <c r="U4" s="237"/>
      <c r="V4" s="26"/>
      <c r="W4" s="228"/>
    </row>
    <row r="5" spans="1:23" ht="25.5" customHeight="1">
      <c r="A5" s="28" t="s">
        <v>12</v>
      </c>
      <c r="B5" s="29" t="s">
        <v>13</v>
      </c>
      <c r="C5" s="30" t="s">
        <v>14</v>
      </c>
      <c r="D5" s="31" t="s">
        <v>15</v>
      </c>
      <c r="E5" s="32" t="s">
        <v>16</v>
      </c>
      <c r="F5" s="33">
        <f>SUM(F6:F30)</f>
        <v>10199.875000000002</v>
      </c>
      <c r="G5" s="34" t="s">
        <v>16</v>
      </c>
      <c r="H5" s="34" t="s">
        <v>17</v>
      </c>
      <c r="I5" s="35">
        <f>SUM(I6:I30)</f>
        <v>0</v>
      </c>
      <c r="J5" s="36">
        <f>F5+I5</f>
        <v>10199.875000000002</v>
      </c>
      <c r="K5" s="30" t="s">
        <v>18</v>
      </c>
      <c r="L5" s="37" t="s">
        <v>19</v>
      </c>
      <c r="M5" s="38" t="s">
        <v>20</v>
      </c>
      <c r="N5" s="39" t="s">
        <v>21</v>
      </c>
      <c r="O5" s="40" t="str">
        <f t="shared" ref="O5:O30" si="0">B5</f>
        <v>code</v>
      </c>
      <c r="P5" s="41"/>
      <c r="Q5" s="42" t="s">
        <v>14</v>
      </c>
      <c r="R5" s="43" t="s">
        <v>6</v>
      </c>
      <c r="S5" s="37" t="s">
        <v>22</v>
      </c>
      <c r="T5" s="44" t="s">
        <v>23</v>
      </c>
      <c r="U5" s="45" t="s">
        <v>24</v>
      </c>
      <c r="V5" s="46" t="s">
        <v>25</v>
      </c>
      <c r="W5" s="228"/>
    </row>
    <row r="6" spans="1:23" ht="45" customHeight="1">
      <c r="A6" s="47">
        <v>44503</v>
      </c>
      <c r="B6" s="48" t="s">
        <v>26</v>
      </c>
      <c r="C6" s="49">
        <v>8.3800000000000008</v>
      </c>
      <c r="D6" s="50">
        <v>78</v>
      </c>
      <c r="E6" s="51">
        <f t="shared" ref="E6:E7" si="1">IF(C6="","",5)</f>
        <v>5</v>
      </c>
      <c r="F6" s="52">
        <f t="shared" ref="F6:F30" si="2">IF(C6="","",(C6*D6+E6))</f>
        <v>658.6400000000001</v>
      </c>
      <c r="G6" s="53">
        <f t="shared" ref="G6:G30" si="3">IF(Q6="","",IF(E6="","",5))</f>
        <v>5</v>
      </c>
      <c r="H6" s="53">
        <f t="shared" ref="H6:H30" si="4">IF(Q6="","",IF(S6&gt;D6,"Invalid sale",IF(S6="",(Q6*L6-G6),(Q6*S6-G6))))</f>
        <v>-5</v>
      </c>
      <c r="I6" s="54" t="str">
        <f t="shared" ref="I6:I30" si="5">IF(J6="","",((R6*D6)-F6-5))</f>
        <v/>
      </c>
      <c r="J6" s="55" t="str">
        <f t="shared" ref="J6:J30" si="6">IF(B6="","",IF(Q6="",((R6*D6)),""))</f>
        <v/>
      </c>
      <c r="K6" s="56">
        <v>8.5128205129999994</v>
      </c>
      <c r="L6" s="57" t="s">
        <v>64</v>
      </c>
      <c r="M6" s="58">
        <f ca="1">IFERROR(__xludf.DUMMYFUNCTION("(IFERROR(GOOGLEFINANCE(""ASX:""&amp;B6,""closeyest""),""""))"),0.73)</f>
        <v>0.73</v>
      </c>
      <c r="N6" s="59">
        <f t="shared" ref="N6:N30" ca="1" si="7">IF(Q6="","",(TODAY()))</f>
        <v>45185</v>
      </c>
      <c r="O6" s="60" t="str">
        <f t="shared" si="0"/>
        <v>PBH</v>
      </c>
      <c r="P6" s="61">
        <f t="shared" ref="P6:P30" ca="1" si="8">IF(Q6="","",IF(G6=0,"D",(R6-Q6)))</f>
        <v>0.77</v>
      </c>
      <c r="Q6" s="62">
        <f>Selling!$B$10</f>
        <v>0</v>
      </c>
      <c r="R6" s="63">
        <f ca="1">IFERROR(__xludf.DUMMYFUNCTION("(IFERROR(GOOGLEFINANCE(""ASX:""&amp;B6,""price""),""""))"),0.77)</f>
        <v>0.77</v>
      </c>
      <c r="S6" s="64">
        <f>Selling!$D$10</f>
        <v>0</v>
      </c>
      <c r="T6" s="65">
        <f t="shared" ref="T6:T30" si="9">IF(Q6="","",IF(B6="","",IF(S6="","",IF(F6&gt;H6,((Q6-C6)*S6-G6),(H6-F6)))))</f>
        <v>-5</v>
      </c>
      <c r="U6" s="66">
        <f t="shared" ref="U6:U30" ca="1" si="10">IF(R6="","",(R6-M6))</f>
        <v>4.0000000000000036E-2</v>
      </c>
      <c r="V6" s="67">
        <f t="shared" ref="V6:V30" si="11">IF(S6="","",(D6-S6))</f>
        <v>78</v>
      </c>
      <c r="W6" s="228"/>
    </row>
    <row r="7" spans="1:23" ht="45" customHeight="1">
      <c r="A7" s="68">
        <v>44403</v>
      </c>
      <c r="B7" s="69" t="s">
        <v>26</v>
      </c>
      <c r="C7" s="70">
        <v>12.01</v>
      </c>
      <c r="D7" s="71">
        <v>74</v>
      </c>
      <c r="E7" s="51">
        <f t="shared" si="1"/>
        <v>5</v>
      </c>
      <c r="F7" s="52">
        <f t="shared" si="2"/>
        <v>893.74</v>
      </c>
      <c r="G7" s="53">
        <f t="shared" si="3"/>
        <v>5</v>
      </c>
      <c r="H7" s="53">
        <f t="shared" si="4"/>
        <v>-5</v>
      </c>
      <c r="I7" s="54" t="str">
        <f t="shared" si="5"/>
        <v/>
      </c>
      <c r="J7" s="55" t="str">
        <f t="shared" si="6"/>
        <v/>
      </c>
      <c r="K7" s="56">
        <v>12.14864865</v>
      </c>
      <c r="L7" s="57" t="s">
        <v>64</v>
      </c>
      <c r="M7" s="58">
        <f ca="1">IFERROR(__xludf.DUMMYFUNCTION("(IFERROR(GOOGLEFINANCE(""ASX:""&amp;B7,""closeyest""),""""))"),0.73)</f>
        <v>0.73</v>
      </c>
      <c r="N7" s="59">
        <f t="shared" ca="1" si="7"/>
        <v>45185</v>
      </c>
      <c r="O7" s="60" t="str">
        <f t="shared" si="0"/>
        <v>PBH</v>
      </c>
      <c r="P7" s="61">
        <f t="shared" ca="1" si="8"/>
        <v>0.77</v>
      </c>
      <c r="Q7" s="62">
        <f>Selling!$B$16</f>
        <v>0</v>
      </c>
      <c r="R7" s="63">
        <f ca="1">IFERROR(__xludf.DUMMYFUNCTION("(IFERROR(GOOGLEFINANCE(""ASX:""&amp;B7,""price""),""""))"),0.77)</f>
        <v>0.77</v>
      </c>
      <c r="S7" s="64">
        <f>Selling!$D$16</f>
        <v>0</v>
      </c>
      <c r="T7" s="65">
        <f t="shared" si="9"/>
        <v>-5</v>
      </c>
      <c r="U7" s="66">
        <f t="shared" ca="1" si="10"/>
        <v>4.0000000000000036E-2</v>
      </c>
      <c r="V7" s="67">
        <f t="shared" si="11"/>
        <v>74</v>
      </c>
      <c r="W7" s="228"/>
    </row>
    <row r="8" spans="1:23" ht="45" customHeight="1">
      <c r="A8" s="72">
        <v>44295</v>
      </c>
      <c r="B8" s="73" t="s">
        <v>27</v>
      </c>
      <c r="C8" s="74">
        <v>2.63</v>
      </c>
      <c r="D8" s="75">
        <v>685</v>
      </c>
      <c r="E8" s="76">
        <v>20</v>
      </c>
      <c r="F8" s="52">
        <f t="shared" si="2"/>
        <v>1821.55</v>
      </c>
      <c r="G8" s="53">
        <f t="shared" si="3"/>
        <v>5</v>
      </c>
      <c r="H8" s="53">
        <f t="shared" si="4"/>
        <v>-5</v>
      </c>
      <c r="I8" s="54" t="str">
        <f t="shared" si="5"/>
        <v/>
      </c>
      <c r="J8" s="55" t="str">
        <f t="shared" si="6"/>
        <v/>
      </c>
      <c r="K8" s="56">
        <v>2.6671532849999999</v>
      </c>
      <c r="L8" s="57" t="s">
        <v>64</v>
      </c>
      <c r="M8" s="58">
        <f ca="1">IFERROR(__xludf.DUMMYFUNCTION("(IFERROR(GOOGLEFINANCE(""ASX:""&amp;B8,""closeyest""),""""))"),0.31)</f>
        <v>0.31</v>
      </c>
      <c r="N8" s="59">
        <f t="shared" ca="1" si="7"/>
        <v>45185</v>
      </c>
      <c r="O8" s="60" t="str">
        <f t="shared" si="0"/>
        <v>E25</v>
      </c>
      <c r="P8" s="61">
        <f t="shared" ca="1" si="8"/>
        <v>0.46</v>
      </c>
      <c r="Q8" s="62">
        <f>Selling!$B$22</f>
        <v>0</v>
      </c>
      <c r="R8" s="63">
        <f ca="1">IFERROR(__xludf.DUMMYFUNCTION("(IFERROR(GOOGLEFINANCE(""ASX:""&amp;B8,""price""),""""))"),0.46)</f>
        <v>0.46</v>
      </c>
      <c r="S8" s="64">
        <f>Selling!$D$22</f>
        <v>0</v>
      </c>
      <c r="T8" s="65">
        <f t="shared" si="9"/>
        <v>-5</v>
      </c>
      <c r="U8" s="66">
        <f t="shared" ca="1" si="10"/>
        <v>0.15000000000000002</v>
      </c>
      <c r="V8" s="67">
        <f t="shared" si="11"/>
        <v>685</v>
      </c>
      <c r="W8" s="228"/>
    </row>
    <row r="9" spans="1:23" ht="45" customHeight="1">
      <c r="A9" s="77">
        <v>44473</v>
      </c>
      <c r="B9" s="78" t="s">
        <v>27</v>
      </c>
      <c r="C9" s="79">
        <v>1.88</v>
      </c>
      <c r="D9" s="75">
        <v>81</v>
      </c>
      <c r="E9" s="51">
        <f t="shared" ref="E9:E11" si="12">IF(C9="","",5)</f>
        <v>5</v>
      </c>
      <c r="F9" s="52">
        <f t="shared" si="2"/>
        <v>157.28</v>
      </c>
      <c r="G9" s="53">
        <f t="shared" si="3"/>
        <v>5</v>
      </c>
      <c r="H9" s="53">
        <f t="shared" si="4"/>
        <v>-5</v>
      </c>
      <c r="I9" s="54" t="str">
        <f t="shared" si="5"/>
        <v/>
      </c>
      <c r="J9" s="55" t="str">
        <f t="shared" si="6"/>
        <v/>
      </c>
      <c r="K9" s="56">
        <v>2.0123456790000001</v>
      </c>
      <c r="L9" s="57" t="s">
        <v>64</v>
      </c>
      <c r="M9" s="58">
        <f ca="1">IFERROR(__xludf.DUMMYFUNCTION("(IFERROR(GOOGLEFINANCE(""ASX:""&amp;B9,""closeyest""),""""))"),0.31)</f>
        <v>0.31</v>
      </c>
      <c r="N9" s="59">
        <f t="shared" ca="1" si="7"/>
        <v>45185</v>
      </c>
      <c r="O9" s="60" t="str">
        <f t="shared" si="0"/>
        <v>E25</v>
      </c>
      <c r="P9" s="61">
        <f t="shared" ca="1" si="8"/>
        <v>0.46</v>
      </c>
      <c r="Q9" s="62">
        <f>Selling!$B$28</f>
        <v>0</v>
      </c>
      <c r="R9" s="63">
        <f ca="1">IFERROR(__xludf.DUMMYFUNCTION("(IFERROR(GOOGLEFINANCE(""ASX:""&amp;B9,""price""),""""))"),0.46)</f>
        <v>0.46</v>
      </c>
      <c r="S9" s="64">
        <f>Selling!$D$28</f>
        <v>0</v>
      </c>
      <c r="T9" s="65">
        <f t="shared" si="9"/>
        <v>-5</v>
      </c>
      <c r="U9" s="66">
        <f t="shared" ca="1" si="10"/>
        <v>0.15000000000000002</v>
      </c>
      <c r="V9" s="67">
        <f t="shared" si="11"/>
        <v>81</v>
      </c>
      <c r="W9" s="228"/>
    </row>
    <row r="10" spans="1:23" ht="45" customHeight="1">
      <c r="A10" s="72">
        <v>44357</v>
      </c>
      <c r="B10" s="73" t="s">
        <v>28</v>
      </c>
      <c r="C10" s="74">
        <v>13.1</v>
      </c>
      <c r="D10" s="75">
        <v>97</v>
      </c>
      <c r="E10" s="51">
        <f t="shared" si="12"/>
        <v>5</v>
      </c>
      <c r="F10" s="52">
        <f t="shared" si="2"/>
        <v>1275.7</v>
      </c>
      <c r="G10" s="53">
        <f t="shared" si="3"/>
        <v>5</v>
      </c>
      <c r="H10" s="53">
        <f t="shared" si="4"/>
        <v>-5</v>
      </c>
      <c r="I10" s="54" t="str">
        <f t="shared" si="5"/>
        <v/>
      </c>
      <c r="J10" s="55" t="str">
        <f t="shared" si="6"/>
        <v/>
      </c>
      <c r="K10" s="56">
        <v>13.206185570000001</v>
      </c>
      <c r="L10" s="57" t="s">
        <v>64</v>
      </c>
      <c r="M10" s="58">
        <f ca="1">IFERROR(__xludf.DUMMYFUNCTION("(IFERROR(GOOGLEFINANCE(""ASX:""&amp;B10,""closeyest""),""""))"),1.35)</f>
        <v>1.35</v>
      </c>
      <c r="N10" s="59">
        <f t="shared" ca="1" si="7"/>
        <v>45185</v>
      </c>
      <c r="O10" s="60" t="str">
        <f t="shared" si="0"/>
        <v>APX</v>
      </c>
      <c r="P10" s="61">
        <f t="shared" ca="1" si="8"/>
        <v>1.41</v>
      </c>
      <c r="Q10" s="62">
        <f>Selling!$B$34</f>
        <v>0</v>
      </c>
      <c r="R10" s="63">
        <f ca="1">IFERROR(__xludf.DUMMYFUNCTION("(IFERROR(GOOGLEFINANCE(""ASX:""&amp;B10,""price""),""""))"),1.41)</f>
        <v>1.41</v>
      </c>
      <c r="S10" s="64">
        <f>Selling!$D$34</f>
        <v>0</v>
      </c>
      <c r="T10" s="65">
        <f t="shared" si="9"/>
        <v>-5</v>
      </c>
      <c r="U10" s="66">
        <f t="shared" ca="1" si="10"/>
        <v>5.9999999999999831E-2</v>
      </c>
      <c r="V10" s="67">
        <f t="shared" si="11"/>
        <v>97</v>
      </c>
      <c r="W10" s="228"/>
    </row>
    <row r="11" spans="1:23" ht="45" customHeight="1">
      <c r="A11" s="80">
        <v>44293</v>
      </c>
      <c r="B11" s="81" t="s">
        <v>29</v>
      </c>
      <c r="C11" s="82">
        <v>1.42</v>
      </c>
      <c r="D11" s="83">
        <v>704</v>
      </c>
      <c r="E11" s="84">
        <f t="shared" si="12"/>
        <v>5</v>
      </c>
      <c r="F11" s="52">
        <f t="shared" si="2"/>
        <v>1004.68</v>
      </c>
      <c r="G11" s="53">
        <f t="shared" si="3"/>
        <v>5</v>
      </c>
      <c r="H11" s="53">
        <f t="shared" si="4"/>
        <v>-5</v>
      </c>
      <c r="I11" s="54" t="str">
        <f t="shared" si="5"/>
        <v/>
      </c>
      <c r="J11" s="55" t="str">
        <f t="shared" si="6"/>
        <v/>
      </c>
      <c r="K11" s="56">
        <v>1.4346590910000001</v>
      </c>
      <c r="L11" s="57" t="s">
        <v>64</v>
      </c>
      <c r="M11" s="58">
        <f ca="1">IFERROR(__xludf.DUMMYFUNCTION("(IFERROR(GOOGLEFINANCE(""ASX:""&amp;B11,""closeyest""),""""))"),0.2)</f>
        <v>0.2</v>
      </c>
      <c r="N11" s="59">
        <f t="shared" ca="1" si="7"/>
        <v>45185</v>
      </c>
      <c r="O11" s="60" t="str">
        <f t="shared" si="0"/>
        <v>ART</v>
      </c>
      <c r="P11" s="61">
        <f t="shared" ca="1" si="8"/>
        <v>0.2</v>
      </c>
      <c r="Q11" s="62">
        <f>Selling!$B$40</f>
        <v>0</v>
      </c>
      <c r="R11" s="63">
        <f ca="1">IFERROR(__xludf.DUMMYFUNCTION("(IFERROR(GOOGLEFINANCE(""ASX:""&amp;B11,""price""),""""))"),0.2)</f>
        <v>0.2</v>
      </c>
      <c r="S11" s="64">
        <f>Selling!$D$40</f>
        <v>0</v>
      </c>
      <c r="T11" s="65">
        <f t="shared" si="9"/>
        <v>-5</v>
      </c>
      <c r="U11" s="66">
        <f t="shared" ca="1" si="10"/>
        <v>0</v>
      </c>
      <c r="V11" s="67">
        <f t="shared" si="11"/>
        <v>704</v>
      </c>
      <c r="W11" s="228"/>
    </row>
    <row r="12" spans="1:23" ht="45" customHeight="1">
      <c r="A12" s="72">
        <v>44295</v>
      </c>
      <c r="B12" s="73" t="s">
        <v>30</v>
      </c>
      <c r="C12" s="74">
        <v>1.6850000000000001</v>
      </c>
      <c r="D12" s="75">
        <v>534</v>
      </c>
      <c r="E12" s="76">
        <v>10</v>
      </c>
      <c r="F12" s="52">
        <f t="shared" si="2"/>
        <v>909.79000000000008</v>
      </c>
      <c r="G12" s="53">
        <f t="shared" si="3"/>
        <v>5</v>
      </c>
      <c r="H12" s="53">
        <f t="shared" si="4"/>
        <v>-5</v>
      </c>
      <c r="I12" s="54" t="str">
        <f t="shared" si="5"/>
        <v/>
      </c>
      <c r="J12" s="55" t="str">
        <f t="shared" si="6"/>
        <v/>
      </c>
      <c r="K12" s="56">
        <v>1.713483146</v>
      </c>
      <c r="L12" s="57" t="s">
        <v>64</v>
      </c>
      <c r="M12" s="58">
        <f ca="1">IFERROR(__xludf.DUMMYFUNCTION("(IFERROR(GOOGLEFINANCE(""ASX:""&amp;B12,""closeyest""),""""))"),0.69)</f>
        <v>0.69</v>
      </c>
      <c r="N12" s="59">
        <f t="shared" ca="1" si="7"/>
        <v>45185</v>
      </c>
      <c r="O12" s="60" t="str">
        <f t="shared" si="0"/>
        <v>AIZ</v>
      </c>
      <c r="P12" s="61">
        <f t="shared" ca="1" si="8"/>
        <v>0.68</v>
      </c>
      <c r="Q12" s="62">
        <f>Selling!$B$46</f>
        <v>0</v>
      </c>
      <c r="R12" s="63">
        <f ca="1">IFERROR(__xludf.DUMMYFUNCTION("(IFERROR(GOOGLEFINANCE(""ASX:""&amp;B12,""price""),""""))"),0.68)</f>
        <v>0.68</v>
      </c>
      <c r="S12" s="64">
        <f>Selling!$D$46</f>
        <v>0</v>
      </c>
      <c r="T12" s="65">
        <f t="shared" si="9"/>
        <v>-5</v>
      </c>
      <c r="U12" s="66">
        <f t="shared" ca="1" si="10"/>
        <v>-9.9999999999998979E-3</v>
      </c>
      <c r="V12" s="67">
        <f t="shared" si="11"/>
        <v>534</v>
      </c>
      <c r="W12" s="228"/>
    </row>
    <row r="13" spans="1:23" ht="45" customHeight="1">
      <c r="A13" s="80">
        <v>44672</v>
      </c>
      <c r="B13" s="85" t="s">
        <v>31</v>
      </c>
      <c r="C13" s="86">
        <v>6.56</v>
      </c>
      <c r="D13" s="87">
        <v>105</v>
      </c>
      <c r="E13" s="84">
        <f t="shared" ref="E13:E30" si="13">IF(C13="","",5)</f>
        <v>5</v>
      </c>
      <c r="F13" s="52">
        <f t="shared" si="2"/>
        <v>693.8</v>
      </c>
      <c r="G13" s="53">
        <f t="shared" si="3"/>
        <v>5</v>
      </c>
      <c r="H13" s="53">
        <f t="shared" si="4"/>
        <v>-5</v>
      </c>
      <c r="I13" s="54" t="str">
        <f t="shared" si="5"/>
        <v/>
      </c>
      <c r="J13" s="55" t="str">
        <f t="shared" si="6"/>
        <v/>
      </c>
      <c r="K13" s="56">
        <v>6.6571428570000002</v>
      </c>
      <c r="L13" s="57" t="s">
        <v>64</v>
      </c>
      <c r="M13" s="58">
        <f ca="1">IFERROR(__xludf.DUMMYFUNCTION("(IFERROR(GOOGLEFINANCE(""ASX:""&amp;B13,""closeyest""),""""))"),4.37)</f>
        <v>4.37</v>
      </c>
      <c r="N13" s="59">
        <f t="shared" ca="1" si="7"/>
        <v>45185</v>
      </c>
      <c r="O13" s="60" t="str">
        <f t="shared" si="0"/>
        <v>AEF</v>
      </c>
      <c r="P13" s="61">
        <f t="shared" ca="1" si="8"/>
        <v>4.76</v>
      </c>
      <c r="Q13" s="62">
        <f>Selling!$B$52</f>
        <v>0</v>
      </c>
      <c r="R13" s="63">
        <f ca="1">IFERROR(__xludf.DUMMYFUNCTION("(IFERROR(GOOGLEFINANCE(""ASX:""&amp;B13,""price""),""""))"),4.76)</f>
        <v>4.76</v>
      </c>
      <c r="S13" s="64">
        <f>Selling!$D$52</f>
        <v>0</v>
      </c>
      <c r="T13" s="65">
        <f t="shared" si="9"/>
        <v>-5</v>
      </c>
      <c r="U13" s="66">
        <f t="shared" ca="1" si="10"/>
        <v>0.38999999999999968</v>
      </c>
      <c r="V13" s="67">
        <f t="shared" si="11"/>
        <v>105</v>
      </c>
      <c r="W13" s="228"/>
    </row>
    <row r="14" spans="1:23" ht="45" customHeight="1">
      <c r="A14" s="80">
        <v>44490</v>
      </c>
      <c r="B14" s="88" t="s">
        <v>32</v>
      </c>
      <c r="C14" s="82">
        <v>5.48</v>
      </c>
      <c r="D14" s="83">
        <v>101</v>
      </c>
      <c r="E14" s="84">
        <f t="shared" si="13"/>
        <v>5</v>
      </c>
      <c r="F14" s="52">
        <f t="shared" si="2"/>
        <v>558.48</v>
      </c>
      <c r="G14" s="53">
        <f t="shared" si="3"/>
        <v>5</v>
      </c>
      <c r="H14" s="53">
        <f t="shared" si="4"/>
        <v>-5</v>
      </c>
      <c r="I14" s="54" t="str">
        <f t="shared" si="5"/>
        <v/>
      </c>
      <c r="J14" s="55" t="str">
        <f t="shared" si="6"/>
        <v/>
      </c>
      <c r="K14" s="56">
        <v>5.5841584160000002</v>
      </c>
      <c r="L14" s="57" t="s">
        <v>64</v>
      </c>
      <c r="M14" s="58">
        <f ca="1">IFERROR(__xludf.DUMMYFUNCTION("(IFERROR(GOOGLEFINANCE(""ASX:""&amp;B14,""closeyest""),""""))"),1.43)</f>
        <v>1.43</v>
      </c>
      <c r="N14" s="59">
        <f t="shared" ca="1" si="7"/>
        <v>45185</v>
      </c>
      <c r="O14" s="60" t="str">
        <f t="shared" si="0"/>
        <v>LRK</v>
      </c>
      <c r="P14" s="61">
        <f t="shared" ca="1" si="8"/>
        <v>1.43</v>
      </c>
      <c r="Q14" s="62">
        <f>Selling!$B$58</f>
        <v>0</v>
      </c>
      <c r="R14" s="63">
        <f ca="1">IFERROR(__xludf.DUMMYFUNCTION("(IFERROR(GOOGLEFINANCE(""ASX:""&amp;B14,""price""),""""))"),1.43)</f>
        <v>1.43</v>
      </c>
      <c r="S14" s="64">
        <f>Selling!$D$58</f>
        <v>0</v>
      </c>
      <c r="T14" s="65">
        <f t="shared" si="9"/>
        <v>-5</v>
      </c>
      <c r="U14" s="66">
        <f t="shared" ca="1" si="10"/>
        <v>0</v>
      </c>
      <c r="V14" s="67">
        <f t="shared" si="11"/>
        <v>101</v>
      </c>
      <c r="W14" s="228"/>
    </row>
    <row r="15" spans="1:23" ht="45" customHeight="1">
      <c r="A15" s="89">
        <v>44390</v>
      </c>
      <c r="B15" s="88" t="s">
        <v>33</v>
      </c>
      <c r="C15" s="82">
        <v>7.12</v>
      </c>
      <c r="D15" s="83">
        <v>154</v>
      </c>
      <c r="E15" s="51">
        <f t="shared" si="13"/>
        <v>5</v>
      </c>
      <c r="F15" s="52">
        <f t="shared" si="2"/>
        <v>1101.48</v>
      </c>
      <c r="G15" s="53">
        <f t="shared" si="3"/>
        <v>5</v>
      </c>
      <c r="H15" s="53">
        <f t="shared" si="4"/>
        <v>-5</v>
      </c>
      <c r="I15" s="54" t="str">
        <f t="shared" si="5"/>
        <v/>
      </c>
      <c r="J15" s="55" t="str">
        <f t="shared" si="6"/>
        <v/>
      </c>
      <c r="K15" s="56">
        <v>7.1883116879999998</v>
      </c>
      <c r="L15" s="57" t="s">
        <v>64</v>
      </c>
      <c r="M15" s="58">
        <f ca="1">IFERROR(__xludf.DUMMYFUNCTION("(IFERROR(GOOGLEFINANCE(""ASX:""&amp;B15,""closeyest""),""""))"),4.42)</f>
        <v>4.42</v>
      </c>
      <c r="N15" s="59">
        <f t="shared" ca="1" si="7"/>
        <v>45185</v>
      </c>
      <c r="O15" s="60" t="str">
        <f t="shared" si="0"/>
        <v>A2M</v>
      </c>
      <c r="P15" s="61">
        <f t="shared" ca="1" si="8"/>
        <v>4.4800000000000004</v>
      </c>
      <c r="Q15" s="62">
        <f>Selling!$B$64</f>
        <v>0</v>
      </c>
      <c r="R15" s="63">
        <f ca="1">IFERROR(__xludf.DUMMYFUNCTION("(IFERROR(GOOGLEFINANCE(""ASX:""&amp;B15,""price""),""""))"),4.48)</f>
        <v>4.4800000000000004</v>
      </c>
      <c r="S15" s="64">
        <f>Selling!$D$64</f>
        <v>0</v>
      </c>
      <c r="T15" s="65">
        <f t="shared" si="9"/>
        <v>-5</v>
      </c>
      <c r="U15" s="66">
        <f t="shared" ca="1" si="10"/>
        <v>6.0000000000000497E-2</v>
      </c>
      <c r="V15" s="67">
        <f t="shared" si="11"/>
        <v>154</v>
      </c>
      <c r="W15" s="228"/>
    </row>
    <row r="16" spans="1:23" ht="45" customHeight="1">
      <c r="A16" s="89"/>
      <c r="B16" s="88" t="s">
        <v>34</v>
      </c>
      <c r="C16" s="82">
        <v>0.83499999999999996</v>
      </c>
      <c r="D16" s="83">
        <v>1341</v>
      </c>
      <c r="E16" s="51">
        <f t="shared" si="13"/>
        <v>5</v>
      </c>
      <c r="F16" s="52">
        <f t="shared" si="2"/>
        <v>1124.7349999999999</v>
      </c>
      <c r="G16" s="53">
        <f t="shared" si="3"/>
        <v>5</v>
      </c>
      <c r="H16" s="53">
        <f t="shared" si="4"/>
        <v>-5</v>
      </c>
      <c r="I16" s="54" t="str">
        <f t="shared" si="5"/>
        <v/>
      </c>
      <c r="J16" s="55" t="str">
        <f t="shared" si="6"/>
        <v/>
      </c>
      <c r="K16" s="56">
        <v>0.84265473530000001</v>
      </c>
      <c r="L16" s="57" t="s">
        <v>64</v>
      </c>
      <c r="M16" s="58">
        <f ca="1">IFERROR(__xludf.DUMMYFUNCTION("(IFERROR(GOOGLEFINANCE(""ASX:""&amp;B16,""closeyest""),""""))"),1.1)</f>
        <v>1.1000000000000001</v>
      </c>
      <c r="N16" s="59">
        <f t="shared" ca="1" si="7"/>
        <v>45185</v>
      </c>
      <c r="O16" s="60" t="str">
        <f t="shared" si="0"/>
        <v>EOS</v>
      </c>
      <c r="P16" s="61">
        <f t="shared" ca="1" si="8"/>
        <v>1.08</v>
      </c>
      <c r="Q16" s="62">
        <f>Selling!$B$70</f>
        <v>0</v>
      </c>
      <c r="R16" s="63">
        <f ca="1">IFERROR(__xludf.DUMMYFUNCTION("(IFERROR(GOOGLEFINANCE(""ASX:""&amp;B16,""price""),""""))"),1.08)</f>
        <v>1.08</v>
      </c>
      <c r="S16" s="64">
        <f>Selling!$D$70</f>
        <v>0</v>
      </c>
      <c r="T16" s="65">
        <f t="shared" si="9"/>
        <v>-5</v>
      </c>
      <c r="U16" s="66">
        <f t="shared" ca="1" si="10"/>
        <v>-2.0000000000000018E-2</v>
      </c>
      <c r="V16" s="67">
        <f t="shared" si="11"/>
        <v>1341</v>
      </c>
      <c r="W16" s="228"/>
    </row>
    <row r="17" spans="1:23" ht="45" customHeight="1">
      <c r="A17" s="80"/>
      <c r="B17" s="85"/>
      <c r="C17" s="86"/>
      <c r="D17" s="87"/>
      <c r="E17" s="51" t="str">
        <f t="shared" si="13"/>
        <v/>
      </c>
      <c r="F17" s="52" t="str">
        <f t="shared" si="2"/>
        <v/>
      </c>
      <c r="G17" s="53" t="str">
        <f t="shared" si="3"/>
        <v/>
      </c>
      <c r="H17" s="53" t="e">
        <f t="shared" si="4"/>
        <v>#VALUE!</v>
      </c>
      <c r="I17" s="54" t="str">
        <f t="shared" si="5"/>
        <v/>
      </c>
      <c r="J17" s="55" t="str">
        <f t="shared" si="6"/>
        <v/>
      </c>
      <c r="K17" s="56" t="s">
        <v>64</v>
      </c>
      <c r="L17" s="57" t="s">
        <v>64</v>
      </c>
      <c r="M17" s="58" t="str">
        <f ca="1">IFERROR(__xludf.DUMMYFUNCTION("(IFERROR(GOOGLEFINANCE(""ASX:""&amp;B17,""closeyest""),""""))"),"")</f>
        <v/>
      </c>
      <c r="N17" s="59">
        <f t="shared" ca="1" si="7"/>
        <v>45185</v>
      </c>
      <c r="O17" s="60">
        <f t="shared" si="0"/>
        <v>0</v>
      </c>
      <c r="P17" s="61" t="e">
        <f t="shared" ca="1" si="8"/>
        <v>#VALUE!</v>
      </c>
      <c r="Q17" s="62">
        <f>Selling!$B$76</f>
        <v>0</v>
      </c>
      <c r="R17" s="63" t="str">
        <f ca="1">IFERROR(__xludf.DUMMYFUNCTION("(IFERROR(GOOGLEFINANCE(""ASX:""&amp;B17,""price""),""""))"),"")</f>
        <v/>
      </c>
      <c r="S17" s="64">
        <f>Selling!$D$76</f>
        <v>0</v>
      </c>
      <c r="T17" s="65" t="str">
        <f t="shared" si="9"/>
        <v/>
      </c>
      <c r="U17" s="66" t="str">
        <f t="shared" ca="1" si="10"/>
        <v/>
      </c>
      <c r="V17" s="67">
        <f t="shared" si="11"/>
        <v>0</v>
      </c>
      <c r="W17" s="228"/>
    </row>
    <row r="18" spans="1:23" ht="45" customHeight="1">
      <c r="A18" s="72"/>
      <c r="B18" s="78"/>
      <c r="C18" s="74"/>
      <c r="D18" s="75"/>
      <c r="E18" s="51" t="str">
        <f t="shared" si="13"/>
        <v/>
      </c>
      <c r="F18" s="52" t="str">
        <f t="shared" si="2"/>
        <v/>
      </c>
      <c r="G18" s="53" t="str">
        <f t="shared" si="3"/>
        <v/>
      </c>
      <c r="H18" s="53" t="e">
        <f t="shared" si="4"/>
        <v>#VALUE!</v>
      </c>
      <c r="I18" s="54" t="str">
        <f t="shared" si="5"/>
        <v/>
      </c>
      <c r="J18" s="55" t="str">
        <f t="shared" si="6"/>
        <v/>
      </c>
      <c r="K18" s="56" t="s">
        <v>64</v>
      </c>
      <c r="L18" s="57" t="s">
        <v>64</v>
      </c>
      <c r="M18" s="58" t="str">
        <f ca="1">IFERROR(__xludf.DUMMYFUNCTION("(IFERROR(GOOGLEFINANCE(""ASX:""&amp;B18,""closeyest""),""""))"),"")</f>
        <v/>
      </c>
      <c r="N18" s="59">
        <f t="shared" ca="1" si="7"/>
        <v>45185</v>
      </c>
      <c r="O18" s="60">
        <f t="shared" si="0"/>
        <v>0</v>
      </c>
      <c r="P18" s="61" t="e">
        <f t="shared" ca="1" si="8"/>
        <v>#VALUE!</v>
      </c>
      <c r="Q18" s="62">
        <f>Selling!$B$82</f>
        <v>0</v>
      </c>
      <c r="R18" s="63" t="str">
        <f ca="1">IFERROR(__xludf.DUMMYFUNCTION("(IFERROR(GOOGLEFINANCE(""ASX:""&amp;B18,""price""),""""))"),"")</f>
        <v/>
      </c>
      <c r="S18" s="64">
        <f>Selling!$D$82</f>
        <v>0</v>
      </c>
      <c r="T18" s="65" t="str">
        <f t="shared" si="9"/>
        <v/>
      </c>
      <c r="U18" s="66" t="str">
        <f t="shared" ca="1" si="10"/>
        <v/>
      </c>
      <c r="V18" s="67">
        <f t="shared" si="11"/>
        <v>0</v>
      </c>
      <c r="W18" s="228"/>
    </row>
    <row r="19" spans="1:23" ht="45" customHeight="1">
      <c r="A19" s="89"/>
      <c r="B19" s="88"/>
      <c r="C19" s="82"/>
      <c r="D19" s="83"/>
      <c r="E19" s="51" t="str">
        <f t="shared" si="13"/>
        <v/>
      </c>
      <c r="F19" s="52" t="str">
        <f t="shared" si="2"/>
        <v/>
      </c>
      <c r="G19" s="53" t="str">
        <f t="shared" si="3"/>
        <v/>
      </c>
      <c r="H19" s="53" t="e">
        <f t="shared" si="4"/>
        <v>#VALUE!</v>
      </c>
      <c r="I19" s="54" t="str">
        <f t="shared" si="5"/>
        <v/>
      </c>
      <c r="J19" s="55" t="str">
        <f t="shared" si="6"/>
        <v/>
      </c>
      <c r="K19" s="56" t="s">
        <v>64</v>
      </c>
      <c r="L19" s="57" t="s">
        <v>64</v>
      </c>
      <c r="M19" s="58" t="str">
        <f ca="1">IFERROR(__xludf.DUMMYFUNCTION("(IFERROR(GOOGLEFINANCE(""ASX:""&amp;B19,""closeyest""),""""))"),"")</f>
        <v/>
      </c>
      <c r="N19" s="59">
        <f t="shared" ca="1" si="7"/>
        <v>45185</v>
      </c>
      <c r="O19" s="60">
        <f t="shared" si="0"/>
        <v>0</v>
      </c>
      <c r="P19" s="61" t="e">
        <f t="shared" ca="1" si="8"/>
        <v>#VALUE!</v>
      </c>
      <c r="Q19" s="62">
        <f>Selling!$B$88</f>
        <v>0</v>
      </c>
      <c r="R19" s="63" t="str">
        <f ca="1">IFERROR(__xludf.DUMMYFUNCTION("(IFERROR(GOOGLEFINANCE(""ASX:""&amp;B19,""price""),""""))"),"")</f>
        <v/>
      </c>
      <c r="S19" s="64">
        <f>Selling!$D$88</f>
        <v>0</v>
      </c>
      <c r="T19" s="65" t="str">
        <f t="shared" si="9"/>
        <v/>
      </c>
      <c r="U19" s="66" t="str">
        <f t="shared" ca="1" si="10"/>
        <v/>
      </c>
      <c r="V19" s="67">
        <f t="shared" si="11"/>
        <v>0</v>
      </c>
      <c r="W19" s="228"/>
    </row>
    <row r="20" spans="1:23" ht="45" customHeight="1">
      <c r="A20" s="47"/>
      <c r="B20" s="90"/>
      <c r="C20" s="49"/>
      <c r="D20" s="50"/>
      <c r="E20" s="51" t="str">
        <f t="shared" si="13"/>
        <v/>
      </c>
      <c r="F20" s="91" t="str">
        <f t="shared" si="2"/>
        <v/>
      </c>
      <c r="G20" s="92" t="str">
        <f t="shared" si="3"/>
        <v/>
      </c>
      <c r="H20" s="92" t="e">
        <f t="shared" si="4"/>
        <v>#VALUE!</v>
      </c>
      <c r="I20" s="93" t="str">
        <f t="shared" si="5"/>
        <v/>
      </c>
      <c r="J20" s="94" t="str">
        <f t="shared" si="6"/>
        <v/>
      </c>
      <c r="K20" s="95" t="s">
        <v>64</v>
      </c>
      <c r="L20" s="96" t="s">
        <v>64</v>
      </c>
      <c r="M20" s="97" t="str">
        <f ca="1">IFERROR(__xludf.DUMMYFUNCTION("(IFERROR(GOOGLEFINANCE(""ASX:""&amp;B20,""closeyest""),""""))"),"")</f>
        <v/>
      </c>
      <c r="N20" s="98">
        <f t="shared" ca="1" si="7"/>
        <v>45185</v>
      </c>
      <c r="O20" s="99">
        <f t="shared" si="0"/>
        <v>0</v>
      </c>
      <c r="P20" s="61" t="e">
        <f t="shared" ca="1" si="8"/>
        <v>#VALUE!</v>
      </c>
      <c r="Q20" s="100">
        <f>Selling!$B$94</f>
        <v>0</v>
      </c>
      <c r="R20" s="101" t="str">
        <f ca="1">IFERROR(__xludf.DUMMYFUNCTION("(IFERROR(GOOGLEFINANCE(""ASX:""&amp;B20,""price""),""""))"),"")</f>
        <v/>
      </c>
      <c r="S20" s="102">
        <f>Selling!$D$94</f>
        <v>0</v>
      </c>
      <c r="T20" s="103" t="str">
        <f t="shared" si="9"/>
        <v/>
      </c>
      <c r="U20" s="104" t="str">
        <f t="shared" ca="1" si="10"/>
        <v/>
      </c>
      <c r="V20" s="105">
        <f t="shared" si="11"/>
        <v>0</v>
      </c>
      <c r="W20" s="228"/>
    </row>
    <row r="21" spans="1:23" ht="45" customHeight="1">
      <c r="A21" s="89"/>
      <c r="B21" s="88"/>
      <c r="C21" s="82"/>
      <c r="D21" s="83"/>
      <c r="E21" s="51" t="str">
        <f t="shared" si="13"/>
        <v/>
      </c>
      <c r="F21" s="52" t="str">
        <f t="shared" si="2"/>
        <v/>
      </c>
      <c r="G21" s="53" t="str">
        <f t="shared" si="3"/>
        <v/>
      </c>
      <c r="H21" s="53" t="e">
        <f t="shared" si="4"/>
        <v>#VALUE!</v>
      </c>
      <c r="I21" s="54" t="str">
        <f t="shared" si="5"/>
        <v/>
      </c>
      <c r="J21" s="55" t="str">
        <f t="shared" si="6"/>
        <v/>
      </c>
      <c r="K21" s="56" t="s">
        <v>64</v>
      </c>
      <c r="L21" s="57" t="s">
        <v>64</v>
      </c>
      <c r="M21" s="58" t="str">
        <f ca="1">IFERROR(__xludf.DUMMYFUNCTION("(IFERROR(GOOGLEFINANCE(""ASX:""&amp;B21,""closeyest""),""""))"),"")</f>
        <v/>
      </c>
      <c r="N21" s="59">
        <f t="shared" ca="1" si="7"/>
        <v>45185</v>
      </c>
      <c r="O21" s="60">
        <f t="shared" si="0"/>
        <v>0</v>
      </c>
      <c r="P21" s="61" t="e">
        <f t="shared" ca="1" si="8"/>
        <v>#VALUE!</v>
      </c>
      <c r="Q21" s="62">
        <f>Selling!$B$100</f>
        <v>0</v>
      </c>
      <c r="R21" s="63" t="str">
        <f ca="1">IFERROR(__xludf.DUMMYFUNCTION("(IFERROR(GOOGLEFINANCE(""ASX:""&amp;B21,""price""),""""))"),"")</f>
        <v/>
      </c>
      <c r="S21" s="64">
        <f>Selling!$D$100</f>
        <v>0</v>
      </c>
      <c r="T21" s="65" t="str">
        <f t="shared" si="9"/>
        <v/>
      </c>
      <c r="U21" s="66" t="str">
        <f t="shared" ca="1" si="10"/>
        <v/>
      </c>
      <c r="V21" s="67">
        <f t="shared" si="11"/>
        <v>0</v>
      </c>
      <c r="W21" s="228"/>
    </row>
    <row r="22" spans="1:23" ht="45" customHeight="1">
      <c r="A22" s="47"/>
      <c r="B22" s="69"/>
      <c r="C22" s="70"/>
      <c r="D22" s="71"/>
      <c r="E22" s="51" t="str">
        <f t="shared" si="13"/>
        <v/>
      </c>
      <c r="F22" s="52" t="str">
        <f t="shared" si="2"/>
        <v/>
      </c>
      <c r="G22" s="53" t="str">
        <f t="shared" si="3"/>
        <v/>
      </c>
      <c r="H22" s="53" t="e">
        <f t="shared" si="4"/>
        <v>#VALUE!</v>
      </c>
      <c r="I22" s="54" t="str">
        <f t="shared" si="5"/>
        <v/>
      </c>
      <c r="J22" s="55" t="str">
        <f t="shared" si="6"/>
        <v/>
      </c>
      <c r="K22" s="56" t="s">
        <v>64</v>
      </c>
      <c r="L22" s="57" t="s">
        <v>64</v>
      </c>
      <c r="M22" s="58" t="str">
        <f ca="1">IFERROR(__xludf.DUMMYFUNCTION("(IFERROR(GOOGLEFINANCE(""ASX:""&amp;B22,""closeyest""),""""))"),"")</f>
        <v/>
      </c>
      <c r="N22" s="59">
        <f t="shared" ca="1" si="7"/>
        <v>45185</v>
      </c>
      <c r="O22" s="60">
        <f t="shared" si="0"/>
        <v>0</v>
      </c>
      <c r="P22" s="61" t="e">
        <f t="shared" ca="1" si="8"/>
        <v>#VALUE!</v>
      </c>
      <c r="Q22" s="62">
        <f>Selling!$B$106</f>
        <v>0</v>
      </c>
      <c r="R22" s="63" t="str">
        <f ca="1">IFERROR(__xludf.DUMMYFUNCTION("(IFERROR(GOOGLEFINANCE(""ASX:""&amp;B22,""price""),""""))"),"")</f>
        <v/>
      </c>
      <c r="S22" s="64">
        <f>Selling!$D$106</f>
        <v>0</v>
      </c>
      <c r="T22" s="65" t="str">
        <f t="shared" si="9"/>
        <v/>
      </c>
      <c r="U22" s="66" t="str">
        <f t="shared" ca="1" si="10"/>
        <v/>
      </c>
      <c r="V22" s="67">
        <f t="shared" si="11"/>
        <v>0</v>
      </c>
      <c r="W22" s="228"/>
    </row>
    <row r="23" spans="1:23" ht="45" customHeight="1">
      <c r="A23" s="89"/>
      <c r="B23" s="88"/>
      <c r="C23" s="82"/>
      <c r="D23" s="83"/>
      <c r="E23" s="51" t="str">
        <f t="shared" si="13"/>
        <v/>
      </c>
      <c r="F23" s="52" t="str">
        <f t="shared" si="2"/>
        <v/>
      </c>
      <c r="G23" s="53" t="str">
        <f t="shared" si="3"/>
        <v/>
      </c>
      <c r="H23" s="53" t="e">
        <f t="shared" si="4"/>
        <v>#VALUE!</v>
      </c>
      <c r="I23" s="54" t="str">
        <f t="shared" si="5"/>
        <v/>
      </c>
      <c r="J23" s="55" t="str">
        <f t="shared" si="6"/>
        <v/>
      </c>
      <c r="K23" s="56" t="s">
        <v>64</v>
      </c>
      <c r="L23" s="57" t="s">
        <v>64</v>
      </c>
      <c r="M23" s="58" t="str">
        <f ca="1">IFERROR(__xludf.DUMMYFUNCTION("(IFERROR(GOOGLEFINANCE(""ASX:""&amp;B23,""closeyest""),""""))"),"")</f>
        <v/>
      </c>
      <c r="N23" s="59">
        <f t="shared" ca="1" si="7"/>
        <v>45185</v>
      </c>
      <c r="O23" s="60">
        <f t="shared" si="0"/>
        <v>0</v>
      </c>
      <c r="P23" s="61" t="e">
        <f t="shared" ca="1" si="8"/>
        <v>#VALUE!</v>
      </c>
      <c r="Q23" s="62">
        <f>Selling!$B$112</f>
        <v>0</v>
      </c>
      <c r="R23" s="63" t="str">
        <f ca="1">IFERROR(__xludf.DUMMYFUNCTION("(IFERROR(GOOGLEFINANCE(""ASX:""&amp;B23,""price""),""""))"),"")</f>
        <v/>
      </c>
      <c r="S23" s="64">
        <f>Selling!$D$112</f>
        <v>0</v>
      </c>
      <c r="T23" s="65" t="str">
        <f t="shared" si="9"/>
        <v/>
      </c>
      <c r="U23" s="66" t="str">
        <f t="shared" ca="1" si="10"/>
        <v/>
      </c>
      <c r="V23" s="67">
        <f t="shared" si="11"/>
        <v>0</v>
      </c>
      <c r="W23" s="228"/>
    </row>
    <row r="24" spans="1:23" ht="45" customHeight="1">
      <c r="A24" s="68"/>
      <c r="B24" s="69"/>
      <c r="C24" s="70"/>
      <c r="D24" s="71"/>
      <c r="E24" s="51" t="str">
        <f t="shared" si="13"/>
        <v/>
      </c>
      <c r="F24" s="52" t="str">
        <f t="shared" si="2"/>
        <v/>
      </c>
      <c r="G24" s="53" t="str">
        <f t="shared" si="3"/>
        <v/>
      </c>
      <c r="H24" s="53" t="e">
        <f t="shared" si="4"/>
        <v>#VALUE!</v>
      </c>
      <c r="I24" s="54" t="str">
        <f t="shared" si="5"/>
        <v/>
      </c>
      <c r="J24" s="55" t="str">
        <f t="shared" si="6"/>
        <v/>
      </c>
      <c r="K24" s="56" t="s">
        <v>64</v>
      </c>
      <c r="L24" s="57" t="s">
        <v>64</v>
      </c>
      <c r="M24" s="58" t="str">
        <f ca="1">IFERROR(__xludf.DUMMYFUNCTION("(IFERROR(GOOGLEFINANCE(""ASX:""&amp;B24,""closeyest""),""""))"),"")</f>
        <v/>
      </c>
      <c r="N24" s="59">
        <f t="shared" ca="1" si="7"/>
        <v>45185</v>
      </c>
      <c r="O24" s="60">
        <f t="shared" si="0"/>
        <v>0</v>
      </c>
      <c r="P24" s="61" t="e">
        <f t="shared" ca="1" si="8"/>
        <v>#VALUE!</v>
      </c>
      <c r="Q24" s="62">
        <f>Selling!$B$118</f>
        <v>0</v>
      </c>
      <c r="R24" s="63" t="str">
        <f ca="1">IFERROR(__xludf.DUMMYFUNCTION("(IFERROR(GOOGLEFINANCE(""ASX:""&amp;B24,""price""),""""))"),"")</f>
        <v/>
      </c>
      <c r="S24" s="64">
        <f>Selling!$D$118</f>
        <v>0</v>
      </c>
      <c r="T24" s="65" t="str">
        <f t="shared" si="9"/>
        <v/>
      </c>
      <c r="U24" s="66" t="str">
        <f t="shared" ca="1" si="10"/>
        <v/>
      </c>
      <c r="V24" s="67">
        <f t="shared" si="11"/>
        <v>0</v>
      </c>
      <c r="W24" s="228"/>
    </row>
    <row r="25" spans="1:23" ht="45" customHeight="1">
      <c r="A25" s="89"/>
      <c r="B25" s="88"/>
      <c r="C25" s="82"/>
      <c r="D25" s="83"/>
      <c r="E25" s="51" t="str">
        <f t="shared" si="13"/>
        <v/>
      </c>
      <c r="F25" s="52" t="str">
        <f t="shared" si="2"/>
        <v/>
      </c>
      <c r="G25" s="53" t="str">
        <f t="shared" si="3"/>
        <v/>
      </c>
      <c r="H25" s="53" t="e">
        <f t="shared" si="4"/>
        <v>#VALUE!</v>
      </c>
      <c r="I25" s="54" t="str">
        <f t="shared" si="5"/>
        <v/>
      </c>
      <c r="J25" s="55" t="str">
        <f t="shared" si="6"/>
        <v/>
      </c>
      <c r="K25" s="56" t="s">
        <v>64</v>
      </c>
      <c r="L25" s="57" t="s">
        <v>64</v>
      </c>
      <c r="M25" s="58" t="str">
        <f ca="1">IFERROR(__xludf.DUMMYFUNCTION("(IFERROR(GOOGLEFINANCE(""ASX:""&amp;B25,""closeyest""),""""))"),"")</f>
        <v/>
      </c>
      <c r="N25" s="59">
        <f t="shared" ca="1" si="7"/>
        <v>45185</v>
      </c>
      <c r="O25" s="60">
        <f t="shared" si="0"/>
        <v>0</v>
      </c>
      <c r="P25" s="61" t="e">
        <f t="shared" ca="1" si="8"/>
        <v>#VALUE!</v>
      </c>
      <c r="Q25" s="62">
        <f>Selling!$B$124</f>
        <v>0</v>
      </c>
      <c r="R25" s="63" t="str">
        <f ca="1">IFERROR(__xludf.DUMMYFUNCTION("(IFERROR(GOOGLEFINANCE(""ASX:""&amp;B25,""price""),""""))"),"")</f>
        <v/>
      </c>
      <c r="S25" s="64">
        <f>Selling!$D$124</f>
        <v>0</v>
      </c>
      <c r="T25" s="65" t="str">
        <f t="shared" si="9"/>
        <v/>
      </c>
      <c r="U25" s="66" t="str">
        <f t="shared" ca="1" si="10"/>
        <v/>
      </c>
      <c r="V25" s="67">
        <f t="shared" si="11"/>
        <v>0</v>
      </c>
      <c r="W25" s="228"/>
    </row>
    <row r="26" spans="1:23" ht="45" customHeight="1">
      <c r="A26" s="68"/>
      <c r="B26" s="69"/>
      <c r="C26" s="70"/>
      <c r="D26" s="71"/>
      <c r="E26" s="51" t="str">
        <f t="shared" si="13"/>
        <v/>
      </c>
      <c r="F26" s="52" t="str">
        <f t="shared" si="2"/>
        <v/>
      </c>
      <c r="G26" s="53" t="str">
        <f t="shared" si="3"/>
        <v/>
      </c>
      <c r="H26" s="53" t="e">
        <f t="shared" si="4"/>
        <v>#VALUE!</v>
      </c>
      <c r="I26" s="54" t="str">
        <f t="shared" si="5"/>
        <v/>
      </c>
      <c r="J26" s="55" t="str">
        <f t="shared" si="6"/>
        <v/>
      </c>
      <c r="K26" s="56" t="s">
        <v>64</v>
      </c>
      <c r="L26" s="57" t="s">
        <v>64</v>
      </c>
      <c r="M26" s="58" t="str">
        <f ca="1">IFERROR(__xludf.DUMMYFUNCTION("(IFERROR(GOOGLEFINANCE(""ASX:""&amp;B26,""closeyest""),""""))"),"")</f>
        <v/>
      </c>
      <c r="N26" s="59">
        <f t="shared" ca="1" si="7"/>
        <v>45185</v>
      </c>
      <c r="O26" s="60">
        <f t="shared" si="0"/>
        <v>0</v>
      </c>
      <c r="P26" s="61" t="e">
        <f t="shared" ca="1" si="8"/>
        <v>#VALUE!</v>
      </c>
      <c r="Q26" s="62">
        <f>Selling!$B$130</f>
        <v>0</v>
      </c>
      <c r="R26" s="63" t="str">
        <f ca="1">IFERROR(__xludf.DUMMYFUNCTION("(IFERROR(GOOGLEFINANCE(""ASX:""&amp;B26,""price""),""""))"),"")</f>
        <v/>
      </c>
      <c r="S26" s="64">
        <f>Selling!$D$130</f>
        <v>0</v>
      </c>
      <c r="T26" s="65" t="str">
        <f t="shared" si="9"/>
        <v/>
      </c>
      <c r="U26" s="66" t="str">
        <f t="shared" ca="1" si="10"/>
        <v/>
      </c>
      <c r="V26" s="67">
        <f t="shared" si="11"/>
        <v>0</v>
      </c>
      <c r="W26" s="228"/>
    </row>
    <row r="27" spans="1:23" ht="45" customHeight="1">
      <c r="A27" s="89"/>
      <c r="B27" s="88"/>
      <c r="C27" s="82"/>
      <c r="D27" s="83"/>
      <c r="E27" s="51" t="str">
        <f t="shared" si="13"/>
        <v/>
      </c>
      <c r="F27" s="52" t="str">
        <f t="shared" si="2"/>
        <v/>
      </c>
      <c r="G27" s="53" t="str">
        <f t="shared" si="3"/>
        <v/>
      </c>
      <c r="H27" s="53" t="e">
        <f t="shared" si="4"/>
        <v>#VALUE!</v>
      </c>
      <c r="I27" s="54" t="str">
        <f t="shared" si="5"/>
        <v/>
      </c>
      <c r="J27" s="55" t="str">
        <f t="shared" si="6"/>
        <v/>
      </c>
      <c r="K27" s="56" t="s">
        <v>64</v>
      </c>
      <c r="L27" s="57" t="s">
        <v>64</v>
      </c>
      <c r="M27" s="58" t="str">
        <f ca="1">IFERROR(__xludf.DUMMYFUNCTION("(IFERROR(GOOGLEFINANCE(""ASX:""&amp;B27,""closeyest""),""""))"),"")</f>
        <v/>
      </c>
      <c r="N27" s="59">
        <f t="shared" ca="1" si="7"/>
        <v>45185</v>
      </c>
      <c r="O27" s="60">
        <f t="shared" si="0"/>
        <v>0</v>
      </c>
      <c r="P27" s="61" t="e">
        <f t="shared" ca="1" si="8"/>
        <v>#VALUE!</v>
      </c>
      <c r="Q27" s="62">
        <f>Selling!$B$136</f>
        <v>0</v>
      </c>
      <c r="R27" s="63" t="str">
        <f ca="1">IFERROR(__xludf.DUMMYFUNCTION("(IFERROR(GOOGLEFINANCE(""ASX:""&amp;B27,""price""),""""))"),"")</f>
        <v/>
      </c>
      <c r="S27" s="64">
        <f>Selling!$D$136</f>
        <v>0</v>
      </c>
      <c r="T27" s="65" t="str">
        <f t="shared" si="9"/>
        <v/>
      </c>
      <c r="U27" s="66" t="str">
        <f t="shared" ca="1" si="10"/>
        <v/>
      </c>
      <c r="V27" s="67">
        <f t="shared" si="11"/>
        <v>0</v>
      </c>
      <c r="W27" s="228"/>
    </row>
    <row r="28" spans="1:23" ht="45" customHeight="1">
      <c r="A28" s="68"/>
      <c r="B28" s="69"/>
      <c r="C28" s="70"/>
      <c r="D28" s="71"/>
      <c r="E28" s="51" t="str">
        <f t="shared" si="13"/>
        <v/>
      </c>
      <c r="F28" s="52" t="str">
        <f t="shared" si="2"/>
        <v/>
      </c>
      <c r="G28" s="53" t="str">
        <f t="shared" si="3"/>
        <v/>
      </c>
      <c r="H28" s="53" t="e">
        <f t="shared" si="4"/>
        <v>#VALUE!</v>
      </c>
      <c r="I28" s="54" t="str">
        <f t="shared" si="5"/>
        <v/>
      </c>
      <c r="J28" s="55" t="str">
        <f t="shared" si="6"/>
        <v/>
      </c>
      <c r="K28" s="56" t="s">
        <v>64</v>
      </c>
      <c r="L28" s="57" t="s">
        <v>64</v>
      </c>
      <c r="M28" s="58" t="str">
        <f ca="1">IFERROR(__xludf.DUMMYFUNCTION("(IFERROR(GOOGLEFINANCE(""ASX:""&amp;B28,""closeyest""),""""))"),"")</f>
        <v/>
      </c>
      <c r="N28" s="59">
        <f t="shared" ca="1" si="7"/>
        <v>45185</v>
      </c>
      <c r="O28" s="60">
        <f t="shared" si="0"/>
        <v>0</v>
      </c>
      <c r="P28" s="61" t="e">
        <f t="shared" ca="1" si="8"/>
        <v>#VALUE!</v>
      </c>
      <c r="Q28" s="62">
        <f>Selling!$B$142</f>
        <v>0</v>
      </c>
      <c r="R28" s="63" t="str">
        <f ca="1">IFERROR(__xludf.DUMMYFUNCTION("(IFERROR(GOOGLEFINANCE(""ASX:""&amp;B28,""price""),""""))"),"")</f>
        <v/>
      </c>
      <c r="S28" s="64">
        <f>Selling!$D$142</f>
        <v>0</v>
      </c>
      <c r="T28" s="65" t="str">
        <f t="shared" si="9"/>
        <v/>
      </c>
      <c r="U28" s="66" t="str">
        <f t="shared" ca="1" si="10"/>
        <v/>
      </c>
      <c r="V28" s="67">
        <f t="shared" si="11"/>
        <v>0</v>
      </c>
      <c r="W28" s="228"/>
    </row>
    <row r="29" spans="1:23" ht="45" customHeight="1">
      <c r="A29" s="89"/>
      <c r="B29" s="88"/>
      <c r="C29" s="82"/>
      <c r="D29" s="83"/>
      <c r="E29" s="51" t="str">
        <f t="shared" si="13"/>
        <v/>
      </c>
      <c r="F29" s="52" t="str">
        <f t="shared" si="2"/>
        <v/>
      </c>
      <c r="G29" s="53" t="str">
        <f t="shared" si="3"/>
        <v/>
      </c>
      <c r="H29" s="53" t="e">
        <f t="shared" si="4"/>
        <v>#VALUE!</v>
      </c>
      <c r="I29" s="54" t="str">
        <f t="shared" si="5"/>
        <v/>
      </c>
      <c r="J29" s="55" t="str">
        <f t="shared" si="6"/>
        <v/>
      </c>
      <c r="K29" s="56" t="s">
        <v>64</v>
      </c>
      <c r="L29" s="57" t="s">
        <v>64</v>
      </c>
      <c r="M29" s="58" t="str">
        <f ca="1">IFERROR(__xludf.DUMMYFUNCTION("(IFERROR(GOOGLEFINANCE(""ASX:""&amp;B29,""closeyest""),""""))"),"")</f>
        <v/>
      </c>
      <c r="N29" s="59">
        <f t="shared" ca="1" si="7"/>
        <v>45185</v>
      </c>
      <c r="O29" s="60">
        <f t="shared" si="0"/>
        <v>0</v>
      </c>
      <c r="P29" s="61" t="e">
        <f t="shared" ca="1" si="8"/>
        <v>#VALUE!</v>
      </c>
      <c r="Q29" s="62">
        <f>Selling!$B$148</f>
        <v>0</v>
      </c>
      <c r="R29" s="63" t="str">
        <f ca="1">IFERROR(__xludf.DUMMYFUNCTION("(IFERROR(GOOGLEFINANCE(""ASX:""&amp;B29,""price""),""""))"),"")</f>
        <v/>
      </c>
      <c r="S29" s="64">
        <f>Selling!$D$148</f>
        <v>0</v>
      </c>
      <c r="T29" s="65" t="str">
        <f t="shared" si="9"/>
        <v/>
      </c>
      <c r="U29" s="66" t="str">
        <f t="shared" ca="1" si="10"/>
        <v/>
      </c>
      <c r="V29" s="67">
        <f t="shared" si="11"/>
        <v>0</v>
      </c>
      <c r="W29" s="228"/>
    </row>
    <row r="30" spans="1:23" ht="45" customHeight="1">
      <c r="A30" s="68"/>
      <c r="B30" s="69"/>
      <c r="C30" s="70"/>
      <c r="D30" s="71"/>
      <c r="E30" s="51" t="str">
        <f t="shared" si="13"/>
        <v/>
      </c>
      <c r="F30" s="52" t="str">
        <f t="shared" si="2"/>
        <v/>
      </c>
      <c r="G30" s="53" t="str">
        <f t="shared" si="3"/>
        <v/>
      </c>
      <c r="H30" s="53" t="e">
        <f t="shared" si="4"/>
        <v>#VALUE!</v>
      </c>
      <c r="I30" s="54" t="str">
        <f t="shared" si="5"/>
        <v/>
      </c>
      <c r="J30" s="55" t="str">
        <f t="shared" si="6"/>
        <v/>
      </c>
      <c r="K30" s="56" t="s">
        <v>64</v>
      </c>
      <c r="L30" s="57" t="s">
        <v>64</v>
      </c>
      <c r="M30" s="58" t="str">
        <f ca="1">IFERROR(__xludf.DUMMYFUNCTION("(IFERROR(GOOGLEFINANCE(""ASX:""&amp;B30,""closeyest""),""""))"),"")</f>
        <v/>
      </c>
      <c r="N30" s="59">
        <f t="shared" ca="1" si="7"/>
        <v>45185</v>
      </c>
      <c r="O30" s="60">
        <f t="shared" si="0"/>
        <v>0</v>
      </c>
      <c r="P30" s="61" t="e">
        <f t="shared" ca="1" si="8"/>
        <v>#VALUE!</v>
      </c>
      <c r="Q30" s="62">
        <f>Selling!$B$154</f>
        <v>0</v>
      </c>
      <c r="R30" s="63" t="str">
        <f ca="1">IFERROR(__xludf.DUMMYFUNCTION("(IFERROR(GOOGLEFINANCE(""ASX:""&amp;B30,""price""),""""))"),"")</f>
        <v/>
      </c>
      <c r="S30" s="64">
        <f>Selling!$D$154</f>
        <v>0</v>
      </c>
      <c r="T30" s="65" t="str">
        <f t="shared" si="9"/>
        <v/>
      </c>
      <c r="U30" s="66" t="str">
        <f t="shared" ca="1" si="10"/>
        <v/>
      </c>
      <c r="V30" s="67">
        <f t="shared" si="11"/>
        <v>0</v>
      </c>
      <c r="W30" s="229"/>
    </row>
  </sheetData>
  <sheetProtection sheet="1" objects="1" scenarios="1" formatColumns="0" formatRows="0"/>
  <mergeCells count="2">
    <mergeCell ref="A1:U4"/>
    <mergeCell ref="W1:W30"/>
  </mergeCells>
  <conditionalFormatting sqref="I5:I30 U6:U30">
    <cfRule type="cellIs" dxfId="15" priority="6" operator="lessThan">
      <formula>0</formula>
    </cfRule>
  </conditionalFormatting>
  <conditionalFormatting sqref="I5:I30 V1 V3">
    <cfRule type="cellIs" dxfId="14" priority="7" operator="greaterThan">
      <formula>0</formula>
    </cfRule>
  </conditionalFormatting>
  <conditionalFormatting sqref="P5:P30">
    <cfRule type="containsText" dxfId="13" priority="1" operator="containsText" text="-">
      <formula>NOT(ISERROR(SEARCH(("-"),(P5))))</formula>
    </cfRule>
    <cfRule type="containsText" dxfId="12" priority="2" operator="containsText" text="+">
      <formula>NOT(ISERROR(SEARCH(("+"),(P5))))</formula>
    </cfRule>
  </conditionalFormatting>
  <conditionalFormatting sqref="T5:T30">
    <cfRule type="cellIs" dxfId="11" priority="3" operator="greaterThan">
      <formula>0</formula>
    </cfRule>
    <cfRule type="cellIs" dxfId="10" priority="4" operator="lessThan">
      <formula>0</formula>
    </cfRule>
  </conditionalFormatting>
  <conditionalFormatting sqref="U5:U30 I6:I30">
    <cfRule type="cellIs" dxfId="9" priority="5" operator="greaterThan">
      <formula>0</formula>
    </cfRule>
  </conditionalFormatting>
  <conditionalFormatting sqref="U6:U30">
    <cfRule type="cellIs" dxfId="8" priority="9" operator="greaterThan">
      <formula>0</formula>
    </cfRule>
  </conditionalFormatting>
  <conditionalFormatting sqref="V1 V3">
    <cfRule type="cellIs" dxfId="7" priority="8" operator="lessThan">
      <formula>0</formula>
    </cfRule>
  </conditionalFormatting>
  <dataValidations count="1">
    <dataValidation type="custom" allowBlank="1" showDropDown="1" sqref="A1 A6:A30" xr:uid="{00000000-0002-0000-0100-000000000000}">
      <formula1>OR(NOT(ISERROR(DATEVALUE(A1))), AND(ISNUMBER(A1), LEFT(CELL("format", A1))="D"))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W58"/>
  <sheetViews>
    <sheetView tabSelected="1" topLeftCell="A41" workbookViewId="0">
      <selection activeCell="H4" sqref="H4"/>
    </sheetView>
  </sheetViews>
  <sheetFormatPr defaultColWidth="12.5703125" defaultRowHeight="15.75" customHeight="1"/>
  <cols>
    <col min="1" max="1" width="12.28515625" customWidth="1"/>
    <col min="2" max="2" width="9.28515625" customWidth="1"/>
    <col min="3" max="3" width="13.85546875" customWidth="1"/>
    <col min="4" max="4" width="6.5703125" customWidth="1"/>
    <col min="5" max="5" width="9.7109375" customWidth="1"/>
    <col min="6" max="6" width="16.140625" customWidth="1"/>
    <col min="7" max="7" width="10.42578125" customWidth="1"/>
    <col min="8" max="8" width="20.7109375" customWidth="1"/>
    <col min="13" max="13" width="11.5703125" customWidth="1"/>
    <col min="14" max="14" width="17.42578125" customWidth="1"/>
    <col min="16" max="16" width="6" customWidth="1"/>
    <col min="17" max="17" width="18.5703125" customWidth="1"/>
    <col min="19" max="19" width="9.140625" customWidth="1"/>
    <col min="20" max="20" width="17.28515625" customWidth="1"/>
    <col min="23" max="23" width="3.140625" customWidth="1"/>
  </cols>
  <sheetData>
    <row r="1" spans="1:23" ht="24" customHeight="1">
      <c r="A1" s="239"/>
      <c r="B1" s="217"/>
      <c r="C1" s="217"/>
      <c r="D1" s="217"/>
      <c r="E1" s="217"/>
      <c r="F1" s="217"/>
      <c r="G1" s="217"/>
      <c r="H1" s="217"/>
      <c r="I1" s="217"/>
      <c r="J1" s="217"/>
      <c r="K1" s="217"/>
      <c r="L1" s="217"/>
      <c r="M1" s="217"/>
      <c r="N1" s="217"/>
      <c r="O1" s="217"/>
      <c r="P1" s="217"/>
      <c r="Q1" s="217"/>
      <c r="R1" s="217"/>
      <c r="S1" s="217"/>
      <c r="T1" s="217"/>
      <c r="U1" s="217"/>
      <c r="V1" s="217"/>
      <c r="W1" s="217"/>
    </row>
    <row r="2" spans="1:23" ht="45" customHeight="1">
      <c r="A2" s="106">
        <v>44897</v>
      </c>
      <c r="B2" s="107">
        <v>360</v>
      </c>
      <c r="C2" s="108">
        <v>6.36</v>
      </c>
      <c r="D2" s="109">
        <v>155</v>
      </c>
      <c r="E2" s="51">
        <f t="shared" ref="E2:E6" si="0">IF(C2="","",5)</f>
        <v>5</v>
      </c>
      <c r="F2" s="52">
        <f t="shared" ref="F2:F40" si="1">IF(C2="","",(C2*D2+E2))</f>
        <v>990.80000000000007</v>
      </c>
      <c r="G2" s="53">
        <f t="shared" ref="G2:G10" si="2">IF(Q2="","",IF(E2="","",5))</f>
        <v>5</v>
      </c>
      <c r="H2" s="53">
        <f t="shared" ref="H2:H40" si="3">IF(Q2="","",IF(S2&gt;D2,"Invalid sale",IF(S2="",(Q2*L2-G2),(Q2*S2-G2))))</f>
        <v>1124.95</v>
      </c>
      <c r="I2" s="54" t="str">
        <f t="shared" ref="I2:I27" si="4">IF(J2="","",((R2*D2)-F2-5))</f>
        <v/>
      </c>
      <c r="J2" s="55" t="str">
        <f t="shared" ref="J2:J27" si="5">IF(B2="","",IF(Q2="",((R2*D2)),""))</f>
        <v/>
      </c>
      <c r="K2" s="56" t="s">
        <v>64</v>
      </c>
      <c r="L2" s="57" t="s">
        <v>64</v>
      </c>
      <c r="M2" s="58">
        <f ca="1">IFERROR(__xludf.DUMMYFUNCTION("(IFERROR(GOOGLEFINANCE(""ASX:""&amp;B2,""closeyest""),""""))"),8.67)</f>
        <v>8.67</v>
      </c>
      <c r="N2" s="110">
        <v>45097</v>
      </c>
      <c r="O2" s="111">
        <f t="shared" ref="O2:O58" si="6">B2</f>
        <v>360</v>
      </c>
      <c r="P2" s="112">
        <f t="shared" ref="P2:P40" ca="1" si="7">IF(Q2="","",IF(G2=0,"D",(R2-Q2)))</f>
        <v>1.96</v>
      </c>
      <c r="Q2" s="113">
        <v>7.29</v>
      </c>
      <c r="R2" s="114">
        <f ca="1">IFERROR(__xludf.DUMMYFUNCTION("(IFERROR(GOOGLEFINANCE(""ASX:""&amp;B2,""price""),""""))"),9.25)</f>
        <v>9.25</v>
      </c>
      <c r="S2" s="115">
        <v>155</v>
      </c>
      <c r="T2" s="116">
        <f t="shared" ref="T2:T10" si="8">IF(Q2="","",IF(B2="","",IF(S2="","",IF(F2&gt;H2,((Q2-C2)*S2-G2),(H2-F2)))))</f>
        <v>134.14999999999998</v>
      </c>
      <c r="U2" s="117">
        <f t="shared" ref="U2:U38" ca="1" si="9">IF(R2="","",(R2-M2))</f>
        <v>0.58000000000000007</v>
      </c>
      <c r="V2" s="118">
        <f t="shared" ref="V2:V10" si="10">IF(S2="","",(D2-S2))</f>
        <v>0</v>
      </c>
    </row>
    <row r="3" spans="1:23" ht="45" customHeight="1">
      <c r="A3" s="106">
        <v>44897</v>
      </c>
      <c r="B3" s="107" t="s">
        <v>35</v>
      </c>
      <c r="C3" s="108">
        <v>2.2850000000000001</v>
      </c>
      <c r="D3" s="109">
        <f>352+86</f>
        <v>438</v>
      </c>
      <c r="E3" s="51">
        <f t="shared" si="0"/>
        <v>5</v>
      </c>
      <c r="F3" s="52">
        <f t="shared" si="1"/>
        <v>1005.83</v>
      </c>
      <c r="G3" s="53">
        <f t="shared" si="2"/>
        <v>5</v>
      </c>
      <c r="H3" s="53">
        <f t="shared" si="3"/>
        <v>1046.2</v>
      </c>
      <c r="I3" s="54" t="str">
        <f t="shared" si="4"/>
        <v/>
      </c>
      <c r="J3" s="55" t="str">
        <f t="shared" si="5"/>
        <v/>
      </c>
      <c r="K3" s="56" t="s">
        <v>64</v>
      </c>
      <c r="L3" s="57" t="s">
        <v>64</v>
      </c>
      <c r="M3" s="58">
        <f ca="1">IFERROR(__xludf.DUMMYFUNCTION("(IFERROR(GOOGLEFINANCE(""ASX:""&amp;B3,""closeyest""),""""))"),1.8)</f>
        <v>1.8</v>
      </c>
      <c r="N3" s="110">
        <v>45093</v>
      </c>
      <c r="O3" s="111" t="str">
        <f t="shared" si="6"/>
        <v>ASB</v>
      </c>
      <c r="P3" s="112">
        <f t="shared" ca="1" si="7"/>
        <v>-0.59999999999999987</v>
      </c>
      <c r="Q3" s="113">
        <v>2.4</v>
      </c>
      <c r="R3" s="114">
        <f ca="1">IFERROR(__xludf.DUMMYFUNCTION("(IFERROR(GOOGLEFINANCE(""ASX:""&amp;B3,""price""),""""))"),1.8)</f>
        <v>1.8</v>
      </c>
      <c r="S3" s="115">
        <v>438</v>
      </c>
      <c r="T3" s="116">
        <f t="shared" si="8"/>
        <v>40.370000000000005</v>
      </c>
      <c r="U3" s="117">
        <f t="shared" ca="1" si="9"/>
        <v>0</v>
      </c>
      <c r="V3" s="118">
        <f t="shared" si="10"/>
        <v>0</v>
      </c>
    </row>
    <row r="4" spans="1:23" ht="45" customHeight="1">
      <c r="A4" s="106">
        <v>44944</v>
      </c>
      <c r="B4" s="107" t="s">
        <v>34</v>
      </c>
      <c r="C4" s="108">
        <v>0.73499999999999999</v>
      </c>
      <c r="D4" s="109">
        <v>1353</v>
      </c>
      <c r="E4" s="51">
        <f t="shared" si="0"/>
        <v>5</v>
      </c>
      <c r="F4" s="52">
        <f t="shared" si="1"/>
        <v>999.45499999999993</v>
      </c>
      <c r="G4" s="53">
        <f t="shared" si="2"/>
        <v>5</v>
      </c>
      <c r="H4" s="53">
        <f t="shared" si="3"/>
        <v>827.09500000000003</v>
      </c>
      <c r="I4" s="54" t="str">
        <f t="shared" si="4"/>
        <v/>
      </c>
      <c r="J4" s="55" t="str">
        <f t="shared" si="5"/>
        <v/>
      </c>
      <c r="K4" s="56" t="s">
        <v>64</v>
      </c>
      <c r="L4" s="57" t="s">
        <v>64</v>
      </c>
      <c r="M4" s="58">
        <f ca="1">IFERROR(__xludf.DUMMYFUNCTION("(IFERROR(GOOGLEFINANCE(""ASX:""&amp;B4,""closeyest""),""""))"),1.1)</f>
        <v>1.1000000000000001</v>
      </c>
      <c r="N4" s="110">
        <v>44957</v>
      </c>
      <c r="O4" s="111" t="str">
        <f t="shared" si="6"/>
        <v>EOS</v>
      </c>
      <c r="P4" s="112">
        <f t="shared" ca="1" si="7"/>
        <v>0.46500000000000008</v>
      </c>
      <c r="Q4" s="113">
        <v>0.61499999999999999</v>
      </c>
      <c r="R4" s="114">
        <f ca="1">IFERROR(__xludf.DUMMYFUNCTION("(IFERROR(GOOGLEFINANCE(""ASX:""&amp;B4,""price""),""""))"),1.08)</f>
        <v>1.08</v>
      </c>
      <c r="S4" s="115">
        <v>1353</v>
      </c>
      <c r="T4" s="116">
        <f t="shared" si="8"/>
        <v>-167.35999999999999</v>
      </c>
      <c r="U4" s="117">
        <f t="shared" ca="1" si="9"/>
        <v>-2.0000000000000018E-2</v>
      </c>
      <c r="V4" s="118">
        <f t="shared" si="10"/>
        <v>0</v>
      </c>
    </row>
    <row r="5" spans="1:23" ht="45" customHeight="1">
      <c r="A5" s="119">
        <v>44474</v>
      </c>
      <c r="B5" s="120" t="s">
        <v>36</v>
      </c>
      <c r="C5" s="121">
        <v>11.7</v>
      </c>
      <c r="D5" s="122">
        <v>98</v>
      </c>
      <c r="E5" s="84">
        <f t="shared" si="0"/>
        <v>5</v>
      </c>
      <c r="F5" s="52">
        <f t="shared" si="1"/>
        <v>1151.5999999999999</v>
      </c>
      <c r="G5" s="53">
        <f t="shared" si="2"/>
        <v>5</v>
      </c>
      <c r="H5" s="53">
        <f t="shared" si="3"/>
        <v>1185.7</v>
      </c>
      <c r="I5" s="54" t="str">
        <f t="shared" si="4"/>
        <v/>
      </c>
      <c r="J5" s="55" t="str">
        <f t="shared" si="5"/>
        <v/>
      </c>
      <c r="K5" s="56" t="s">
        <v>64</v>
      </c>
      <c r="L5" s="57" t="s">
        <v>64</v>
      </c>
      <c r="M5" s="58">
        <f ca="1">IFERROR(__xludf.DUMMYFUNCTION("(IFERROR(GOOGLEFINANCE(""ASX:""&amp;B5,""closeyest""),""""))"),12.75)</f>
        <v>12.75</v>
      </c>
      <c r="N5" s="110">
        <v>45030</v>
      </c>
      <c r="O5" s="111" t="str">
        <f t="shared" si="6"/>
        <v>NXT</v>
      </c>
      <c r="P5" s="112">
        <f t="shared" ca="1" si="7"/>
        <v>0.71999999999999886</v>
      </c>
      <c r="Q5" s="113">
        <v>12.15</v>
      </c>
      <c r="R5" s="114">
        <f ca="1">IFERROR(__xludf.DUMMYFUNCTION("(IFERROR(GOOGLEFINANCE(""ASX:""&amp;B5,""price""),""""))"),12.87)</f>
        <v>12.87</v>
      </c>
      <c r="S5" s="115">
        <v>98</v>
      </c>
      <c r="T5" s="116">
        <f t="shared" si="8"/>
        <v>34.100000000000136</v>
      </c>
      <c r="U5" s="117">
        <f t="shared" ca="1" si="9"/>
        <v>0.11999999999999922</v>
      </c>
      <c r="V5" s="118">
        <f t="shared" si="10"/>
        <v>0</v>
      </c>
    </row>
    <row r="6" spans="1:23" ht="45" customHeight="1">
      <c r="A6" s="123">
        <v>44483</v>
      </c>
      <c r="B6" s="120" t="s">
        <v>37</v>
      </c>
      <c r="C6" s="51">
        <v>5.7</v>
      </c>
      <c r="D6" s="122">
        <v>170</v>
      </c>
      <c r="E6" s="84">
        <f t="shared" si="0"/>
        <v>5</v>
      </c>
      <c r="F6" s="52">
        <f t="shared" si="1"/>
        <v>974</v>
      </c>
      <c r="G6" s="53">
        <f t="shared" si="2"/>
        <v>5</v>
      </c>
      <c r="H6" s="53">
        <f t="shared" si="3"/>
        <v>998.00000000000011</v>
      </c>
      <c r="I6" s="54" t="str">
        <f t="shared" si="4"/>
        <v/>
      </c>
      <c r="J6" s="55" t="str">
        <f t="shared" si="5"/>
        <v/>
      </c>
      <c r="K6" s="56" t="s">
        <v>64</v>
      </c>
      <c r="L6" s="57" t="s">
        <v>64</v>
      </c>
      <c r="M6" s="58">
        <f ca="1">IFERROR(__xludf.DUMMYFUNCTION("(IFERROR(GOOGLEFINANCE(""ASX:""&amp;B6,""closeyest""),""""))"),5.59)</f>
        <v>5.59</v>
      </c>
      <c r="N6" s="110">
        <v>44852</v>
      </c>
      <c r="O6" s="111" t="str">
        <f t="shared" si="6"/>
        <v>QAN</v>
      </c>
      <c r="P6" s="112">
        <f t="shared" ca="1" si="7"/>
        <v>-0.29000000000000004</v>
      </c>
      <c r="Q6" s="113">
        <v>5.9</v>
      </c>
      <c r="R6" s="114">
        <f ca="1">IFERROR(__xludf.DUMMYFUNCTION("(IFERROR(GOOGLEFINANCE(""ASX:""&amp;B6,""price""),""""))"),5.61)</f>
        <v>5.61</v>
      </c>
      <c r="S6" s="115">
        <v>170</v>
      </c>
      <c r="T6" s="116">
        <f t="shared" si="8"/>
        <v>24.000000000000114</v>
      </c>
      <c r="U6" s="117">
        <f t="shared" ca="1" si="9"/>
        <v>2.0000000000000462E-2</v>
      </c>
      <c r="V6" s="118">
        <f t="shared" si="10"/>
        <v>0</v>
      </c>
    </row>
    <row r="7" spans="1:23" ht="45" customHeight="1">
      <c r="A7" s="106">
        <v>44274</v>
      </c>
      <c r="B7" s="124" t="s">
        <v>38</v>
      </c>
      <c r="C7" s="108">
        <v>2.2999999999999998</v>
      </c>
      <c r="D7" s="109">
        <v>304</v>
      </c>
      <c r="E7" s="125">
        <v>10</v>
      </c>
      <c r="F7" s="52">
        <f t="shared" si="1"/>
        <v>709.19999999999993</v>
      </c>
      <c r="G7" s="53">
        <f t="shared" si="2"/>
        <v>5</v>
      </c>
      <c r="H7" s="53">
        <f t="shared" si="3"/>
        <v>663.80000000000007</v>
      </c>
      <c r="I7" s="54" t="str">
        <f t="shared" si="4"/>
        <v/>
      </c>
      <c r="J7" s="55" t="str">
        <f t="shared" si="5"/>
        <v/>
      </c>
      <c r="K7" s="56" t="s">
        <v>64</v>
      </c>
      <c r="L7" s="57" t="s">
        <v>64</v>
      </c>
      <c r="M7" s="58">
        <f ca="1">IFERROR(__xludf.DUMMYFUNCTION("(IFERROR(GOOGLEFINANCE(""ASX:""&amp;B7,""closeyest""),""""))"),2.55)</f>
        <v>2.5499999999999998</v>
      </c>
      <c r="N7" s="110">
        <v>44693</v>
      </c>
      <c r="O7" s="111" t="str">
        <f t="shared" si="6"/>
        <v>REG</v>
      </c>
      <c r="P7" s="112">
        <f t="shared" ca="1" si="7"/>
        <v>0.45999999999999996</v>
      </c>
      <c r="Q7" s="113">
        <v>2.2000000000000002</v>
      </c>
      <c r="R7" s="114">
        <f ca="1">IFERROR(__xludf.DUMMYFUNCTION("(IFERROR(GOOGLEFINANCE(""ASX:""&amp;B7,""price""),""""))"),2.66)</f>
        <v>2.66</v>
      </c>
      <c r="S7" s="115">
        <v>304</v>
      </c>
      <c r="T7" s="116">
        <f t="shared" si="8"/>
        <v>-35.399999999999892</v>
      </c>
      <c r="U7" s="117">
        <f t="shared" ca="1" si="9"/>
        <v>0.11000000000000032</v>
      </c>
      <c r="V7" s="118">
        <f t="shared" si="10"/>
        <v>0</v>
      </c>
    </row>
    <row r="8" spans="1:23" ht="45" customHeight="1">
      <c r="A8" s="126">
        <v>44398</v>
      </c>
      <c r="B8" s="107" t="s">
        <v>35</v>
      </c>
      <c r="C8" s="125">
        <v>2.17</v>
      </c>
      <c r="D8" s="109">
        <v>339</v>
      </c>
      <c r="E8" s="51">
        <f t="shared" ref="E8:E11" si="11">IF(C8="","",5)</f>
        <v>5</v>
      </c>
      <c r="F8" s="52">
        <f t="shared" si="1"/>
        <v>740.63</v>
      </c>
      <c r="G8" s="53">
        <f t="shared" si="2"/>
        <v>5</v>
      </c>
      <c r="H8" s="53">
        <f t="shared" si="3"/>
        <v>740.80000000000007</v>
      </c>
      <c r="I8" s="54" t="str">
        <f t="shared" si="4"/>
        <v/>
      </c>
      <c r="J8" s="55" t="str">
        <f t="shared" si="5"/>
        <v/>
      </c>
      <c r="K8" s="56" t="s">
        <v>64</v>
      </c>
      <c r="L8" s="57" t="s">
        <v>64</v>
      </c>
      <c r="M8" s="58">
        <f ca="1">IFERROR(__xludf.DUMMYFUNCTION("(IFERROR(GOOGLEFINANCE(""ASX:""&amp;B8,""closeyest""),""""))"),1.8)</f>
        <v>1.8</v>
      </c>
      <c r="N8" s="110">
        <v>44743</v>
      </c>
      <c r="O8" s="111" t="str">
        <f t="shared" si="6"/>
        <v>ASB</v>
      </c>
      <c r="P8" s="112">
        <f t="shared" ca="1" si="7"/>
        <v>-0.40000000000000013</v>
      </c>
      <c r="Q8" s="113">
        <v>2.2000000000000002</v>
      </c>
      <c r="R8" s="114">
        <f ca="1">IFERROR(__xludf.DUMMYFUNCTION("(IFERROR(GOOGLEFINANCE(""ASX:""&amp;B8,""price""),""""))"),1.8)</f>
        <v>1.8</v>
      </c>
      <c r="S8" s="115">
        <v>339</v>
      </c>
      <c r="T8" s="116">
        <f t="shared" si="8"/>
        <v>0.17000000000007276</v>
      </c>
      <c r="U8" s="117">
        <f t="shared" ca="1" si="9"/>
        <v>0</v>
      </c>
      <c r="V8" s="118">
        <f t="shared" si="10"/>
        <v>0</v>
      </c>
    </row>
    <row r="9" spans="1:23" ht="45" customHeight="1">
      <c r="A9" s="119">
        <v>44375</v>
      </c>
      <c r="B9" s="127" t="s">
        <v>39</v>
      </c>
      <c r="C9" s="128">
        <v>3.68</v>
      </c>
      <c r="D9" s="129">
        <v>199</v>
      </c>
      <c r="E9" s="51">
        <f t="shared" si="11"/>
        <v>5</v>
      </c>
      <c r="F9" s="52">
        <f t="shared" si="1"/>
        <v>737.32</v>
      </c>
      <c r="G9" s="53">
        <f t="shared" si="2"/>
        <v>5</v>
      </c>
      <c r="H9" s="53">
        <f t="shared" si="3"/>
        <v>739.26</v>
      </c>
      <c r="I9" s="54" t="str">
        <f t="shared" si="4"/>
        <v/>
      </c>
      <c r="J9" s="55" t="str">
        <f t="shared" si="5"/>
        <v/>
      </c>
      <c r="K9" s="56" t="s">
        <v>64</v>
      </c>
      <c r="L9" s="57" t="s">
        <v>64</v>
      </c>
      <c r="M9" s="58" t="str">
        <f ca="1">IFERROR(__xludf.DUMMYFUNCTION("(IFERROR(GOOGLEFINANCE(""ASX:""&amp;B9,""closeyest""),""""))"),"")</f>
        <v/>
      </c>
      <c r="N9" s="110">
        <v>44672</v>
      </c>
      <c r="O9" s="111" t="str">
        <f t="shared" si="6"/>
        <v>TGR</v>
      </c>
      <c r="P9" s="112" t="e">
        <f t="shared" ca="1" si="7"/>
        <v>#VALUE!</v>
      </c>
      <c r="Q9" s="113">
        <v>3.74</v>
      </c>
      <c r="R9" s="114" t="str">
        <f ca="1">IFERROR(__xludf.DUMMYFUNCTION("(IFERROR(GOOGLEFINANCE(""ASX:""&amp;B9,""price""),""""))"),"")</f>
        <v/>
      </c>
      <c r="S9" s="115">
        <v>199</v>
      </c>
      <c r="T9" s="116">
        <f t="shared" si="8"/>
        <v>1.9399999999999409</v>
      </c>
      <c r="U9" s="117" t="str">
        <f t="shared" ca="1" si="9"/>
        <v/>
      </c>
      <c r="V9" s="118">
        <f t="shared" si="10"/>
        <v>0</v>
      </c>
    </row>
    <row r="10" spans="1:23" ht="45" customHeight="1">
      <c r="A10" s="106">
        <v>44419</v>
      </c>
      <c r="B10" s="107" t="s">
        <v>40</v>
      </c>
      <c r="C10" s="108">
        <v>18.2</v>
      </c>
      <c r="D10" s="109">
        <v>38</v>
      </c>
      <c r="E10" s="51">
        <f t="shared" si="11"/>
        <v>5</v>
      </c>
      <c r="F10" s="52">
        <f t="shared" si="1"/>
        <v>696.6</v>
      </c>
      <c r="G10" s="53">
        <f t="shared" si="2"/>
        <v>5</v>
      </c>
      <c r="H10" s="53">
        <f t="shared" si="3"/>
        <v>698</v>
      </c>
      <c r="I10" s="54" t="str">
        <f t="shared" si="4"/>
        <v/>
      </c>
      <c r="J10" s="55" t="str">
        <f t="shared" si="5"/>
        <v/>
      </c>
      <c r="K10" s="56" t="s">
        <v>64</v>
      </c>
      <c r="L10" s="57" t="s">
        <v>64</v>
      </c>
      <c r="M10" s="58">
        <f ca="1">IFERROR(__xludf.DUMMYFUNCTION("(IFERROR(GOOGLEFINANCE(""ASX:""&amp;B10,""closeyest""),""""))"),15.75)</f>
        <v>15.75</v>
      </c>
      <c r="N10" s="110">
        <v>44671</v>
      </c>
      <c r="O10" s="111" t="str">
        <f t="shared" si="6"/>
        <v>COL</v>
      </c>
      <c r="P10" s="112">
        <f t="shared" ca="1" si="7"/>
        <v>-2.59</v>
      </c>
      <c r="Q10" s="113">
        <v>18.5</v>
      </c>
      <c r="R10" s="114">
        <f ca="1">IFERROR(__xludf.DUMMYFUNCTION("(IFERROR(GOOGLEFINANCE(""ASX:""&amp;B10,""price""),""""))"),15.91)</f>
        <v>15.91</v>
      </c>
      <c r="S10" s="115">
        <v>38</v>
      </c>
      <c r="T10" s="116">
        <f t="shared" si="8"/>
        <v>1.3999999999999773</v>
      </c>
      <c r="U10" s="117">
        <f t="shared" ca="1" si="9"/>
        <v>0.16000000000000014</v>
      </c>
      <c r="V10" s="118">
        <f t="shared" si="10"/>
        <v>0</v>
      </c>
    </row>
    <row r="11" spans="1:23" ht="45" customHeight="1">
      <c r="A11" s="130">
        <v>44662</v>
      </c>
      <c r="B11" s="131" t="s">
        <v>38</v>
      </c>
      <c r="C11" s="132">
        <v>0.35199999999999998</v>
      </c>
      <c r="D11" s="133">
        <v>304</v>
      </c>
      <c r="E11" s="51">
        <f t="shared" si="11"/>
        <v>5</v>
      </c>
      <c r="F11" s="52">
        <f t="shared" si="1"/>
        <v>112.008</v>
      </c>
      <c r="G11" s="53">
        <v>0</v>
      </c>
      <c r="H11" s="53">
        <f t="shared" si="3"/>
        <v>107.008</v>
      </c>
      <c r="I11" s="54" t="str">
        <f t="shared" si="4"/>
        <v/>
      </c>
      <c r="J11" s="55" t="str">
        <f t="shared" si="5"/>
        <v/>
      </c>
      <c r="K11" s="56" t="s">
        <v>64</v>
      </c>
      <c r="L11" s="57" t="s">
        <v>64</v>
      </c>
      <c r="M11" s="58">
        <f ca="1">IFERROR(__xludf.DUMMYFUNCTION("(IFERROR(GOOGLEFINANCE(""ASX:""&amp;B11,""closeyest""),""""))"),2.55)</f>
        <v>2.5499999999999998</v>
      </c>
      <c r="N11" s="110">
        <v>6692075</v>
      </c>
      <c r="O11" s="111" t="str">
        <f t="shared" si="6"/>
        <v>REG</v>
      </c>
      <c r="P11" s="112" t="str">
        <f t="shared" si="7"/>
        <v>D</v>
      </c>
      <c r="Q11" s="113">
        <v>0.35199999999999998</v>
      </c>
      <c r="R11" s="114">
        <f ca="1">IFERROR(__xludf.DUMMYFUNCTION("(IFERROR(GOOGLEFINANCE(""ASX:""&amp;B11,""price""),""""))"),2.66)</f>
        <v>2.66</v>
      </c>
      <c r="S11" s="115">
        <v>304</v>
      </c>
      <c r="T11" s="116">
        <v>10.7</v>
      </c>
      <c r="U11" s="117">
        <f t="shared" ca="1" si="9"/>
        <v>0.11000000000000032</v>
      </c>
      <c r="V11" s="134"/>
    </row>
    <row r="12" spans="1:23" ht="45" customHeight="1">
      <c r="A12" s="135">
        <v>44652</v>
      </c>
      <c r="B12" s="131" t="s">
        <v>40</v>
      </c>
      <c r="C12" s="132">
        <v>0.33</v>
      </c>
      <c r="D12" s="133">
        <v>38</v>
      </c>
      <c r="E12" s="51">
        <v>0</v>
      </c>
      <c r="F12" s="52">
        <f t="shared" si="1"/>
        <v>12.540000000000001</v>
      </c>
      <c r="G12" s="53">
        <v>0</v>
      </c>
      <c r="H12" s="53">
        <f t="shared" si="3"/>
        <v>12.540000000000001</v>
      </c>
      <c r="I12" s="54" t="str">
        <f t="shared" si="4"/>
        <v/>
      </c>
      <c r="J12" s="55" t="str">
        <f t="shared" si="5"/>
        <v/>
      </c>
      <c r="K12" s="56" t="s">
        <v>64</v>
      </c>
      <c r="L12" s="57" t="s">
        <v>64</v>
      </c>
      <c r="M12" s="58">
        <f ca="1">IFERROR(__xludf.DUMMYFUNCTION("(IFERROR(GOOGLEFINANCE(""ASX:""&amp;B12,""closeyest""),""""))"),15.75)</f>
        <v>15.75</v>
      </c>
      <c r="N12" s="110">
        <v>44652</v>
      </c>
      <c r="O12" s="111" t="str">
        <f t="shared" si="6"/>
        <v>COL</v>
      </c>
      <c r="P12" s="112" t="str">
        <f t="shared" si="7"/>
        <v>D</v>
      </c>
      <c r="Q12" s="113">
        <v>0.33</v>
      </c>
      <c r="R12" s="114">
        <f ca="1">IFERROR(__xludf.DUMMYFUNCTION("(IFERROR(GOOGLEFINANCE(""ASX:""&amp;B12,""price""),""""))"),15.91)</f>
        <v>15.91</v>
      </c>
      <c r="S12" s="115">
        <v>38</v>
      </c>
      <c r="T12" s="116">
        <v>12.54</v>
      </c>
      <c r="U12" s="117">
        <f t="shared" ca="1" si="9"/>
        <v>0.16000000000000014</v>
      </c>
      <c r="V12" s="134"/>
    </row>
    <row r="13" spans="1:23" ht="45" customHeight="1">
      <c r="A13" s="130">
        <v>44651</v>
      </c>
      <c r="B13" s="131" t="s">
        <v>39</v>
      </c>
      <c r="C13" s="132">
        <v>0.08</v>
      </c>
      <c r="D13" s="133">
        <v>199</v>
      </c>
      <c r="E13" s="51">
        <v>0</v>
      </c>
      <c r="F13" s="52">
        <f t="shared" si="1"/>
        <v>15.92</v>
      </c>
      <c r="G13" s="53">
        <v>0</v>
      </c>
      <c r="H13" s="53">
        <f t="shared" si="3"/>
        <v>15.92</v>
      </c>
      <c r="I13" s="54" t="str">
        <f t="shared" si="4"/>
        <v/>
      </c>
      <c r="J13" s="55" t="str">
        <f t="shared" si="5"/>
        <v/>
      </c>
      <c r="K13" s="56" t="s">
        <v>64</v>
      </c>
      <c r="L13" s="57" t="s">
        <v>64</v>
      </c>
      <c r="M13" s="58" t="str">
        <f ca="1">IFERROR(__xludf.DUMMYFUNCTION("(IFERROR(GOOGLEFINANCE(""ASX:""&amp;B13,""closeyest""),""""))"),"")</f>
        <v/>
      </c>
      <c r="N13" s="110">
        <v>44651</v>
      </c>
      <c r="O13" s="111" t="str">
        <f t="shared" si="6"/>
        <v>TGR</v>
      </c>
      <c r="P13" s="112" t="str">
        <f t="shared" si="7"/>
        <v>D</v>
      </c>
      <c r="Q13" s="113">
        <v>0.08</v>
      </c>
      <c r="R13" s="114" t="str">
        <f ca="1">IFERROR(__xludf.DUMMYFUNCTION("(IFERROR(GOOGLEFINANCE(""ASX:""&amp;B13,""price""),""""))"),"")</f>
        <v/>
      </c>
      <c r="S13" s="115">
        <v>199</v>
      </c>
      <c r="T13" s="116">
        <v>15.92</v>
      </c>
      <c r="U13" s="117" t="str">
        <f t="shared" ca="1" si="9"/>
        <v/>
      </c>
      <c r="V13" s="134"/>
    </row>
    <row r="14" spans="1:23" ht="45" customHeight="1">
      <c r="A14" s="130">
        <v>44641</v>
      </c>
      <c r="B14" s="131" t="s">
        <v>28</v>
      </c>
      <c r="C14" s="132">
        <v>5.5E-2</v>
      </c>
      <c r="D14" s="133">
        <v>97</v>
      </c>
      <c r="E14" s="51">
        <v>0</v>
      </c>
      <c r="F14" s="52">
        <f t="shared" si="1"/>
        <v>5.335</v>
      </c>
      <c r="G14" s="53">
        <v>0</v>
      </c>
      <c r="H14" s="53">
        <f t="shared" si="3"/>
        <v>5.335</v>
      </c>
      <c r="I14" s="54" t="str">
        <f t="shared" si="4"/>
        <v/>
      </c>
      <c r="J14" s="55" t="str">
        <f t="shared" si="5"/>
        <v/>
      </c>
      <c r="K14" s="56" t="s">
        <v>64</v>
      </c>
      <c r="L14" s="57" t="s">
        <v>64</v>
      </c>
      <c r="M14" s="58">
        <f ca="1">IFERROR(__xludf.DUMMYFUNCTION("(IFERROR(GOOGLEFINANCE(""ASX:""&amp;B14,""closeyest""),""""))"),1.35)</f>
        <v>1.35</v>
      </c>
      <c r="N14" s="110">
        <v>44671</v>
      </c>
      <c r="O14" s="111" t="str">
        <f t="shared" si="6"/>
        <v>APX</v>
      </c>
      <c r="P14" s="112" t="str">
        <f t="shared" si="7"/>
        <v>D</v>
      </c>
      <c r="Q14" s="113">
        <v>5.5E-2</v>
      </c>
      <c r="R14" s="114">
        <f ca="1">IFERROR(__xludf.DUMMYFUNCTION("(IFERROR(GOOGLEFINANCE(""ASX:""&amp;B14,""price""),""""))"),1.41)</f>
        <v>1.41</v>
      </c>
      <c r="S14" s="115">
        <v>97</v>
      </c>
      <c r="T14" s="116">
        <v>5.35</v>
      </c>
      <c r="U14" s="117">
        <f t="shared" ca="1" si="9"/>
        <v>5.9999999999999831E-2</v>
      </c>
      <c r="V14" s="134"/>
    </row>
    <row r="15" spans="1:23" ht="45" customHeight="1">
      <c r="A15" s="136">
        <v>44602</v>
      </c>
      <c r="B15" s="120" t="s">
        <v>41</v>
      </c>
      <c r="C15" s="121">
        <v>13.5</v>
      </c>
      <c r="D15" s="122">
        <v>51</v>
      </c>
      <c r="E15" s="51">
        <f t="shared" ref="E15:E16" si="12">IF(C15="","",5)</f>
        <v>5</v>
      </c>
      <c r="F15" s="52">
        <f t="shared" si="1"/>
        <v>693.5</v>
      </c>
      <c r="G15" s="53">
        <f t="shared" ref="G15:G16" si="13">IF(Q15="","",IF(E15="","",5))</f>
        <v>5</v>
      </c>
      <c r="H15" s="53">
        <f t="shared" si="3"/>
        <v>747.25</v>
      </c>
      <c r="I15" s="54" t="str">
        <f t="shared" si="4"/>
        <v/>
      </c>
      <c r="J15" s="55" t="str">
        <f t="shared" si="5"/>
        <v/>
      </c>
      <c r="K15" s="56" t="s">
        <v>64</v>
      </c>
      <c r="L15" s="57" t="s">
        <v>64</v>
      </c>
      <c r="M15" s="58">
        <f ca="1">IFERROR(__xludf.DUMMYFUNCTION("(IFERROR(GOOGLEFINANCE(""ASX:""&amp;B15,""closeyest""),""""))"),11.09)</f>
        <v>11.09</v>
      </c>
      <c r="N15" s="110">
        <f ca="1">IF(Q15="","",(TODAY()))</f>
        <v>45185</v>
      </c>
      <c r="O15" s="111" t="str">
        <f t="shared" si="6"/>
        <v>MP1</v>
      </c>
      <c r="P15" s="112">
        <f t="shared" ca="1" si="7"/>
        <v>-3.6999999999999993</v>
      </c>
      <c r="Q15" s="113">
        <v>14.75</v>
      </c>
      <c r="R15" s="114">
        <f ca="1">IFERROR(__xludf.DUMMYFUNCTION("(IFERROR(GOOGLEFINANCE(""ASX:""&amp;B15,""price""),""""))"),11.05)</f>
        <v>11.05</v>
      </c>
      <c r="S15" s="115">
        <v>51</v>
      </c>
      <c r="T15" s="116">
        <f t="shared" ref="T15:T16" si="14">IF(Q15="","",IF(B15="","",IF(S15="","",IF(F15&gt;H15,((Q15-C15)*S15-G15),(H15-F15)))))</f>
        <v>53.75</v>
      </c>
      <c r="U15" s="117">
        <f t="shared" ca="1" si="9"/>
        <v>-3.9999999999999147E-2</v>
      </c>
      <c r="V15" s="134"/>
      <c r="W15" s="217"/>
    </row>
    <row r="16" spans="1:23" ht="45" customHeight="1">
      <c r="A16" s="137">
        <v>44433</v>
      </c>
      <c r="B16" s="107" t="s">
        <v>28</v>
      </c>
      <c r="C16" s="138">
        <v>11.2</v>
      </c>
      <c r="D16" s="139">
        <v>48</v>
      </c>
      <c r="E16" s="140">
        <f t="shared" si="12"/>
        <v>5</v>
      </c>
      <c r="F16" s="141">
        <f t="shared" si="1"/>
        <v>542.59999999999991</v>
      </c>
      <c r="G16" s="53">
        <f t="shared" si="13"/>
        <v>5</v>
      </c>
      <c r="H16" s="142">
        <f t="shared" si="3"/>
        <v>547</v>
      </c>
      <c r="I16" s="143" t="str">
        <f t="shared" si="4"/>
        <v/>
      </c>
      <c r="J16" s="144" t="str">
        <f t="shared" si="5"/>
        <v/>
      </c>
      <c r="K16" s="145" t="s">
        <v>64</v>
      </c>
      <c r="L16" s="57" t="s">
        <v>64</v>
      </c>
      <c r="M16" s="146">
        <f ca="1">IFERROR(__xludf.DUMMYFUNCTION("(IFERROR(GOOGLEFINANCE(""ASX:""&amp;B16,""closeyest""),""""))"),1.35)</f>
        <v>1.35</v>
      </c>
      <c r="N16" s="147">
        <v>44504</v>
      </c>
      <c r="O16" s="111" t="str">
        <f t="shared" si="6"/>
        <v>APX</v>
      </c>
      <c r="P16" s="112">
        <f t="shared" ca="1" si="7"/>
        <v>-10.09</v>
      </c>
      <c r="Q16" s="113">
        <v>11.5</v>
      </c>
      <c r="R16" s="114">
        <f ca="1">IFERROR(__xludf.DUMMYFUNCTION("(IFERROR(GOOGLEFINANCE(""ASX:""&amp;B16,""price""),""""))"),1.41)</f>
        <v>1.41</v>
      </c>
      <c r="S16" s="115">
        <v>48</v>
      </c>
      <c r="T16" s="116">
        <f t="shared" si="14"/>
        <v>4.4000000000000909</v>
      </c>
      <c r="U16" s="117">
        <f t="shared" ca="1" si="9"/>
        <v>5.9999999999999831E-2</v>
      </c>
      <c r="V16" s="134"/>
      <c r="W16" s="217"/>
    </row>
    <row r="17" spans="1:23" ht="45" customHeight="1">
      <c r="A17" s="137">
        <v>44491</v>
      </c>
      <c r="B17" s="107" t="s">
        <v>35</v>
      </c>
      <c r="C17" s="138">
        <v>0.04</v>
      </c>
      <c r="D17" s="139">
        <v>339</v>
      </c>
      <c r="E17" s="140">
        <v>0</v>
      </c>
      <c r="F17" s="141">
        <f t="shared" si="1"/>
        <v>13.56</v>
      </c>
      <c r="G17" s="53">
        <v>0</v>
      </c>
      <c r="H17" s="142">
        <f t="shared" si="3"/>
        <v>13.56</v>
      </c>
      <c r="I17" s="143" t="str">
        <f t="shared" si="4"/>
        <v/>
      </c>
      <c r="J17" s="144" t="str">
        <f t="shared" si="5"/>
        <v/>
      </c>
      <c r="K17" s="145" t="s">
        <v>64</v>
      </c>
      <c r="L17" s="57" t="s">
        <v>64</v>
      </c>
      <c r="M17" s="146">
        <f ca="1">IFERROR(__xludf.DUMMYFUNCTION("(IFERROR(GOOGLEFINANCE(""ASX:""&amp;B17,""closeyest""),""""))"),1.8)</f>
        <v>1.8</v>
      </c>
      <c r="N17" s="147">
        <v>44491</v>
      </c>
      <c r="O17" s="111" t="str">
        <f t="shared" si="6"/>
        <v>ASB</v>
      </c>
      <c r="P17" s="112" t="str">
        <f t="shared" si="7"/>
        <v>D</v>
      </c>
      <c r="Q17" s="113">
        <v>0.04</v>
      </c>
      <c r="R17" s="114">
        <f ca="1">IFERROR(__xludf.DUMMYFUNCTION("(IFERROR(GOOGLEFINANCE(""ASX:""&amp;B17,""price""),""""))"),1.8)</f>
        <v>1.8</v>
      </c>
      <c r="S17" s="115">
        <v>339</v>
      </c>
      <c r="T17" s="116">
        <v>13.56</v>
      </c>
      <c r="U17" s="117">
        <f t="shared" ca="1" si="9"/>
        <v>0</v>
      </c>
      <c r="V17" s="134"/>
      <c r="W17" s="217"/>
    </row>
    <row r="18" spans="1:23" ht="45" customHeight="1">
      <c r="A18" s="137">
        <v>44433</v>
      </c>
      <c r="B18" s="107" t="s">
        <v>33</v>
      </c>
      <c r="C18" s="138">
        <v>6.2</v>
      </c>
      <c r="D18" s="139">
        <v>82</v>
      </c>
      <c r="E18" s="140">
        <f t="shared" ref="E18:E19" si="15">IF(C18="","",5)</f>
        <v>5</v>
      </c>
      <c r="F18" s="141">
        <f t="shared" si="1"/>
        <v>513.40000000000009</v>
      </c>
      <c r="G18" s="53">
        <f t="shared" ref="G18:G19" si="16">IF(Q18="","",IF(E18="","",5))</f>
        <v>5</v>
      </c>
      <c r="H18" s="142">
        <f t="shared" si="3"/>
        <v>546.86</v>
      </c>
      <c r="I18" s="143" t="str">
        <f t="shared" si="4"/>
        <v/>
      </c>
      <c r="J18" s="144" t="str">
        <f t="shared" si="5"/>
        <v/>
      </c>
      <c r="K18" s="145" t="s">
        <v>64</v>
      </c>
      <c r="L18" s="57" t="s">
        <v>64</v>
      </c>
      <c r="M18" s="146">
        <f ca="1">IFERROR(__xludf.DUMMYFUNCTION("(IFERROR(GOOGLEFINANCE(""ASX:""&amp;B18,""closeyest""),""""))"),4.42)</f>
        <v>4.42</v>
      </c>
      <c r="N18" s="147">
        <v>44484</v>
      </c>
      <c r="O18" s="111" t="str">
        <f t="shared" si="6"/>
        <v>A2M</v>
      </c>
      <c r="P18" s="112">
        <f t="shared" ca="1" si="7"/>
        <v>-2.25</v>
      </c>
      <c r="Q18" s="148">
        <v>6.73</v>
      </c>
      <c r="R18" s="114">
        <f ca="1">IFERROR(__xludf.DUMMYFUNCTION("(IFERROR(GOOGLEFINANCE(""ASX:""&amp;B18,""price""),""""))"),4.48)</f>
        <v>4.4800000000000004</v>
      </c>
      <c r="S18" s="115">
        <v>82</v>
      </c>
      <c r="T18" s="149">
        <f t="shared" ref="T18:T19" si="17">IF(Q18="","",IF(B18="","",IF(S18="","",IF(F18&gt;H18,((Q18-C18)*S18-G18),(H18-F18)))))</f>
        <v>33.459999999999923</v>
      </c>
      <c r="U18" s="150">
        <f t="shared" ca="1" si="9"/>
        <v>6.0000000000000497E-2</v>
      </c>
      <c r="V18" s="151"/>
      <c r="W18" s="217"/>
    </row>
    <row r="19" spans="1:23" ht="45" customHeight="1">
      <c r="A19" s="152">
        <v>44420</v>
      </c>
      <c r="B19" s="107" t="s">
        <v>42</v>
      </c>
      <c r="C19" s="153">
        <v>1.53</v>
      </c>
      <c r="D19" s="139">
        <v>601</v>
      </c>
      <c r="E19" s="140">
        <f t="shared" si="15"/>
        <v>5</v>
      </c>
      <c r="F19" s="141">
        <f t="shared" si="1"/>
        <v>924.53</v>
      </c>
      <c r="G19" s="53">
        <f t="shared" si="16"/>
        <v>5</v>
      </c>
      <c r="H19" s="142">
        <f t="shared" si="3"/>
        <v>971.625</v>
      </c>
      <c r="I19" s="143" t="str">
        <f t="shared" si="4"/>
        <v/>
      </c>
      <c r="J19" s="144" t="str">
        <f t="shared" si="5"/>
        <v/>
      </c>
      <c r="K19" s="145" t="s">
        <v>64</v>
      </c>
      <c r="L19" s="57" t="s">
        <v>64</v>
      </c>
      <c r="M19" s="146">
        <f ca="1">IFERROR(__xludf.DUMMYFUNCTION("(IFERROR(GOOGLEFINANCE(""ASX:""&amp;B19,""closeyest""),""""))"),1.3)</f>
        <v>1.3</v>
      </c>
      <c r="N19" s="147">
        <v>44484</v>
      </c>
      <c r="O19" s="111" t="str">
        <f t="shared" si="6"/>
        <v>RMS</v>
      </c>
      <c r="P19" s="112">
        <f t="shared" ca="1" si="7"/>
        <v>-0.24500000000000011</v>
      </c>
      <c r="Q19" s="148">
        <v>1.625</v>
      </c>
      <c r="R19" s="114">
        <f ca="1">IFERROR(__xludf.DUMMYFUNCTION("(IFERROR(GOOGLEFINANCE(""ASX:""&amp;B19,""price""),""""))"),1.38)</f>
        <v>1.38</v>
      </c>
      <c r="S19" s="115">
        <v>601</v>
      </c>
      <c r="T19" s="149">
        <f t="shared" si="17"/>
        <v>47.095000000000027</v>
      </c>
      <c r="U19" s="150">
        <f t="shared" ca="1" si="9"/>
        <v>7.9999999999999849E-2</v>
      </c>
      <c r="V19" s="151"/>
      <c r="W19" s="217"/>
    </row>
    <row r="20" spans="1:23" ht="45" customHeight="1">
      <c r="A20" s="154">
        <v>44474</v>
      </c>
      <c r="B20" s="120" t="s">
        <v>42</v>
      </c>
      <c r="C20" s="155">
        <v>2.5000000000000001E-2</v>
      </c>
      <c r="D20" s="156">
        <v>601</v>
      </c>
      <c r="E20" s="140">
        <v>0</v>
      </c>
      <c r="F20" s="141">
        <f t="shared" si="1"/>
        <v>15.025</v>
      </c>
      <c r="G20" s="53">
        <v>0</v>
      </c>
      <c r="H20" s="142">
        <f t="shared" si="3"/>
        <v>15.025</v>
      </c>
      <c r="I20" s="143" t="str">
        <f t="shared" si="4"/>
        <v/>
      </c>
      <c r="J20" s="144" t="str">
        <f t="shared" si="5"/>
        <v/>
      </c>
      <c r="K20" s="145" t="s">
        <v>64</v>
      </c>
      <c r="L20" s="57" t="s">
        <v>64</v>
      </c>
      <c r="M20" s="146">
        <f ca="1">IFERROR(__xludf.DUMMYFUNCTION("(IFERROR(GOOGLEFINANCE(""ASX:""&amp;B20,""closeyest""),""""))"),1.3)</f>
        <v>1.3</v>
      </c>
      <c r="N20" s="157">
        <v>44474</v>
      </c>
      <c r="O20" s="111" t="str">
        <f t="shared" si="6"/>
        <v>RMS</v>
      </c>
      <c r="P20" s="112" t="str">
        <f t="shared" si="7"/>
        <v>D</v>
      </c>
      <c r="Q20" s="158">
        <v>2.5000000000000001E-2</v>
      </c>
      <c r="R20" s="114">
        <f ca="1">IFERROR(__xludf.DUMMYFUNCTION("(IFERROR(GOOGLEFINANCE(""ASX:""&amp;B20,""price""),""""))"),1.38)</f>
        <v>1.38</v>
      </c>
      <c r="S20" s="159">
        <v>601</v>
      </c>
      <c r="T20" s="149">
        <v>15.025</v>
      </c>
      <c r="U20" s="150">
        <f t="shared" ca="1" si="9"/>
        <v>7.9999999999999849E-2</v>
      </c>
      <c r="V20" s="151"/>
      <c r="W20" s="217"/>
    </row>
    <row r="21" spans="1:23" ht="45" customHeight="1">
      <c r="A21" s="154">
        <v>44473</v>
      </c>
      <c r="B21" s="120" t="s">
        <v>40</v>
      </c>
      <c r="C21" s="155">
        <v>0.28000000000000003</v>
      </c>
      <c r="D21" s="156">
        <v>38</v>
      </c>
      <c r="E21" s="140">
        <v>0</v>
      </c>
      <c r="F21" s="141">
        <f t="shared" si="1"/>
        <v>10.64</v>
      </c>
      <c r="G21" s="53">
        <v>0</v>
      </c>
      <c r="H21" s="142">
        <f t="shared" si="3"/>
        <v>10.64</v>
      </c>
      <c r="I21" s="143" t="str">
        <f t="shared" si="4"/>
        <v/>
      </c>
      <c r="J21" s="144" t="str">
        <f t="shared" si="5"/>
        <v/>
      </c>
      <c r="K21" s="145" t="s">
        <v>64</v>
      </c>
      <c r="L21" s="57" t="s">
        <v>64</v>
      </c>
      <c r="M21" s="146">
        <f ca="1">IFERROR(__xludf.DUMMYFUNCTION("(IFERROR(GOOGLEFINANCE(""ASX:""&amp;B21,""closeyest""),""""))"),15.75)</f>
        <v>15.75</v>
      </c>
      <c r="N21" s="157">
        <v>44473</v>
      </c>
      <c r="O21" s="111" t="str">
        <f t="shared" si="6"/>
        <v>COL</v>
      </c>
      <c r="P21" s="112" t="str">
        <f t="shared" si="7"/>
        <v>D</v>
      </c>
      <c r="Q21" s="158">
        <v>0.28000000000000003</v>
      </c>
      <c r="R21" s="114">
        <f ca="1">IFERROR(__xludf.DUMMYFUNCTION("(IFERROR(GOOGLEFINANCE(""ASX:""&amp;B21,""price""),""""))"),15.91)</f>
        <v>15.91</v>
      </c>
      <c r="S21" s="159">
        <v>38</v>
      </c>
      <c r="T21" s="149">
        <v>10.64</v>
      </c>
      <c r="U21" s="150">
        <f t="shared" ca="1" si="9"/>
        <v>0.16000000000000014</v>
      </c>
      <c r="V21" s="151"/>
      <c r="W21" s="217"/>
    </row>
    <row r="22" spans="1:23" ht="45" customHeight="1">
      <c r="A22" s="154">
        <v>44470</v>
      </c>
      <c r="B22" s="120" t="s">
        <v>38</v>
      </c>
      <c r="C22" s="155">
        <v>4.6300000000000001E-2</v>
      </c>
      <c r="D22" s="156">
        <v>304</v>
      </c>
      <c r="E22" s="140">
        <v>0</v>
      </c>
      <c r="F22" s="141">
        <f t="shared" si="1"/>
        <v>14.075200000000001</v>
      </c>
      <c r="G22" s="53">
        <v>0</v>
      </c>
      <c r="H22" s="142">
        <f t="shared" si="3"/>
        <v>14.075200000000001</v>
      </c>
      <c r="I22" s="143" t="str">
        <f t="shared" si="4"/>
        <v/>
      </c>
      <c r="J22" s="144" t="str">
        <f t="shared" si="5"/>
        <v/>
      </c>
      <c r="K22" s="145" t="s">
        <v>64</v>
      </c>
      <c r="L22" s="57" t="s">
        <v>64</v>
      </c>
      <c r="M22" s="146">
        <f ca="1">IFERROR(__xludf.DUMMYFUNCTION("(IFERROR(GOOGLEFINANCE(""ASX:""&amp;B22,""closeyest""),""""))"),2.55)</f>
        <v>2.5499999999999998</v>
      </c>
      <c r="N22" s="157">
        <v>44470</v>
      </c>
      <c r="O22" s="111" t="str">
        <f t="shared" si="6"/>
        <v>REG</v>
      </c>
      <c r="P22" s="112" t="str">
        <f t="shared" si="7"/>
        <v>D</v>
      </c>
      <c r="Q22" s="158">
        <v>4.6300000000000001E-2</v>
      </c>
      <c r="R22" s="114">
        <f ca="1">IFERROR(__xludf.DUMMYFUNCTION("(IFERROR(GOOGLEFINANCE(""ASX:""&amp;B22,""price""),""""))"),2.66)</f>
        <v>2.66</v>
      </c>
      <c r="S22" s="159">
        <v>304</v>
      </c>
      <c r="T22" s="149">
        <v>14.075200000000001</v>
      </c>
      <c r="U22" s="150">
        <f t="shared" ca="1" si="9"/>
        <v>0.11000000000000032</v>
      </c>
      <c r="V22" s="151"/>
      <c r="W22" s="217"/>
    </row>
    <row r="23" spans="1:23" ht="45" customHeight="1">
      <c r="A23" s="154">
        <v>44469</v>
      </c>
      <c r="B23" s="120" t="s">
        <v>39</v>
      </c>
      <c r="C23" s="155">
        <v>7.0000000000000007E-2</v>
      </c>
      <c r="D23" s="156">
        <v>199</v>
      </c>
      <c r="E23" s="140">
        <v>0</v>
      </c>
      <c r="F23" s="141">
        <f t="shared" si="1"/>
        <v>13.930000000000001</v>
      </c>
      <c r="G23" s="53">
        <v>0</v>
      </c>
      <c r="H23" s="142">
        <f t="shared" si="3"/>
        <v>13.930000000000001</v>
      </c>
      <c r="I23" s="143" t="str">
        <f t="shared" si="4"/>
        <v/>
      </c>
      <c r="J23" s="144" t="str">
        <f t="shared" si="5"/>
        <v/>
      </c>
      <c r="K23" s="145" t="s">
        <v>64</v>
      </c>
      <c r="L23" s="57" t="s">
        <v>64</v>
      </c>
      <c r="M23" s="146" t="str">
        <f ca="1">IFERROR(__xludf.DUMMYFUNCTION("(IFERROR(GOOGLEFINANCE(""ASX:""&amp;B23,""closeyest""),""""))"),"")</f>
        <v/>
      </c>
      <c r="N23" s="157">
        <v>44469</v>
      </c>
      <c r="O23" s="111" t="str">
        <f t="shared" si="6"/>
        <v>TGR</v>
      </c>
      <c r="P23" s="112" t="str">
        <f t="shared" si="7"/>
        <v>D</v>
      </c>
      <c r="Q23" s="158">
        <v>7.0000000000000007E-2</v>
      </c>
      <c r="R23" s="114" t="str">
        <f ca="1">IFERROR(__xludf.DUMMYFUNCTION("(IFERROR(GOOGLEFINANCE(""ASX:""&amp;B23,""price""),""""))"),"")</f>
        <v/>
      </c>
      <c r="S23" s="159">
        <v>199</v>
      </c>
      <c r="T23" s="149">
        <v>13.930000000000001</v>
      </c>
      <c r="U23" s="150" t="str">
        <f t="shared" ca="1" si="9"/>
        <v/>
      </c>
      <c r="V23" s="151"/>
      <c r="W23" s="217"/>
    </row>
    <row r="24" spans="1:23" ht="45" customHeight="1">
      <c r="A24" s="154">
        <v>44466</v>
      </c>
      <c r="B24" s="120" t="s">
        <v>28</v>
      </c>
      <c r="C24" s="155">
        <v>4.4999999999999998E-2</v>
      </c>
      <c r="D24" s="160" t="s">
        <v>43</v>
      </c>
      <c r="E24" s="140">
        <v>0</v>
      </c>
      <c r="F24" s="141">
        <f t="shared" si="1"/>
        <v>6.5249999999999995</v>
      </c>
      <c r="G24" s="53">
        <v>0</v>
      </c>
      <c r="H24" s="142">
        <f t="shared" si="3"/>
        <v>6.5249999999999995</v>
      </c>
      <c r="I24" s="143" t="str">
        <f t="shared" si="4"/>
        <v/>
      </c>
      <c r="J24" s="144" t="str">
        <f t="shared" si="5"/>
        <v/>
      </c>
      <c r="K24" s="145" t="s">
        <v>64</v>
      </c>
      <c r="L24" s="57" t="s">
        <v>64</v>
      </c>
      <c r="M24" s="146">
        <f ca="1">IFERROR(__xludf.DUMMYFUNCTION("(IFERROR(GOOGLEFINANCE(""ASX:""&amp;B24,""closeyest""),""""))"),1.35)</f>
        <v>1.35</v>
      </c>
      <c r="N24" s="157">
        <v>44466</v>
      </c>
      <c r="O24" s="111" t="str">
        <f t="shared" si="6"/>
        <v>APX</v>
      </c>
      <c r="P24" s="112" t="str">
        <f t="shared" si="7"/>
        <v>D</v>
      </c>
      <c r="Q24" s="158">
        <v>4.4999999999999998E-2</v>
      </c>
      <c r="R24" s="114">
        <f ca="1">IFERROR(__xludf.DUMMYFUNCTION("(IFERROR(GOOGLEFINANCE(""ASX:""&amp;B24,""price""),""""))"),1.41)</f>
        <v>1.41</v>
      </c>
      <c r="S24" s="161" t="s">
        <v>43</v>
      </c>
      <c r="T24" s="149">
        <v>6.5249999999999995</v>
      </c>
      <c r="U24" s="150">
        <f t="shared" ca="1" si="9"/>
        <v>5.9999999999999831E-2</v>
      </c>
      <c r="V24" s="151"/>
      <c r="W24" s="217"/>
    </row>
    <row r="25" spans="1:23" ht="45" customHeight="1">
      <c r="A25" s="154">
        <v>44461</v>
      </c>
      <c r="B25" s="120" t="s">
        <v>44</v>
      </c>
      <c r="C25" s="155">
        <v>7.6899999999999996E-2</v>
      </c>
      <c r="D25" s="156">
        <v>157</v>
      </c>
      <c r="E25" s="140">
        <v>0</v>
      </c>
      <c r="F25" s="141">
        <f t="shared" si="1"/>
        <v>12.0733</v>
      </c>
      <c r="G25" s="53">
        <v>0</v>
      </c>
      <c r="H25" s="142">
        <f t="shared" si="3"/>
        <v>12.0733</v>
      </c>
      <c r="I25" s="143" t="str">
        <f t="shared" si="4"/>
        <v/>
      </c>
      <c r="J25" s="144" t="str">
        <f t="shared" si="5"/>
        <v/>
      </c>
      <c r="K25" s="145" t="s">
        <v>64</v>
      </c>
      <c r="L25" s="57" t="s">
        <v>64</v>
      </c>
      <c r="M25" s="146">
        <f ca="1">IFERROR(__xludf.DUMMYFUNCTION("(IFERROR(GOOGLEFINANCE(""ASX:""&amp;B25,""closeyest""),""""))"),7.75)</f>
        <v>7.75</v>
      </c>
      <c r="N25" s="157">
        <v>44461</v>
      </c>
      <c r="O25" s="111" t="str">
        <f t="shared" si="6"/>
        <v>STO</v>
      </c>
      <c r="P25" s="112" t="str">
        <f t="shared" si="7"/>
        <v>D</v>
      </c>
      <c r="Q25" s="158">
        <v>7.6899999999999996E-2</v>
      </c>
      <c r="R25" s="114">
        <f ca="1">IFERROR(__xludf.DUMMYFUNCTION("(IFERROR(GOOGLEFINANCE(""ASX:""&amp;B25,""price""),""""))"),7.91)</f>
        <v>7.91</v>
      </c>
      <c r="S25" s="159">
        <v>157</v>
      </c>
      <c r="T25" s="149">
        <v>12.0733</v>
      </c>
      <c r="U25" s="150">
        <f t="shared" ca="1" si="9"/>
        <v>0.16000000000000014</v>
      </c>
      <c r="V25" s="151"/>
      <c r="W25" s="217"/>
    </row>
    <row r="26" spans="1:23" ht="45" customHeight="1">
      <c r="A26" s="137">
        <v>44412</v>
      </c>
      <c r="B26" s="107" t="s">
        <v>44</v>
      </c>
      <c r="C26" s="138">
        <v>6.42</v>
      </c>
      <c r="D26" s="139">
        <v>157</v>
      </c>
      <c r="E26" s="153">
        <v>5</v>
      </c>
      <c r="F26" s="141">
        <f t="shared" si="1"/>
        <v>1012.9399999999999</v>
      </c>
      <c r="G26" s="53">
        <f t="shared" ref="G26:G27" si="18">IF(Q26="","",IF(E26="","",5))</f>
        <v>5</v>
      </c>
      <c r="H26" s="142">
        <f t="shared" si="3"/>
        <v>1137.96</v>
      </c>
      <c r="I26" s="143" t="str">
        <f t="shared" si="4"/>
        <v/>
      </c>
      <c r="J26" s="144" t="str">
        <f t="shared" si="5"/>
        <v/>
      </c>
      <c r="K26" s="145" t="s">
        <v>64</v>
      </c>
      <c r="L26" s="57" t="s">
        <v>64</v>
      </c>
      <c r="M26" s="146">
        <f ca="1">IFERROR(__xludf.DUMMYFUNCTION("(IFERROR(GOOGLEFINANCE(""ASX:""&amp;B26,""closeyest""),""""))"),7.75)</f>
        <v>7.75</v>
      </c>
      <c r="N26" s="147">
        <v>44474</v>
      </c>
      <c r="O26" s="111" t="str">
        <f t="shared" si="6"/>
        <v>STO</v>
      </c>
      <c r="P26" s="112">
        <f t="shared" ca="1" si="7"/>
        <v>0.62999999999999989</v>
      </c>
      <c r="Q26" s="148">
        <v>7.28</v>
      </c>
      <c r="R26" s="114">
        <f ca="1">IFERROR(__xludf.DUMMYFUNCTION("(IFERROR(GOOGLEFINANCE(""ASX:""&amp;B26,""price""),""""))"),7.91)</f>
        <v>7.91</v>
      </c>
      <c r="S26" s="115">
        <v>157</v>
      </c>
      <c r="T26" s="149">
        <f t="shared" ref="T26:T35" si="19">IF(Q26="","",IF(B26="","",IF(S26="","",IF(F26&gt;H26,((Q26-C26)*S26-G26),(H26-F26)))))</f>
        <v>125.0200000000001</v>
      </c>
      <c r="U26" s="150">
        <f t="shared" ca="1" si="9"/>
        <v>0.16000000000000014</v>
      </c>
      <c r="V26" s="151"/>
      <c r="W26" s="217"/>
    </row>
    <row r="27" spans="1:23" ht="45" customHeight="1">
      <c r="A27" s="137">
        <v>44459</v>
      </c>
      <c r="B27" s="107" t="s">
        <v>35</v>
      </c>
      <c r="C27" s="153">
        <v>1.7</v>
      </c>
      <c r="D27" s="139">
        <v>56</v>
      </c>
      <c r="E27" s="153">
        <v>5</v>
      </c>
      <c r="F27" s="141">
        <f t="shared" si="1"/>
        <v>100.2</v>
      </c>
      <c r="G27" s="53">
        <f t="shared" si="18"/>
        <v>5</v>
      </c>
      <c r="H27" s="142">
        <f t="shared" si="3"/>
        <v>100.28</v>
      </c>
      <c r="I27" s="143" t="str">
        <f t="shared" si="4"/>
        <v/>
      </c>
      <c r="J27" s="144" t="str">
        <f t="shared" si="5"/>
        <v/>
      </c>
      <c r="K27" s="145" t="s">
        <v>64</v>
      </c>
      <c r="L27" s="57" t="s">
        <v>64</v>
      </c>
      <c r="M27" s="146">
        <f ca="1">IFERROR(__xludf.DUMMYFUNCTION("(IFERROR(GOOGLEFINANCE(""ASX:""&amp;B27,""closeyest""),""""))"),1.8)</f>
        <v>1.8</v>
      </c>
      <c r="N27" s="147">
        <v>44473</v>
      </c>
      <c r="O27" s="111" t="str">
        <f t="shared" si="6"/>
        <v>ASB</v>
      </c>
      <c r="P27" s="112">
        <f t="shared" ca="1" si="7"/>
        <v>-7.9999999999999849E-2</v>
      </c>
      <c r="Q27" s="148">
        <v>1.88</v>
      </c>
      <c r="R27" s="114">
        <f ca="1">IFERROR(__xludf.DUMMYFUNCTION("(IFERROR(GOOGLEFINANCE(""ASX:""&amp;B27,""price""),""""))"),1.8)</f>
        <v>1.8</v>
      </c>
      <c r="S27" s="115">
        <v>56</v>
      </c>
      <c r="T27" s="149">
        <f t="shared" si="19"/>
        <v>7.9999999999998295E-2</v>
      </c>
      <c r="U27" s="150">
        <f t="shared" ca="1" si="9"/>
        <v>0</v>
      </c>
      <c r="V27" s="151"/>
      <c r="W27" s="217"/>
    </row>
    <row r="28" spans="1:23" ht="45" customHeight="1">
      <c r="A28" s="137">
        <v>44323</v>
      </c>
      <c r="B28" s="124" t="s">
        <v>31</v>
      </c>
      <c r="C28" s="138">
        <v>9.0500000000000007</v>
      </c>
      <c r="D28" s="139">
        <v>111</v>
      </c>
      <c r="E28" s="153">
        <v>5</v>
      </c>
      <c r="F28" s="141">
        <f t="shared" si="1"/>
        <v>1009.5500000000001</v>
      </c>
      <c r="G28" s="53" t="str">
        <f t="shared" ref="G28:G36" si="20">IF(Q28="","",IF(E28="","",IF(E28&lt;6,"$5",IF(S28="",IF(L28*Q28&gt;1010.84,"$20","$10"),IF(L28="",IF(Q28*S28&gt;1010.85,"$20","$10"))))))</f>
        <v>$5</v>
      </c>
      <c r="H28" s="142">
        <f t="shared" si="3"/>
        <v>1049.5</v>
      </c>
      <c r="I28" s="143" t="str">
        <f t="shared" ref="I28:I35" si="21">IF(J28="","",((R28*D28)-F28-(IF(E28&lt;6,"5",IF(E28&gt;15,"20","10")))))</f>
        <v/>
      </c>
      <c r="J28" s="144" t="str">
        <f t="shared" ref="J28:J38" si="22">IF(B28="","",IF(Q28="",((R28*D28)-E28),""))</f>
        <v/>
      </c>
      <c r="K28" s="145" t="s">
        <v>64</v>
      </c>
      <c r="L28" s="57" t="s">
        <v>64</v>
      </c>
      <c r="M28" s="146">
        <f ca="1">IFERROR(__xludf.DUMMYFUNCTION("(IFERROR(GOOGLEFINANCE(""ASX:""&amp;B28,""closeyest""),""""))"),4.37)</f>
        <v>4.37</v>
      </c>
      <c r="N28" s="147">
        <v>44431</v>
      </c>
      <c r="O28" s="162" t="str">
        <f t="shared" si="6"/>
        <v>AEF</v>
      </c>
      <c r="P28" s="112">
        <f t="shared" ca="1" si="7"/>
        <v>-4.74</v>
      </c>
      <c r="Q28" s="163">
        <v>9.5</v>
      </c>
      <c r="R28" s="164">
        <f ca="1">IFERROR(__xludf.DUMMYFUNCTION("(IFERROR(GOOGLEFINANCE(""ASX:""&amp;B28,""price""),""""))"),4.76)</f>
        <v>4.76</v>
      </c>
      <c r="S28" s="115">
        <v>111</v>
      </c>
      <c r="T28" s="149">
        <f t="shared" si="19"/>
        <v>39.949999999999932</v>
      </c>
      <c r="U28" s="150">
        <f t="shared" ca="1" si="9"/>
        <v>0.38999999999999968</v>
      </c>
      <c r="V28" s="151"/>
      <c r="W28" s="217"/>
    </row>
    <row r="29" spans="1:23" ht="45" customHeight="1">
      <c r="A29" s="137">
        <v>44417</v>
      </c>
      <c r="B29" s="107" t="s">
        <v>45</v>
      </c>
      <c r="C29" s="153">
        <v>4.28</v>
      </c>
      <c r="D29" s="139">
        <v>210</v>
      </c>
      <c r="E29" s="153">
        <v>5</v>
      </c>
      <c r="F29" s="141">
        <f t="shared" si="1"/>
        <v>903.80000000000007</v>
      </c>
      <c r="G29" s="53" t="str">
        <f t="shared" si="20"/>
        <v>$5</v>
      </c>
      <c r="H29" s="142">
        <f t="shared" si="3"/>
        <v>908.49999999999989</v>
      </c>
      <c r="I29" s="143" t="str">
        <f t="shared" si="21"/>
        <v/>
      </c>
      <c r="J29" s="144" t="str">
        <f t="shared" si="22"/>
        <v/>
      </c>
      <c r="K29" s="145" t="s">
        <v>64</v>
      </c>
      <c r="L29" s="57" t="s">
        <v>64</v>
      </c>
      <c r="M29" s="146">
        <f ca="1">IFERROR(__xludf.DUMMYFUNCTION("(IFERROR(GOOGLEFINANCE(""ASX:""&amp;B29,""closeyest""),""""))"),8.6)</f>
        <v>8.6</v>
      </c>
      <c r="N29" s="147">
        <v>44420</v>
      </c>
      <c r="O29" s="162" t="str">
        <f t="shared" si="6"/>
        <v>ORG</v>
      </c>
      <c r="P29" s="112">
        <f t="shared" ca="1" si="7"/>
        <v>4.2900000000000009</v>
      </c>
      <c r="Q29" s="163">
        <v>4.3499999999999996</v>
      </c>
      <c r="R29" s="164">
        <f ca="1">IFERROR(__xludf.DUMMYFUNCTION("(IFERROR(GOOGLEFINANCE(""ASX:""&amp;B29,""price""),""""))"),8.64)</f>
        <v>8.64</v>
      </c>
      <c r="S29" s="115">
        <v>210</v>
      </c>
      <c r="T29" s="149">
        <f t="shared" si="19"/>
        <v>4.6999999999998181</v>
      </c>
      <c r="U29" s="150">
        <f t="shared" ca="1" si="9"/>
        <v>4.0000000000000924E-2</v>
      </c>
      <c r="V29" s="151"/>
      <c r="W29" s="217"/>
    </row>
    <row r="30" spans="1:23" ht="45" customHeight="1">
      <c r="A30" s="137">
        <v>44403</v>
      </c>
      <c r="B30" s="107" t="s">
        <v>46</v>
      </c>
      <c r="C30" s="153">
        <v>39.5</v>
      </c>
      <c r="D30" s="139">
        <v>18</v>
      </c>
      <c r="E30" s="153">
        <v>5</v>
      </c>
      <c r="F30" s="141">
        <f t="shared" si="1"/>
        <v>716</v>
      </c>
      <c r="G30" s="53" t="str">
        <f t="shared" si="20"/>
        <v>$5</v>
      </c>
      <c r="H30" s="142">
        <f t="shared" si="3"/>
        <v>717.16</v>
      </c>
      <c r="I30" s="143" t="str">
        <f t="shared" si="21"/>
        <v/>
      </c>
      <c r="J30" s="144" t="str">
        <f t="shared" si="22"/>
        <v/>
      </c>
      <c r="K30" s="145" t="s">
        <v>64</v>
      </c>
      <c r="L30" s="57" t="s">
        <v>64</v>
      </c>
      <c r="M30" s="146">
        <f ca="1">IFERROR(__xludf.DUMMYFUNCTION("(IFERROR(GOOGLEFINANCE(""ASX:""&amp;B30,""closeyest""),""""))"),37.63)</f>
        <v>37.630000000000003</v>
      </c>
      <c r="N30" s="147">
        <v>44419</v>
      </c>
      <c r="O30" s="162" t="str">
        <f t="shared" si="6"/>
        <v>WOW</v>
      </c>
      <c r="P30" s="112">
        <f t="shared" ca="1" si="7"/>
        <v>-2.1999999999999957</v>
      </c>
      <c r="Q30" s="163">
        <v>40.119999999999997</v>
      </c>
      <c r="R30" s="164">
        <f ca="1">IFERROR(__xludf.DUMMYFUNCTION("(IFERROR(GOOGLEFINANCE(""ASX:""&amp;B30,""price""),""""))"),37.92)</f>
        <v>37.92</v>
      </c>
      <c r="S30" s="115">
        <v>18</v>
      </c>
      <c r="T30" s="149">
        <f t="shared" si="19"/>
        <v>1.1599999999999682</v>
      </c>
      <c r="U30" s="150">
        <f t="shared" ca="1" si="9"/>
        <v>0.28999999999999915</v>
      </c>
      <c r="V30" s="151"/>
      <c r="W30" s="217"/>
    </row>
    <row r="31" spans="1:23" ht="45" customHeight="1">
      <c r="A31" s="165">
        <v>44411</v>
      </c>
      <c r="B31" s="127" t="s">
        <v>47</v>
      </c>
      <c r="C31" s="166">
        <v>0</v>
      </c>
      <c r="D31" s="167">
        <v>9</v>
      </c>
      <c r="E31" s="168">
        <v>0</v>
      </c>
      <c r="F31" s="141">
        <f t="shared" si="1"/>
        <v>0</v>
      </c>
      <c r="G31" s="53" t="str">
        <f t="shared" si="20"/>
        <v>$5</v>
      </c>
      <c r="H31" s="142">
        <f t="shared" si="3"/>
        <v>22.54</v>
      </c>
      <c r="I31" s="143" t="str">
        <f t="shared" si="21"/>
        <v/>
      </c>
      <c r="J31" s="144" t="str">
        <f t="shared" si="22"/>
        <v/>
      </c>
      <c r="K31" s="145" t="s">
        <v>64</v>
      </c>
      <c r="L31" s="57" t="s">
        <v>64</v>
      </c>
      <c r="M31" s="146">
        <f ca="1">IFERROR(__xludf.DUMMYFUNCTION("(IFERROR(GOOGLEFINANCE(""ASX:""&amp;B31,""closeyest""),""""))"),3.55)</f>
        <v>3.55</v>
      </c>
      <c r="N31" s="147">
        <v>44412</v>
      </c>
      <c r="O31" s="162" t="str">
        <f t="shared" si="6"/>
        <v>ABB</v>
      </c>
      <c r="P31" s="112">
        <f t="shared" ca="1" si="7"/>
        <v>0.66000000000000014</v>
      </c>
      <c r="Q31" s="163">
        <v>3.06</v>
      </c>
      <c r="R31" s="164">
        <f ca="1">IFERROR(__xludf.DUMMYFUNCTION("(IFERROR(GOOGLEFINANCE(""ASX:""&amp;B31,""price""),""""))"),3.72)</f>
        <v>3.72</v>
      </c>
      <c r="S31" s="115">
        <v>9</v>
      </c>
      <c r="T31" s="149">
        <f t="shared" si="19"/>
        <v>22.54</v>
      </c>
      <c r="U31" s="150">
        <f t="shared" ca="1" si="9"/>
        <v>0.17000000000000037</v>
      </c>
      <c r="V31" s="151"/>
      <c r="W31" s="217"/>
    </row>
    <row r="32" spans="1:23" ht="45" customHeight="1">
      <c r="A32" s="137">
        <v>44295</v>
      </c>
      <c r="B32" s="124" t="s">
        <v>48</v>
      </c>
      <c r="C32" s="138">
        <v>1.7849999999999999</v>
      </c>
      <c r="D32" s="139">
        <v>504</v>
      </c>
      <c r="E32" s="153">
        <v>10</v>
      </c>
      <c r="F32" s="141">
        <f t="shared" si="1"/>
        <v>909.64</v>
      </c>
      <c r="G32" s="53" t="str">
        <f t="shared" si="20"/>
        <v>$10</v>
      </c>
      <c r="H32" s="142">
        <f t="shared" si="3"/>
        <v>947.59999999999991</v>
      </c>
      <c r="I32" s="143" t="str">
        <f t="shared" si="21"/>
        <v/>
      </c>
      <c r="J32" s="144" t="str">
        <f t="shared" si="22"/>
        <v/>
      </c>
      <c r="K32" s="145" t="s">
        <v>64</v>
      </c>
      <c r="L32" s="57" t="s">
        <v>64</v>
      </c>
      <c r="M32" s="146">
        <f ca="1">IFERROR(__xludf.DUMMYFUNCTION("(IFERROR(GOOGLEFINANCE(""ASX:""&amp;B32,""closeyest""),""""))"),0.45)</f>
        <v>0.45</v>
      </c>
      <c r="N32" s="147">
        <v>44412</v>
      </c>
      <c r="O32" s="162" t="str">
        <f t="shared" si="6"/>
        <v>RZI</v>
      </c>
      <c r="P32" s="112">
        <f t="shared" ca="1" si="7"/>
        <v>-1.46</v>
      </c>
      <c r="Q32" s="163">
        <v>1.9</v>
      </c>
      <c r="R32" s="164">
        <f ca="1">IFERROR(__xludf.DUMMYFUNCTION("(IFERROR(GOOGLEFINANCE(""ASX:""&amp;B32,""price""),""""))"),0.44)</f>
        <v>0.44</v>
      </c>
      <c r="S32" s="115">
        <v>504</v>
      </c>
      <c r="T32" s="149">
        <f t="shared" si="19"/>
        <v>37.959999999999923</v>
      </c>
      <c r="U32" s="150">
        <f t="shared" ca="1" si="9"/>
        <v>-1.0000000000000009E-2</v>
      </c>
      <c r="V32" s="151"/>
      <c r="W32" s="217"/>
    </row>
    <row r="33" spans="1:23" ht="45" customHeight="1">
      <c r="A33" s="169">
        <v>44379</v>
      </c>
      <c r="B33" s="170" t="s">
        <v>47</v>
      </c>
      <c r="C33" s="171">
        <v>2.92</v>
      </c>
      <c r="D33" s="172">
        <v>342</v>
      </c>
      <c r="E33" s="173">
        <v>5</v>
      </c>
      <c r="F33" s="141">
        <f t="shared" si="1"/>
        <v>1003.64</v>
      </c>
      <c r="G33" s="53" t="str">
        <f t="shared" si="20"/>
        <v>$5</v>
      </c>
      <c r="H33" s="142">
        <f t="shared" si="3"/>
        <v>1003.9899999999999</v>
      </c>
      <c r="I33" s="143" t="str">
        <f t="shared" si="21"/>
        <v/>
      </c>
      <c r="J33" s="174" t="str">
        <f t="shared" si="22"/>
        <v/>
      </c>
      <c r="K33" s="145" t="s">
        <v>64</v>
      </c>
      <c r="L33" s="57" t="s">
        <v>64</v>
      </c>
      <c r="M33" s="146">
        <f ca="1">IFERROR(__xludf.DUMMYFUNCTION("(IFERROR(GOOGLEFINANCE(""ASX:""&amp;B33,""closeyest""),""""))"),3.55)</f>
        <v>3.55</v>
      </c>
      <c r="N33" s="147">
        <v>44411</v>
      </c>
      <c r="O33" s="162" t="str">
        <f t="shared" si="6"/>
        <v>ABB</v>
      </c>
      <c r="P33" s="112">
        <f t="shared" ca="1" si="7"/>
        <v>0.69000000000000039</v>
      </c>
      <c r="Q33" s="163">
        <v>3.03</v>
      </c>
      <c r="R33" s="164">
        <f ca="1">IFERROR(__xludf.DUMMYFUNCTION("(IFERROR(GOOGLEFINANCE(""ASX:""&amp;B33,""price""),""""))"),3.72)</f>
        <v>3.72</v>
      </c>
      <c r="S33" s="115">
        <v>333</v>
      </c>
      <c r="T33" s="149">
        <f t="shared" si="19"/>
        <v>0.34999999999990905</v>
      </c>
      <c r="U33" s="150">
        <f t="shared" ca="1" si="9"/>
        <v>0.17000000000000037</v>
      </c>
      <c r="V33" s="151"/>
      <c r="W33" s="217"/>
    </row>
    <row r="34" spans="1:23" ht="45" customHeight="1">
      <c r="A34" s="169">
        <v>44383</v>
      </c>
      <c r="B34" s="131" t="s">
        <v>49</v>
      </c>
      <c r="C34" s="171">
        <v>28.42</v>
      </c>
      <c r="D34" s="172">
        <v>29</v>
      </c>
      <c r="E34" s="173">
        <v>5</v>
      </c>
      <c r="F34" s="141">
        <f t="shared" si="1"/>
        <v>829.18000000000006</v>
      </c>
      <c r="G34" s="53" t="str">
        <f t="shared" si="20"/>
        <v>$5</v>
      </c>
      <c r="H34" s="142">
        <f t="shared" si="3"/>
        <v>889.65000000000009</v>
      </c>
      <c r="I34" s="143" t="str">
        <f t="shared" si="21"/>
        <v/>
      </c>
      <c r="J34" s="174" t="str">
        <f t="shared" si="22"/>
        <v/>
      </c>
      <c r="K34" s="145" t="s">
        <v>64</v>
      </c>
      <c r="L34" s="57" t="s">
        <v>64</v>
      </c>
      <c r="M34" s="146">
        <f ca="1">IFERROR(__xludf.DUMMYFUNCTION("(IFERROR(GOOGLEFINANCE(""ASX:""&amp;B34,""closeyest""),""""))"),19.76)</f>
        <v>19.760000000000002</v>
      </c>
      <c r="N34" s="147">
        <v>44403</v>
      </c>
      <c r="O34" s="162" t="str">
        <f t="shared" si="6"/>
        <v>FPH</v>
      </c>
      <c r="P34" s="112">
        <f t="shared" ca="1" si="7"/>
        <v>-11.09</v>
      </c>
      <c r="Q34" s="148">
        <v>30.85</v>
      </c>
      <c r="R34" s="164">
        <f ca="1">IFERROR(__xludf.DUMMYFUNCTION("(IFERROR(GOOGLEFINANCE(""ASX:""&amp;B34,""price""),""""))"),19.76)</f>
        <v>19.760000000000002</v>
      </c>
      <c r="S34" s="115">
        <v>29</v>
      </c>
      <c r="T34" s="149">
        <f t="shared" si="19"/>
        <v>60.470000000000027</v>
      </c>
      <c r="U34" s="150">
        <f t="shared" ca="1" si="9"/>
        <v>0</v>
      </c>
      <c r="V34" s="151"/>
      <c r="W34" s="217"/>
    </row>
    <row r="35" spans="1:23" ht="45" customHeight="1">
      <c r="A35" s="169">
        <v>44397</v>
      </c>
      <c r="B35" s="131" t="s">
        <v>27</v>
      </c>
      <c r="C35" s="171">
        <v>2</v>
      </c>
      <c r="D35" s="172">
        <v>350</v>
      </c>
      <c r="E35" s="173">
        <v>5</v>
      </c>
      <c r="F35" s="141">
        <f t="shared" si="1"/>
        <v>705</v>
      </c>
      <c r="G35" s="53" t="str">
        <f t="shared" si="20"/>
        <v>$5</v>
      </c>
      <c r="H35" s="142">
        <f t="shared" si="3"/>
        <v>730</v>
      </c>
      <c r="I35" s="143" t="str">
        <f t="shared" si="21"/>
        <v/>
      </c>
      <c r="J35" s="174" t="str">
        <f t="shared" si="22"/>
        <v/>
      </c>
      <c r="K35" s="145" t="s">
        <v>64</v>
      </c>
      <c r="L35" s="57" t="s">
        <v>64</v>
      </c>
      <c r="M35" s="146">
        <f ca="1">IFERROR(__xludf.DUMMYFUNCTION("(IFERROR(GOOGLEFINANCE(""ASX:""&amp;B35,""closeyest""),""""))"),0.31)</f>
        <v>0.31</v>
      </c>
      <c r="N35" s="147">
        <v>44400</v>
      </c>
      <c r="O35" s="162" t="str">
        <f t="shared" si="6"/>
        <v>E25</v>
      </c>
      <c r="P35" s="112">
        <f t="shared" ca="1" si="7"/>
        <v>-1.6400000000000001</v>
      </c>
      <c r="Q35" s="163">
        <v>2.1</v>
      </c>
      <c r="R35" s="164">
        <f ca="1">IFERROR(__xludf.DUMMYFUNCTION("(IFERROR(GOOGLEFINANCE(""ASX:""&amp;B35,""price""),""""))"),0.46)</f>
        <v>0.46</v>
      </c>
      <c r="S35" s="115">
        <v>350</v>
      </c>
      <c r="T35" s="149">
        <f t="shared" si="19"/>
        <v>25</v>
      </c>
      <c r="U35" s="150">
        <f t="shared" ca="1" si="9"/>
        <v>0.15000000000000002</v>
      </c>
      <c r="V35" s="151"/>
      <c r="W35" s="217"/>
    </row>
    <row r="36" spans="1:23" ht="45" customHeight="1">
      <c r="A36" s="169">
        <v>44278</v>
      </c>
      <c r="B36" s="170" t="s">
        <v>50</v>
      </c>
      <c r="C36" s="171">
        <v>0.18360000000000001</v>
      </c>
      <c r="D36" s="172">
        <v>7700</v>
      </c>
      <c r="E36" s="173">
        <v>20</v>
      </c>
      <c r="F36" s="141">
        <f t="shared" si="1"/>
        <v>1433.72</v>
      </c>
      <c r="G36" s="53" t="str">
        <f t="shared" si="20"/>
        <v>$20</v>
      </c>
      <c r="H36" s="142">
        <f t="shared" si="3"/>
        <v>1443</v>
      </c>
      <c r="I36" s="143" t="str">
        <f t="shared" ref="I36:I38" si="23">IF(J36="","",((R36*D36)-F36-E36))</f>
        <v/>
      </c>
      <c r="J36" s="174" t="str">
        <f t="shared" si="22"/>
        <v/>
      </c>
      <c r="K36" s="145" t="s">
        <v>64</v>
      </c>
      <c r="L36" s="57" t="s">
        <v>64</v>
      </c>
      <c r="M36" s="146">
        <f ca="1">IFERROR(__xludf.DUMMYFUNCTION("(IFERROR(GOOGLEFINANCE(""ASX:""&amp;B36,""closeyest""),""""))"),0.02)</f>
        <v>0.02</v>
      </c>
      <c r="N36" s="147">
        <v>44393</v>
      </c>
      <c r="O36" s="162" t="str">
        <f t="shared" si="6"/>
        <v>SPA</v>
      </c>
      <c r="P36" s="112">
        <f t="shared" ca="1" si="7"/>
        <v>-0.17</v>
      </c>
      <c r="Q36" s="163">
        <v>0.19</v>
      </c>
      <c r="R36" s="164">
        <f ca="1">IFERROR(__xludf.DUMMYFUNCTION("(IFERROR(GOOGLEFINANCE(""ASX:""&amp;B36,""price""),""""))"),0.02)</f>
        <v>0.02</v>
      </c>
      <c r="S36" s="115">
        <v>7700</v>
      </c>
      <c r="T36" s="149">
        <f t="shared" ref="T36:T38" si="24">IF(Q36="","",IF(B36="","",IF(S36="","",(H36-F36))))</f>
        <v>9.2799999999999727</v>
      </c>
      <c r="U36" s="150">
        <f t="shared" ca="1" si="9"/>
        <v>0</v>
      </c>
      <c r="V36" s="151"/>
      <c r="W36" s="217"/>
    </row>
    <row r="37" spans="1:23" ht="45" customHeight="1">
      <c r="A37" s="169">
        <v>44379</v>
      </c>
      <c r="B37" s="170" t="s">
        <v>51</v>
      </c>
      <c r="C37" s="171">
        <v>6.47</v>
      </c>
      <c r="D37" s="172">
        <v>155</v>
      </c>
      <c r="E37" s="173">
        <v>5</v>
      </c>
      <c r="F37" s="141">
        <f t="shared" si="1"/>
        <v>1007.8499999999999</v>
      </c>
      <c r="G37" s="175" t="str">
        <f t="shared" ref="G37:G40" si="25">IF(Q37="","",IF(E37="","",IF(E37=5,"$5",IF(S37="",IF(L37*Q37&gt;1010.84,"$20","$10"),IF(L37="",IF(Q37*S37&gt;1010.85,"$20","$10"))))))</f>
        <v>$5</v>
      </c>
      <c r="H37" s="142">
        <f t="shared" si="3"/>
        <v>1149.75</v>
      </c>
      <c r="I37" s="143" t="str">
        <f t="shared" si="23"/>
        <v/>
      </c>
      <c r="J37" s="144" t="str">
        <f t="shared" si="22"/>
        <v/>
      </c>
      <c r="K37" s="176" t="s">
        <v>64</v>
      </c>
      <c r="L37" s="177" t="s">
        <v>64</v>
      </c>
      <c r="M37" s="178">
        <f ca="1">IFERROR(__xludf.DUMMYFUNCTION("(IFERROR(GOOGLEFINANCE(""ASX:""&amp;B37,""closeyest""),""""))"),4.14)</f>
        <v>4.1399999999999997</v>
      </c>
      <c r="N37" s="179">
        <v>44390</v>
      </c>
      <c r="O37" s="162" t="str">
        <f t="shared" si="6"/>
        <v>SHV</v>
      </c>
      <c r="P37" s="112">
        <f t="shared" ca="1" si="7"/>
        <v>-3.3200000000000003</v>
      </c>
      <c r="Q37" s="180">
        <v>7.45</v>
      </c>
      <c r="R37" s="164">
        <f ca="1">IFERROR(__xludf.DUMMYFUNCTION("(IFERROR(GOOGLEFINANCE(""ASX:""&amp;B37,""price""),""""))"),4.13)</f>
        <v>4.13</v>
      </c>
      <c r="S37" s="181">
        <v>155</v>
      </c>
      <c r="T37" s="182">
        <f t="shared" si="24"/>
        <v>141.90000000000009</v>
      </c>
      <c r="U37" s="150">
        <f t="shared" ca="1" si="9"/>
        <v>-9.9999999999997868E-3</v>
      </c>
      <c r="V37" s="151"/>
      <c r="W37" s="217"/>
    </row>
    <row r="38" spans="1:23" ht="45" customHeight="1">
      <c r="A38" s="169">
        <v>44371</v>
      </c>
      <c r="B38" s="170" t="s">
        <v>52</v>
      </c>
      <c r="C38" s="171">
        <v>5.35</v>
      </c>
      <c r="D38" s="183">
        <v>156</v>
      </c>
      <c r="E38" s="173">
        <v>5</v>
      </c>
      <c r="F38" s="141">
        <f t="shared" si="1"/>
        <v>839.59999999999991</v>
      </c>
      <c r="G38" s="175" t="str">
        <f t="shared" si="25"/>
        <v>$5</v>
      </c>
      <c r="H38" s="142">
        <f t="shared" si="3"/>
        <v>853</v>
      </c>
      <c r="I38" s="143" t="str">
        <f t="shared" si="23"/>
        <v/>
      </c>
      <c r="J38" s="144" t="str">
        <f t="shared" si="22"/>
        <v/>
      </c>
      <c r="K38" s="176" t="s">
        <v>64</v>
      </c>
      <c r="L38" s="177" t="s">
        <v>64</v>
      </c>
      <c r="M38" s="178">
        <f ca="1">IFERROR(__xludf.DUMMYFUNCTION("(IFERROR(GOOGLEFINANCE(""ASX:""&amp;B38,""closeyest""),""""))"),6.52)</f>
        <v>6.52</v>
      </c>
      <c r="N38" s="179">
        <v>44383</v>
      </c>
      <c r="O38" s="162" t="str">
        <f t="shared" si="6"/>
        <v>CGF</v>
      </c>
      <c r="P38" s="112">
        <f t="shared" ca="1" si="7"/>
        <v>1.0599999999999996</v>
      </c>
      <c r="Q38" s="148">
        <v>5.5</v>
      </c>
      <c r="R38" s="164">
        <f ca="1">IFERROR(__xludf.DUMMYFUNCTION("(IFERROR(GOOGLEFINANCE(""ASX:""&amp;B38,""price""),""""))"),6.56)</f>
        <v>6.56</v>
      </c>
      <c r="S38" s="181">
        <v>156</v>
      </c>
      <c r="T38" s="182">
        <f t="shared" si="24"/>
        <v>13.400000000000091</v>
      </c>
      <c r="U38" s="150">
        <f t="shared" ca="1" si="9"/>
        <v>4.0000000000000036E-2</v>
      </c>
      <c r="V38" s="151"/>
      <c r="W38" s="217"/>
    </row>
    <row r="39" spans="1:23" ht="45" customHeight="1">
      <c r="A39" s="184">
        <v>44364</v>
      </c>
      <c r="B39" s="131" t="s">
        <v>37</v>
      </c>
      <c r="C39" s="185">
        <v>4.6749999999999998</v>
      </c>
      <c r="D39" s="183">
        <v>194</v>
      </c>
      <c r="E39" s="186">
        <v>5</v>
      </c>
      <c r="F39" s="187">
        <f t="shared" si="1"/>
        <v>911.94999999999993</v>
      </c>
      <c r="G39" s="188" t="str">
        <f t="shared" si="25"/>
        <v>$5</v>
      </c>
      <c r="H39" s="189">
        <f t="shared" si="3"/>
        <v>922.32</v>
      </c>
      <c r="I39" s="187" t="str">
        <f t="shared" ref="I39:I40" si="26">IF(S39="",((R39*D39)-F39-E39),"")</f>
        <v/>
      </c>
      <c r="J39" s="140" t="str">
        <f t="shared" ref="J39:J40" si="27">IF(B39="","",IF(S39="",((R39*D39)-E39),""))</f>
        <v/>
      </c>
      <c r="K39" s="185" t="s">
        <v>64</v>
      </c>
      <c r="L39" s="183" t="s">
        <v>64</v>
      </c>
      <c r="M39" s="178">
        <f ca="1">IFERROR(__xludf.DUMMYFUNCTION("(IFERROR(GOOGLEFINANCE(""ASX:""&amp;B39,""closeyest""),""""))"),5.59)</f>
        <v>5.59</v>
      </c>
      <c r="N39" s="190">
        <v>44379</v>
      </c>
      <c r="O39" s="191" t="str">
        <f t="shared" si="6"/>
        <v>QAN</v>
      </c>
      <c r="P39" s="112">
        <f t="shared" ca="1" si="7"/>
        <v>0.83000000000000007</v>
      </c>
      <c r="Q39" s="192">
        <v>4.78</v>
      </c>
      <c r="R39" s="193">
        <f ca="1">IFERROR(__xludf.DUMMYFUNCTION("(IFERROR(GOOGLEFINANCE(""ASX:""&amp;B39,""price""),""""))"),5.61)</f>
        <v>5.61</v>
      </c>
      <c r="S39" s="115">
        <v>194</v>
      </c>
      <c r="T39" s="194">
        <f t="shared" ref="T39:T40" si="28">IF(Q39="","",IF(S39="","",(H39-F39)))</f>
        <v>10.370000000000118</v>
      </c>
      <c r="U39" s="150">
        <f t="shared" ref="U39:U40" ca="1" si="29">R39-M39</f>
        <v>2.0000000000000462E-2</v>
      </c>
      <c r="V39" s="195"/>
      <c r="W39" s="217"/>
    </row>
    <row r="40" spans="1:23" ht="45" customHeight="1">
      <c r="A40" s="184">
        <v>44355</v>
      </c>
      <c r="B40" s="131" t="s">
        <v>33</v>
      </c>
      <c r="C40" s="185">
        <v>5.7</v>
      </c>
      <c r="D40" s="183">
        <v>170</v>
      </c>
      <c r="E40" s="186">
        <v>5</v>
      </c>
      <c r="F40" s="187">
        <f t="shared" si="1"/>
        <v>974</v>
      </c>
      <c r="G40" s="188" t="str">
        <f t="shared" si="25"/>
        <v>$5</v>
      </c>
      <c r="H40" s="189">
        <f t="shared" si="3"/>
        <v>1086.4000000000001</v>
      </c>
      <c r="I40" s="187" t="str">
        <f t="shared" si="26"/>
        <v/>
      </c>
      <c r="J40" s="140" t="str">
        <f t="shared" si="27"/>
        <v/>
      </c>
      <c r="K40" s="185" t="s">
        <v>64</v>
      </c>
      <c r="L40" s="183" t="s">
        <v>64</v>
      </c>
      <c r="M40" s="178">
        <f ca="1">IFERROR(__xludf.DUMMYFUNCTION("(IFERROR(GOOGLEFINANCE(""ASX:""&amp;B40,""closeyest""),""""))"),4.42)</f>
        <v>4.42</v>
      </c>
      <c r="N40" s="190">
        <v>44379</v>
      </c>
      <c r="O40" s="191" t="str">
        <f t="shared" si="6"/>
        <v>A2M</v>
      </c>
      <c r="P40" s="112">
        <f t="shared" ca="1" si="7"/>
        <v>-1.9399999999999995</v>
      </c>
      <c r="Q40" s="192">
        <v>6.42</v>
      </c>
      <c r="R40" s="193">
        <f ca="1">IFERROR(__xludf.DUMMYFUNCTION("(IFERROR(GOOGLEFINANCE(""ASX:""&amp;B40,""price""),""""))"),4.48)</f>
        <v>4.4800000000000004</v>
      </c>
      <c r="S40" s="115">
        <v>170</v>
      </c>
      <c r="T40" s="194">
        <f t="shared" si="28"/>
        <v>112.40000000000009</v>
      </c>
      <c r="U40" s="150">
        <f t="shared" ca="1" si="29"/>
        <v>6.0000000000000497E-2</v>
      </c>
      <c r="V40" s="195"/>
      <c r="W40" s="217"/>
    </row>
    <row r="41" spans="1:23" ht="24" customHeight="1">
      <c r="A41" s="196" t="s">
        <v>53</v>
      </c>
      <c r="B41" s="197" t="s">
        <v>13</v>
      </c>
      <c r="C41" s="198" t="s">
        <v>14</v>
      </c>
      <c r="D41" s="199" t="s">
        <v>15</v>
      </c>
      <c r="E41" s="200" t="s">
        <v>16</v>
      </c>
      <c r="F41" s="201" t="s">
        <v>54</v>
      </c>
      <c r="G41" s="202" t="s">
        <v>16</v>
      </c>
      <c r="H41" s="202" t="s">
        <v>17</v>
      </c>
      <c r="I41" s="197" t="s">
        <v>55</v>
      </c>
      <c r="J41" s="201" t="s">
        <v>56</v>
      </c>
      <c r="K41" s="198" t="s">
        <v>18</v>
      </c>
      <c r="L41" s="203" t="s">
        <v>19</v>
      </c>
      <c r="M41" s="204" t="s">
        <v>20</v>
      </c>
      <c r="N41" s="205" t="s">
        <v>21</v>
      </c>
      <c r="O41" s="206" t="str">
        <f t="shared" si="6"/>
        <v>code</v>
      </c>
      <c r="P41" s="207"/>
      <c r="Q41" s="208" t="s">
        <v>14</v>
      </c>
      <c r="R41" s="209" t="s">
        <v>6</v>
      </c>
      <c r="S41" s="210" t="s">
        <v>22</v>
      </c>
      <c r="T41" s="211" t="s">
        <v>23</v>
      </c>
      <c r="U41" s="212" t="s">
        <v>24</v>
      </c>
      <c r="V41" s="29" t="s">
        <v>57</v>
      </c>
      <c r="W41" s="217"/>
    </row>
    <row r="42" spans="1:23" ht="45" customHeight="1">
      <c r="A42" s="184"/>
      <c r="B42" s="131" t="s">
        <v>26</v>
      </c>
      <c r="C42" s="185">
        <v>13.4</v>
      </c>
      <c r="D42" s="183">
        <v>74</v>
      </c>
      <c r="E42" s="186">
        <v>10</v>
      </c>
      <c r="F42" s="187">
        <f t="shared" ref="F42:F57" si="30">IF(C42="","",(C42*D42+E42))</f>
        <v>1001.6</v>
      </c>
      <c r="G42" s="188" t="str">
        <f t="shared" ref="G42:G57" si="31">IF(Q42="","",IF(E42="","",IF(E42=5,"$5",IF(S42="",IF(L42*Q42&gt;1010.84,"$20","$10"),IF(L42="",IF(Q42*S42&gt;1010.85,"$20","$10"))))))</f>
        <v>$20</v>
      </c>
      <c r="H42" s="189">
        <f t="shared" ref="H42:H57" si="32">IF(Q42="","",IF(S42="",(Q42*L42-G42),(Q42*S42-G42)))</f>
        <v>1004.1600000000001</v>
      </c>
      <c r="I42" s="187" t="str">
        <f t="shared" ref="I42:I57" si="33">IF(S42="",((R42*D42)-F42-E42),"")</f>
        <v/>
      </c>
      <c r="J42" s="140" t="str">
        <f t="shared" ref="J42:J57" si="34">IF(B42="","",IF(S42="",((R42*D42)-E42),""))</f>
        <v/>
      </c>
      <c r="K42" s="185" t="s">
        <v>64</v>
      </c>
      <c r="L42" s="183" t="s">
        <v>64</v>
      </c>
      <c r="M42" s="178">
        <f ca="1">IFERROR(__xludf.DUMMYFUNCTION("(IFERROR(GOOGLEFINANCE(""ASX:""&amp;B42,""closeyest""),""""))"),0.73)</f>
        <v>0.73</v>
      </c>
      <c r="N42" s="190"/>
      <c r="O42" s="191" t="str">
        <f t="shared" si="6"/>
        <v>PBH</v>
      </c>
      <c r="P42" s="112">
        <f t="shared" ref="P42:P57" ca="1" si="35">IF(K42="",(R42-Q42),"")</f>
        <v>-13.07</v>
      </c>
      <c r="Q42" s="192">
        <v>13.84</v>
      </c>
      <c r="R42" s="193">
        <f ca="1">IFERROR(__xludf.DUMMYFUNCTION("IFERROR(GOOGLEFINANCE(""ASX:""&amp;B42,""price""),"""")"),0.77)</f>
        <v>0.77</v>
      </c>
      <c r="S42" s="115">
        <v>74</v>
      </c>
      <c r="T42" s="194">
        <f t="shared" ref="T42:T57" si="36">IF(Q42="","",IF(S42="","",(H42-F42)))</f>
        <v>2.5600000000000591</v>
      </c>
      <c r="U42" s="150">
        <f t="shared" ref="U42:U57" ca="1" si="37">R42-M42</f>
        <v>4.0000000000000036E-2</v>
      </c>
      <c r="V42" s="195" t="str">
        <f t="shared" ref="V42:V57" si="38">IF(S42="","",IF(H42&lt;F42,"",IF(D42&gt;S42,(D42-S42),"")))</f>
        <v/>
      </c>
      <c r="W42" s="217"/>
    </row>
    <row r="43" spans="1:23" ht="45" customHeight="1">
      <c r="A43" s="184"/>
      <c r="B43" s="131" t="s">
        <v>36</v>
      </c>
      <c r="C43" s="185">
        <v>10.72</v>
      </c>
      <c r="D43" s="183">
        <v>93</v>
      </c>
      <c r="E43" s="186">
        <v>10</v>
      </c>
      <c r="F43" s="187">
        <f t="shared" si="30"/>
        <v>1006.96</v>
      </c>
      <c r="G43" s="188" t="str">
        <f t="shared" si="31"/>
        <v>$20</v>
      </c>
      <c r="H43" s="189">
        <f t="shared" si="32"/>
        <v>1012.7650000000001</v>
      </c>
      <c r="I43" s="187" t="str">
        <f t="shared" si="33"/>
        <v/>
      </c>
      <c r="J43" s="140" t="str">
        <f t="shared" si="34"/>
        <v/>
      </c>
      <c r="K43" s="185" t="s">
        <v>64</v>
      </c>
      <c r="L43" s="183" t="s">
        <v>64</v>
      </c>
      <c r="M43" s="178">
        <f ca="1">IFERROR(__xludf.DUMMYFUNCTION("(IFERROR(GOOGLEFINANCE(""ASX:""&amp;B43,""closeyest""),""""))"),12.75)</f>
        <v>12.75</v>
      </c>
      <c r="N43" s="190"/>
      <c r="O43" s="191" t="str">
        <f t="shared" si="6"/>
        <v>NXT</v>
      </c>
      <c r="P43" s="112">
        <f t="shared" ca="1" si="35"/>
        <v>1.7649999999999988</v>
      </c>
      <c r="Q43" s="192">
        <v>11.105</v>
      </c>
      <c r="R43" s="193">
        <f ca="1">IFERROR(__xludf.DUMMYFUNCTION("IFERROR(GOOGLEFINANCE(""ASX:""&amp;B43,""price""),"""")"),12.87)</f>
        <v>12.87</v>
      </c>
      <c r="S43" s="115">
        <v>93</v>
      </c>
      <c r="T43" s="194">
        <f t="shared" si="36"/>
        <v>5.8050000000000637</v>
      </c>
      <c r="U43" s="150">
        <f t="shared" ca="1" si="37"/>
        <v>0.11999999999999922</v>
      </c>
      <c r="V43" s="195" t="str">
        <f t="shared" si="38"/>
        <v/>
      </c>
      <c r="W43" s="217"/>
    </row>
    <row r="44" spans="1:23" ht="45" customHeight="1">
      <c r="A44" s="184"/>
      <c r="B44" s="131" t="s">
        <v>36</v>
      </c>
      <c r="C44" s="185">
        <v>11.59</v>
      </c>
      <c r="D44" s="183">
        <v>77</v>
      </c>
      <c r="E44" s="186">
        <v>10</v>
      </c>
      <c r="F44" s="187">
        <f t="shared" si="30"/>
        <v>902.43</v>
      </c>
      <c r="G44" s="188" t="str">
        <f t="shared" si="31"/>
        <v>$10</v>
      </c>
      <c r="H44" s="189">
        <f t="shared" si="32"/>
        <v>903.21999999999991</v>
      </c>
      <c r="I44" s="187" t="str">
        <f t="shared" si="33"/>
        <v/>
      </c>
      <c r="J44" s="140" t="str">
        <f t="shared" si="34"/>
        <v/>
      </c>
      <c r="K44" s="185" t="s">
        <v>64</v>
      </c>
      <c r="L44" s="183" t="s">
        <v>64</v>
      </c>
      <c r="M44" s="178">
        <f ca="1">IFERROR(__xludf.DUMMYFUNCTION("(IFERROR(GOOGLEFINANCE(""ASX:""&amp;B44,""closeyest""),""""))"),12.75)</f>
        <v>12.75</v>
      </c>
      <c r="N44" s="190"/>
      <c r="O44" s="191" t="str">
        <f t="shared" si="6"/>
        <v>NXT</v>
      </c>
      <c r="P44" s="112">
        <f t="shared" ca="1" si="35"/>
        <v>1.0099999999999998</v>
      </c>
      <c r="Q44" s="192">
        <v>11.86</v>
      </c>
      <c r="R44" s="193">
        <f ca="1">IFERROR(__xludf.DUMMYFUNCTION("IFERROR(GOOGLEFINANCE(""ASX:""&amp;B44,""price""),"""")"),12.87)</f>
        <v>12.87</v>
      </c>
      <c r="S44" s="115">
        <v>77</v>
      </c>
      <c r="T44" s="194">
        <f t="shared" si="36"/>
        <v>0.78999999999996362</v>
      </c>
      <c r="U44" s="150">
        <f t="shared" ca="1" si="37"/>
        <v>0.11999999999999922</v>
      </c>
      <c r="V44" s="195" t="str">
        <f t="shared" si="38"/>
        <v/>
      </c>
      <c r="W44" s="217"/>
    </row>
    <row r="45" spans="1:23" ht="45" customHeight="1">
      <c r="A45" s="184"/>
      <c r="B45" s="131" t="s">
        <v>58</v>
      </c>
      <c r="C45" s="185">
        <v>8.7799999999999994</v>
      </c>
      <c r="D45" s="183">
        <v>225</v>
      </c>
      <c r="E45" s="186">
        <v>20</v>
      </c>
      <c r="F45" s="187">
        <f t="shared" si="30"/>
        <v>1995.4999999999998</v>
      </c>
      <c r="G45" s="188" t="str">
        <f t="shared" si="31"/>
        <v>$20</v>
      </c>
      <c r="H45" s="189">
        <f t="shared" si="32"/>
        <v>1824.9999999999998</v>
      </c>
      <c r="I45" s="187" t="str">
        <f t="shared" si="33"/>
        <v/>
      </c>
      <c r="J45" s="140" t="str">
        <f t="shared" si="34"/>
        <v/>
      </c>
      <c r="K45" s="185" t="s">
        <v>64</v>
      </c>
      <c r="L45" s="183" t="s">
        <v>64</v>
      </c>
      <c r="M45" s="178" t="str">
        <f ca="1">IFERROR(__xludf.DUMMYFUNCTION("(IFERROR(GOOGLEFINANCE(""ASX:""&amp;B45,""closeyest""),""""))"),"")</f>
        <v/>
      </c>
      <c r="N45" s="190"/>
      <c r="O45" s="191" t="str">
        <f t="shared" si="6"/>
        <v>Z1P</v>
      </c>
      <c r="P45" s="112" t="e">
        <f t="shared" ca="1" si="35"/>
        <v>#VALUE!</v>
      </c>
      <c r="Q45" s="192">
        <v>8.1999999999999993</v>
      </c>
      <c r="R45" s="193" t="str">
        <f ca="1">IFERROR(__xludf.DUMMYFUNCTION("IFERROR(GOOGLEFINANCE(""ASX:""&amp;B45,""price""),"""")"),"")</f>
        <v/>
      </c>
      <c r="S45" s="115">
        <v>225</v>
      </c>
      <c r="T45" s="194">
        <f t="shared" si="36"/>
        <v>-170.5</v>
      </c>
      <c r="U45" s="150" t="e">
        <f t="shared" ca="1" si="37"/>
        <v>#VALUE!</v>
      </c>
      <c r="V45" s="195" t="str">
        <f t="shared" si="38"/>
        <v/>
      </c>
      <c r="W45" s="217"/>
    </row>
    <row r="46" spans="1:23" ht="45" customHeight="1">
      <c r="A46" s="184"/>
      <c r="B46" s="131" t="s">
        <v>31</v>
      </c>
      <c r="C46" s="185">
        <v>7.48</v>
      </c>
      <c r="D46" s="183">
        <v>133</v>
      </c>
      <c r="E46" s="186">
        <v>10</v>
      </c>
      <c r="F46" s="187">
        <f t="shared" si="30"/>
        <v>1004.84</v>
      </c>
      <c r="G46" s="188" t="str">
        <f t="shared" si="31"/>
        <v>$20</v>
      </c>
      <c r="H46" s="189">
        <f t="shared" si="32"/>
        <v>1063.95</v>
      </c>
      <c r="I46" s="187" t="str">
        <f t="shared" si="33"/>
        <v/>
      </c>
      <c r="J46" s="140" t="str">
        <f t="shared" si="34"/>
        <v/>
      </c>
      <c r="K46" s="185" t="s">
        <v>64</v>
      </c>
      <c r="L46" s="183" t="s">
        <v>64</v>
      </c>
      <c r="M46" s="178">
        <f ca="1">IFERROR(__xludf.DUMMYFUNCTION("(IFERROR(GOOGLEFINANCE(""ASX:""&amp;B46,""closeyest""),""""))"),4.37)</f>
        <v>4.37</v>
      </c>
      <c r="N46" s="190"/>
      <c r="O46" s="191" t="str">
        <f t="shared" si="6"/>
        <v>AEF</v>
      </c>
      <c r="P46" s="112">
        <f t="shared" ca="1" si="35"/>
        <v>-3.3900000000000006</v>
      </c>
      <c r="Q46" s="192">
        <v>8.15</v>
      </c>
      <c r="R46" s="193">
        <f ca="1">IFERROR(__xludf.DUMMYFUNCTION("IFERROR(GOOGLEFINANCE(""ASX:""&amp;B46,""price""),"""")"),4.76)</f>
        <v>4.76</v>
      </c>
      <c r="S46" s="115">
        <v>133</v>
      </c>
      <c r="T46" s="194">
        <f t="shared" si="36"/>
        <v>59.110000000000014</v>
      </c>
      <c r="U46" s="150">
        <f t="shared" ca="1" si="37"/>
        <v>0.38999999999999968</v>
      </c>
      <c r="V46" s="195" t="str">
        <f t="shared" si="38"/>
        <v/>
      </c>
      <c r="W46" s="217"/>
    </row>
    <row r="47" spans="1:23" ht="45" customHeight="1">
      <c r="A47" s="184"/>
      <c r="B47" s="131" t="s">
        <v>40</v>
      </c>
      <c r="C47" s="185">
        <v>15.88</v>
      </c>
      <c r="D47" s="183">
        <v>62</v>
      </c>
      <c r="E47" s="186">
        <v>10</v>
      </c>
      <c r="F47" s="187">
        <f t="shared" si="30"/>
        <v>994.56000000000006</v>
      </c>
      <c r="G47" s="188" t="str">
        <f t="shared" si="31"/>
        <v>$10</v>
      </c>
      <c r="H47" s="189">
        <f t="shared" si="32"/>
        <v>999.9799999999999</v>
      </c>
      <c r="I47" s="187" t="str">
        <f t="shared" si="33"/>
        <v/>
      </c>
      <c r="J47" s="140" t="str">
        <f t="shared" si="34"/>
        <v/>
      </c>
      <c r="K47" s="185" t="s">
        <v>64</v>
      </c>
      <c r="L47" s="183" t="s">
        <v>64</v>
      </c>
      <c r="M47" s="178">
        <f ca="1">IFERROR(__xludf.DUMMYFUNCTION("(IFERROR(GOOGLEFINANCE(""ASX:""&amp;B47,""closeyest""),""""))"),15.75)</f>
        <v>15.75</v>
      </c>
      <c r="N47" s="190"/>
      <c r="O47" s="191" t="str">
        <f t="shared" si="6"/>
        <v>COL</v>
      </c>
      <c r="P47" s="112">
        <f t="shared" ca="1" si="35"/>
        <v>-0.37999999999999901</v>
      </c>
      <c r="Q47" s="192">
        <v>16.29</v>
      </c>
      <c r="R47" s="193">
        <f ca="1">IFERROR(__xludf.DUMMYFUNCTION("IFERROR(GOOGLEFINANCE(""ASX:""&amp;B47,""price""),"""")"),15.91)</f>
        <v>15.91</v>
      </c>
      <c r="S47" s="115">
        <v>62</v>
      </c>
      <c r="T47" s="194">
        <f t="shared" si="36"/>
        <v>5.4199999999998454</v>
      </c>
      <c r="U47" s="150">
        <f t="shared" ca="1" si="37"/>
        <v>0.16000000000000014</v>
      </c>
      <c r="V47" s="195" t="str">
        <f t="shared" si="38"/>
        <v/>
      </c>
      <c r="W47" s="217"/>
    </row>
    <row r="48" spans="1:23" ht="45" customHeight="1">
      <c r="A48" s="184"/>
      <c r="B48" s="131" t="s">
        <v>59</v>
      </c>
      <c r="C48" s="185">
        <v>3.43</v>
      </c>
      <c r="D48" s="183">
        <v>291</v>
      </c>
      <c r="E48" s="186">
        <v>10</v>
      </c>
      <c r="F48" s="187">
        <f t="shared" si="30"/>
        <v>1008.13</v>
      </c>
      <c r="G48" s="188" t="str">
        <f t="shared" si="31"/>
        <v>$20</v>
      </c>
      <c r="H48" s="189">
        <f t="shared" si="32"/>
        <v>1013.05</v>
      </c>
      <c r="I48" s="187" t="str">
        <f t="shared" si="33"/>
        <v/>
      </c>
      <c r="J48" s="140" t="str">
        <f t="shared" si="34"/>
        <v/>
      </c>
      <c r="K48" s="185" t="s">
        <v>64</v>
      </c>
      <c r="L48" s="183" t="s">
        <v>64</v>
      </c>
      <c r="M48" s="178">
        <f ca="1">IFERROR(__xludf.DUMMYFUNCTION("(IFERROR(GOOGLEFINANCE(""ASX:""&amp;B48,""closeyest""),""""))"),3.88)</f>
        <v>3.88</v>
      </c>
      <c r="N48" s="190"/>
      <c r="O48" s="191" t="str">
        <f t="shared" si="6"/>
        <v>TLS</v>
      </c>
      <c r="P48" s="112">
        <f t="shared" ca="1" si="35"/>
        <v>0.36000000000000032</v>
      </c>
      <c r="Q48" s="192">
        <v>3.55</v>
      </c>
      <c r="R48" s="193">
        <f ca="1">IFERROR(__xludf.DUMMYFUNCTION("IFERROR(GOOGLEFINANCE(""ASX:""&amp;B48,""price""),"""")"),3.91)</f>
        <v>3.91</v>
      </c>
      <c r="S48" s="115">
        <v>291</v>
      </c>
      <c r="T48" s="194">
        <f t="shared" si="36"/>
        <v>4.9199999999999591</v>
      </c>
      <c r="U48" s="150">
        <f t="shared" ca="1" si="37"/>
        <v>3.0000000000000249E-2</v>
      </c>
      <c r="V48" s="195" t="str">
        <f t="shared" si="38"/>
        <v/>
      </c>
      <c r="W48" s="217"/>
    </row>
    <row r="49" spans="1:23" ht="45" customHeight="1">
      <c r="A49" s="184"/>
      <c r="B49" s="131" t="s">
        <v>44</v>
      </c>
      <c r="C49" s="185">
        <v>7.3</v>
      </c>
      <c r="D49" s="183">
        <v>136</v>
      </c>
      <c r="E49" s="186">
        <v>10</v>
      </c>
      <c r="F49" s="187">
        <f t="shared" si="30"/>
        <v>1002.8</v>
      </c>
      <c r="G49" s="188" t="str">
        <f t="shared" si="31"/>
        <v>$20</v>
      </c>
      <c r="H49" s="189">
        <f t="shared" si="32"/>
        <v>1020.4000000000001</v>
      </c>
      <c r="I49" s="187" t="str">
        <f t="shared" si="33"/>
        <v/>
      </c>
      <c r="J49" s="140" t="str">
        <f t="shared" si="34"/>
        <v/>
      </c>
      <c r="K49" s="185" t="s">
        <v>64</v>
      </c>
      <c r="L49" s="183" t="s">
        <v>64</v>
      </c>
      <c r="M49" s="178">
        <f ca="1">IFERROR(__xludf.DUMMYFUNCTION("(IFERROR(GOOGLEFINANCE(""ASX:""&amp;B49,""closeyest""),""""))"),7.75)</f>
        <v>7.75</v>
      </c>
      <c r="N49" s="190"/>
      <c r="O49" s="191" t="str">
        <f t="shared" si="6"/>
        <v>STO</v>
      </c>
      <c r="P49" s="112">
        <f t="shared" ca="1" si="35"/>
        <v>0.25999999999999979</v>
      </c>
      <c r="Q49" s="192">
        <v>7.65</v>
      </c>
      <c r="R49" s="193">
        <f ca="1">IFERROR(__xludf.DUMMYFUNCTION("IFERROR(GOOGLEFINANCE(""ASX:""&amp;B49,""price""),"""")"),7.91)</f>
        <v>7.91</v>
      </c>
      <c r="S49" s="115">
        <v>136</v>
      </c>
      <c r="T49" s="194">
        <f t="shared" si="36"/>
        <v>17.600000000000136</v>
      </c>
      <c r="U49" s="150">
        <f t="shared" ca="1" si="37"/>
        <v>0.16000000000000014</v>
      </c>
      <c r="V49" s="195" t="str">
        <f t="shared" si="38"/>
        <v/>
      </c>
      <c r="W49" s="217"/>
    </row>
    <row r="50" spans="1:23" ht="45" customHeight="1">
      <c r="A50" s="184"/>
      <c r="B50" s="131" t="s">
        <v>60</v>
      </c>
      <c r="C50" s="185">
        <v>0.44</v>
      </c>
      <c r="D50" s="183">
        <v>3363</v>
      </c>
      <c r="E50" s="186">
        <v>20</v>
      </c>
      <c r="F50" s="187">
        <f t="shared" si="30"/>
        <v>1499.72</v>
      </c>
      <c r="G50" s="188" t="str">
        <f t="shared" si="31"/>
        <v>$20</v>
      </c>
      <c r="H50" s="189">
        <f t="shared" si="32"/>
        <v>1543.7950000000001</v>
      </c>
      <c r="I50" s="187" t="str">
        <f t="shared" si="33"/>
        <v/>
      </c>
      <c r="J50" s="140" t="str">
        <f t="shared" si="34"/>
        <v/>
      </c>
      <c r="K50" s="185" t="s">
        <v>64</v>
      </c>
      <c r="L50" s="183" t="s">
        <v>64</v>
      </c>
      <c r="M50" s="178">
        <f ca="1">IFERROR(__xludf.DUMMYFUNCTION("(IFERROR(GOOGLEFINANCE(""ASX:""&amp;B50,""closeyest""),""""))"),0.21)</f>
        <v>0.21</v>
      </c>
      <c r="N50" s="190"/>
      <c r="O50" s="191" t="str">
        <f t="shared" si="6"/>
        <v>ONE</v>
      </c>
      <c r="P50" s="112">
        <f t="shared" ca="1" si="35"/>
        <v>-0.255</v>
      </c>
      <c r="Q50" s="192">
        <v>0.46500000000000002</v>
      </c>
      <c r="R50" s="193">
        <f ca="1">IFERROR(__xludf.DUMMYFUNCTION("IFERROR(GOOGLEFINANCE(""ASX:""&amp;B50,""price""),"""")"),0.21)</f>
        <v>0.21</v>
      </c>
      <c r="S50" s="115">
        <v>3363</v>
      </c>
      <c r="T50" s="194">
        <f t="shared" si="36"/>
        <v>44.075000000000045</v>
      </c>
      <c r="U50" s="150">
        <f t="shared" ca="1" si="37"/>
        <v>0</v>
      </c>
      <c r="V50" s="195" t="str">
        <f t="shared" si="38"/>
        <v/>
      </c>
      <c r="W50" s="217"/>
    </row>
    <row r="51" spans="1:23" ht="45" customHeight="1">
      <c r="A51" s="184"/>
      <c r="B51" s="131" t="s">
        <v>60</v>
      </c>
      <c r="C51" s="185">
        <v>0.38</v>
      </c>
      <c r="D51" s="183">
        <v>789</v>
      </c>
      <c r="E51" s="186">
        <v>5</v>
      </c>
      <c r="F51" s="187">
        <f t="shared" si="30"/>
        <v>304.82</v>
      </c>
      <c r="G51" s="188" t="str">
        <f t="shared" si="31"/>
        <v>$5</v>
      </c>
      <c r="H51" s="189">
        <f t="shared" si="32"/>
        <v>255.37</v>
      </c>
      <c r="I51" s="187" t="str">
        <f t="shared" si="33"/>
        <v/>
      </c>
      <c r="J51" s="140" t="str">
        <f t="shared" si="34"/>
        <v/>
      </c>
      <c r="K51" s="185" t="s">
        <v>64</v>
      </c>
      <c r="L51" s="183" t="s">
        <v>64</v>
      </c>
      <c r="M51" s="178">
        <f ca="1">IFERROR(__xludf.DUMMYFUNCTION("(IFERROR(GOOGLEFINANCE(""ASX:""&amp;B51,""closeyest""),""""))"),0.21)</f>
        <v>0.21</v>
      </c>
      <c r="N51" s="190"/>
      <c r="O51" s="191" t="str">
        <f t="shared" si="6"/>
        <v>ONE</v>
      </c>
      <c r="P51" s="112">
        <f t="shared" ca="1" si="35"/>
        <v>-0.12000000000000002</v>
      </c>
      <c r="Q51" s="192">
        <v>0.33</v>
      </c>
      <c r="R51" s="193">
        <f ca="1">IFERROR(__xludf.DUMMYFUNCTION("IFERROR(GOOGLEFINANCE(""ASX:""&amp;B51,""price""),"""")"),0.21)</f>
        <v>0.21</v>
      </c>
      <c r="S51" s="115">
        <v>789</v>
      </c>
      <c r="T51" s="194">
        <f t="shared" si="36"/>
        <v>-49.449999999999989</v>
      </c>
      <c r="U51" s="150">
        <f t="shared" ca="1" si="37"/>
        <v>0</v>
      </c>
      <c r="V51" s="195" t="str">
        <f t="shared" si="38"/>
        <v/>
      </c>
      <c r="W51" s="217"/>
    </row>
    <row r="52" spans="1:23" ht="45" customHeight="1">
      <c r="A52" s="184"/>
      <c r="B52" s="131">
        <v>360</v>
      </c>
      <c r="C52" s="185">
        <v>5.76</v>
      </c>
      <c r="D52" s="183">
        <v>172</v>
      </c>
      <c r="E52" s="186">
        <v>5</v>
      </c>
      <c r="F52" s="187">
        <f t="shared" si="30"/>
        <v>995.71999999999991</v>
      </c>
      <c r="G52" s="188" t="str">
        <f t="shared" si="31"/>
        <v>$5</v>
      </c>
      <c r="H52" s="189">
        <f t="shared" si="32"/>
        <v>1011.52</v>
      </c>
      <c r="I52" s="187" t="str">
        <f t="shared" si="33"/>
        <v/>
      </c>
      <c r="J52" s="140" t="str">
        <f t="shared" si="34"/>
        <v/>
      </c>
      <c r="K52" s="185" t="s">
        <v>64</v>
      </c>
      <c r="L52" s="183" t="s">
        <v>64</v>
      </c>
      <c r="M52" s="178">
        <f ca="1">IFERROR(__xludf.DUMMYFUNCTION("(IFERROR(GOOGLEFINANCE(""ASX:""&amp;B52,""closeyest""),""""))"),8.67)</f>
        <v>8.67</v>
      </c>
      <c r="N52" s="190"/>
      <c r="O52" s="191">
        <f t="shared" si="6"/>
        <v>360</v>
      </c>
      <c r="P52" s="112">
        <f t="shared" ca="1" si="35"/>
        <v>3.34</v>
      </c>
      <c r="Q52" s="192">
        <v>5.91</v>
      </c>
      <c r="R52" s="193">
        <f ca="1">IFERROR(__xludf.DUMMYFUNCTION("IFERROR(GOOGLEFINANCE(""ASX:""&amp;B52,""price""),"""")"),9.25)</f>
        <v>9.25</v>
      </c>
      <c r="S52" s="115">
        <v>172</v>
      </c>
      <c r="T52" s="194">
        <f t="shared" si="36"/>
        <v>15.800000000000068</v>
      </c>
      <c r="U52" s="150">
        <f t="shared" ca="1" si="37"/>
        <v>0.58000000000000007</v>
      </c>
      <c r="V52" s="195" t="str">
        <f t="shared" si="38"/>
        <v/>
      </c>
      <c r="W52" s="217"/>
    </row>
    <row r="53" spans="1:23" ht="45" customHeight="1">
      <c r="A53" s="184"/>
      <c r="B53" s="131">
        <v>360</v>
      </c>
      <c r="C53" s="185">
        <v>4.76</v>
      </c>
      <c r="D53" s="183">
        <v>319</v>
      </c>
      <c r="E53" s="186">
        <v>20</v>
      </c>
      <c r="F53" s="187">
        <f t="shared" si="30"/>
        <v>1538.4399999999998</v>
      </c>
      <c r="G53" s="188" t="str">
        <f t="shared" si="31"/>
        <v>$20</v>
      </c>
      <c r="H53" s="189">
        <f t="shared" si="32"/>
        <v>1552.6699999999998</v>
      </c>
      <c r="I53" s="187" t="str">
        <f t="shared" si="33"/>
        <v/>
      </c>
      <c r="J53" s="140" t="str">
        <f t="shared" si="34"/>
        <v/>
      </c>
      <c r="K53" s="185" t="s">
        <v>64</v>
      </c>
      <c r="L53" s="183" t="s">
        <v>64</v>
      </c>
      <c r="M53" s="178">
        <f ca="1">IFERROR(__xludf.DUMMYFUNCTION("(IFERROR(GOOGLEFINANCE(""ASX:""&amp;B53,""closeyest""),""""))"),8.67)</f>
        <v>8.67</v>
      </c>
      <c r="N53" s="190"/>
      <c r="O53" s="191">
        <f t="shared" si="6"/>
        <v>360</v>
      </c>
      <c r="P53" s="112">
        <f t="shared" ca="1" si="35"/>
        <v>4.32</v>
      </c>
      <c r="Q53" s="192">
        <v>4.93</v>
      </c>
      <c r="R53" s="193">
        <f ca="1">IFERROR(__xludf.DUMMYFUNCTION("IFERROR(GOOGLEFINANCE(""ASX:""&amp;B53,""price""),"""")"),9.25)</f>
        <v>9.25</v>
      </c>
      <c r="S53" s="115">
        <v>319</v>
      </c>
      <c r="T53" s="194">
        <f t="shared" si="36"/>
        <v>14.230000000000018</v>
      </c>
      <c r="U53" s="150">
        <f t="shared" ca="1" si="37"/>
        <v>0.58000000000000007</v>
      </c>
      <c r="V53" s="195" t="str">
        <f t="shared" si="38"/>
        <v/>
      </c>
      <c r="W53" s="217"/>
    </row>
    <row r="54" spans="1:23" ht="45" customHeight="1">
      <c r="A54" s="184"/>
      <c r="B54" s="131" t="s">
        <v>38</v>
      </c>
      <c r="C54" s="185">
        <v>2.08</v>
      </c>
      <c r="D54" s="183">
        <v>480</v>
      </c>
      <c r="E54" s="186">
        <v>10</v>
      </c>
      <c r="F54" s="187">
        <f t="shared" si="30"/>
        <v>1008.4000000000001</v>
      </c>
      <c r="G54" s="188" t="str">
        <f t="shared" si="31"/>
        <v>$20</v>
      </c>
      <c r="H54" s="189">
        <f t="shared" si="32"/>
        <v>1007.2</v>
      </c>
      <c r="I54" s="187" t="str">
        <f t="shared" si="33"/>
        <v/>
      </c>
      <c r="J54" s="140" t="str">
        <f t="shared" si="34"/>
        <v/>
      </c>
      <c r="K54" s="185" t="s">
        <v>64</v>
      </c>
      <c r="L54" s="183" t="s">
        <v>64</v>
      </c>
      <c r="M54" s="178">
        <f ca="1">IFERROR(__xludf.DUMMYFUNCTION("(IFERROR(GOOGLEFINANCE(""ASX:""&amp;B54,""closeyest""),""""))"),2.55)</f>
        <v>2.5499999999999998</v>
      </c>
      <c r="N54" s="190"/>
      <c r="O54" s="191" t="str">
        <f t="shared" si="6"/>
        <v>REG</v>
      </c>
      <c r="P54" s="112">
        <f t="shared" ca="1" si="35"/>
        <v>0.52</v>
      </c>
      <c r="Q54" s="192">
        <v>2.14</v>
      </c>
      <c r="R54" s="193">
        <f ca="1">IFERROR(__xludf.DUMMYFUNCTION("IFERROR(GOOGLEFINANCE(""ASX:""&amp;B54,""price""),"""")"),2.66)</f>
        <v>2.66</v>
      </c>
      <c r="S54" s="115">
        <v>480</v>
      </c>
      <c r="T54" s="194">
        <f t="shared" si="36"/>
        <v>-1.2000000000000455</v>
      </c>
      <c r="U54" s="150">
        <f t="shared" ca="1" si="37"/>
        <v>0.11000000000000032</v>
      </c>
      <c r="V54" s="195" t="str">
        <f t="shared" si="38"/>
        <v/>
      </c>
      <c r="W54" s="217"/>
    </row>
    <row r="55" spans="1:23" ht="45" customHeight="1">
      <c r="A55" s="184"/>
      <c r="B55" s="131" t="s">
        <v>29</v>
      </c>
      <c r="C55" s="185">
        <v>1.2749999999999999</v>
      </c>
      <c r="D55" s="183">
        <v>82</v>
      </c>
      <c r="E55" s="186">
        <v>5</v>
      </c>
      <c r="F55" s="187">
        <f t="shared" si="30"/>
        <v>109.55</v>
      </c>
      <c r="G55" s="188" t="str">
        <f t="shared" si="31"/>
        <v>$5</v>
      </c>
      <c r="H55" s="189">
        <f t="shared" si="32"/>
        <v>105.7</v>
      </c>
      <c r="I55" s="187" t="str">
        <f t="shared" si="33"/>
        <v/>
      </c>
      <c r="J55" s="140" t="str">
        <f t="shared" si="34"/>
        <v/>
      </c>
      <c r="K55" s="185" t="s">
        <v>64</v>
      </c>
      <c r="L55" s="183" t="s">
        <v>64</v>
      </c>
      <c r="M55" s="178">
        <f ca="1">IFERROR(__xludf.DUMMYFUNCTION("(IFERROR(GOOGLEFINANCE(""ASX:""&amp;B55,""closeyest""),""""))"),0.2)</f>
        <v>0.2</v>
      </c>
      <c r="N55" s="190"/>
      <c r="O55" s="191" t="str">
        <f t="shared" si="6"/>
        <v>ART</v>
      </c>
      <c r="P55" s="112">
        <f t="shared" ca="1" si="35"/>
        <v>-1.1500000000000001</v>
      </c>
      <c r="Q55" s="192">
        <v>1.35</v>
      </c>
      <c r="R55" s="193">
        <f ca="1">IFERROR(__xludf.DUMMYFUNCTION("IFERROR(GOOGLEFINANCE(""ASX:""&amp;B55,""price""),"""")"),0.2)</f>
        <v>0.2</v>
      </c>
      <c r="S55" s="115">
        <v>82</v>
      </c>
      <c r="T55" s="194">
        <f t="shared" si="36"/>
        <v>-3.8499999999999943</v>
      </c>
      <c r="U55" s="150">
        <f t="shared" ca="1" si="37"/>
        <v>0</v>
      </c>
      <c r="V55" s="195" t="str">
        <f t="shared" si="38"/>
        <v/>
      </c>
      <c r="W55" s="217"/>
    </row>
    <row r="56" spans="1:23" ht="45" customHeight="1">
      <c r="A56" s="184"/>
      <c r="B56" s="131" t="s">
        <v>61</v>
      </c>
      <c r="C56" s="185">
        <v>10.44</v>
      </c>
      <c r="D56" s="183">
        <v>96</v>
      </c>
      <c r="E56" s="186">
        <v>5</v>
      </c>
      <c r="F56" s="187">
        <f t="shared" si="30"/>
        <v>1007.24</v>
      </c>
      <c r="G56" s="188" t="str">
        <f t="shared" si="31"/>
        <v>$5</v>
      </c>
      <c r="H56" s="189">
        <f t="shared" si="32"/>
        <v>974.19999999999993</v>
      </c>
      <c r="I56" s="187" t="str">
        <f t="shared" si="33"/>
        <v/>
      </c>
      <c r="J56" s="140" t="str">
        <f t="shared" si="34"/>
        <v/>
      </c>
      <c r="K56" s="185" t="s">
        <v>64</v>
      </c>
      <c r="L56" s="183" t="s">
        <v>64</v>
      </c>
      <c r="M56" s="178">
        <f ca="1">IFERROR(__xludf.DUMMYFUNCTION("(IFERROR(GOOGLEFINANCE(""ASX:""&amp;B56,""closeyest""),""""))"),5.1)</f>
        <v>5.0999999999999996</v>
      </c>
      <c r="N56" s="190"/>
      <c r="O56" s="191" t="str">
        <f t="shared" si="6"/>
        <v>KGN</v>
      </c>
      <c r="P56" s="112">
        <f t="shared" ca="1" si="35"/>
        <v>-4.9499999999999993</v>
      </c>
      <c r="Q56" s="192">
        <v>10.199999999999999</v>
      </c>
      <c r="R56" s="193">
        <f ca="1">IFERROR(__xludf.DUMMYFUNCTION("IFERROR(GOOGLEFINANCE(""ASX:""&amp;B56,""price""),"""")"),5.25)</f>
        <v>5.25</v>
      </c>
      <c r="S56" s="115">
        <v>96</v>
      </c>
      <c r="T56" s="194">
        <f t="shared" si="36"/>
        <v>-33.040000000000077</v>
      </c>
      <c r="U56" s="150">
        <f t="shared" ca="1" si="37"/>
        <v>0.15000000000000036</v>
      </c>
      <c r="V56" s="195" t="str">
        <f t="shared" si="38"/>
        <v/>
      </c>
      <c r="W56" s="217"/>
    </row>
    <row r="57" spans="1:23" ht="45" customHeight="1">
      <c r="A57" s="184"/>
      <c r="B57" s="131" t="s">
        <v>61</v>
      </c>
      <c r="C57" s="185">
        <v>11.48</v>
      </c>
      <c r="D57" s="183">
        <v>61</v>
      </c>
      <c r="E57" s="186">
        <v>5</v>
      </c>
      <c r="F57" s="187">
        <f t="shared" si="30"/>
        <v>705.28</v>
      </c>
      <c r="G57" s="188" t="str">
        <f t="shared" si="31"/>
        <v>$5</v>
      </c>
      <c r="H57" s="189">
        <f t="shared" si="32"/>
        <v>739.19999999999993</v>
      </c>
      <c r="I57" s="187" t="str">
        <f t="shared" si="33"/>
        <v/>
      </c>
      <c r="J57" s="140" t="str">
        <f t="shared" si="34"/>
        <v/>
      </c>
      <c r="K57" s="185" t="s">
        <v>64</v>
      </c>
      <c r="L57" s="183" t="s">
        <v>64</v>
      </c>
      <c r="M57" s="178">
        <f ca="1">IFERROR(__xludf.DUMMYFUNCTION("(IFERROR(GOOGLEFINANCE(""ASX:""&amp;B57,""closeyest""),""""))"),5.1)</f>
        <v>5.0999999999999996</v>
      </c>
      <c r="N57" s="190"/>
      <c r="O57" s="191" t="str">
        <f t="shared" si="6"/>
        <v>KGN</v>
      </c>
      <c r="P57" s="112">
        <f t="shared" ca="1" si="35"/>
        <v>-6.9499999999999993</v>
      </c>
      <c r="Q57" s="192">
        <v>12.2</v>
      </c>
      <c r="R57" s="193">
        <f ca="1">IFERROR(__xludf.DUMMYFUNCTION("IFERROR(GOOGLEFINANCE(""ASX:""&amp;B57,""price""),"""")"),5.25)</f>
        <v>5.25</v>
      </c>
      <c r="S57" s="115">
        <v>61</v>
      </c>
      <c r="T57" s="194">
        <f t="shared" si="36"/>
        <v>33.919999999999959</v>
      </c>
      <c r="U57" s="150">
        <f t="shared" ca="1" si="37"/>
        <v>0.15000000000000036</v>
      </c>
      <c r="V57" s="195" t="str">
        <f t="shared" si="38"/>
        <v/>
      </c>
      <c r="W57" s="217"/>
    </row>
    <row r="58" spans="1:23" ht="25.5" customHeight="1">
      <c r="A58" s="197" t="s">
        <v>62</v>
      </c>
      <c r="B58" s="197" t="s">
        <v>13</v>
      </c>
      <c r="C58" s="198" t="s">
        <v>14</v>
      </c>
      <c r="D58" s="199" t="s">
        <v>15</v>
      </c>
      <c r="E58" s="200" t="s">
        <v>16</v>
      </c>
      <c r="F58" s="201" t="s">
        <v>54</v>
      </c>
      <c r="G58" s="202" t="s">
        <v>16</v>
      </c>
      <c r="H58" s="202" t="s">
        <v>17</v>
      </c>
      <c r="I58" s="197" t="s">
        <v>55</v>
      </c>
      <c r="J58" s="201" t="s">
        <v>56</v>
      </c>
      <c r="K58" s="198" t="s">
        <v>18</v>
      </c>
      <c r="L58" s="203" t="s">
        <v>19</v>
      </c>
      <c r="M58" s="204" t="s">
        <v>63</v>
      </c>
      <c r="N58" s="205" t="s">
        <v>21</v>
      </c>
      <c r="O58" s="206" t="str">
        <f t="shared" si="6"/>
        <v>code</v>
      </c>
      <c r="P58" s="207"/>
      <c r="Q58" s="208" t="s">
        <v>14</v>
      </c>
      <c r="R58" s="209" t="s">
        <v>6</v>
      </c>
      <c r="S58" s="210" t="s">
        <v>22</v>
      </c>
      <c r="T58" s="211" t="s">
        <v>23</v>
      </c>
      <c r="U58" s="212" t="s">
        <v>24</v>
      </c>
      <c r="V58" s="29" t="s">
        <v>57</v>
      </c>
      <c r="W58" s="217"/>
    </row>
  </sheetData>
  <sheetProtection algorithmName="SHA-512" hashValue="1yIdPWt7pw+0T9A0qUjugjEAt5/puy0Zw8h8TVguTfK3BLNRgvGlAs+sB8dGfsMHDQPorFKoykFVY/Oy7TPMYw==" saltValue="8L1P77LO5BBVdsDzhz38fg==" spinCount="100000" sheet="1" objects="1" scenarios="1" formatColumns="0" formatRows="0"/>
  <mergeCells count="2">
    <mergeCell ref="A1:W1"/>
    <mergeCell ref="W15:W58"/>
  </mergeCells>
  <conditionalFormatting sqref="I2:I38 U2:U38 T2:T58">
    <cfRule type="cellIs" dxfId="6" priority="3" operator="greaterThan">
      <formula>0</formula>
    </cfRule>
  </conditionalFormatting>
  <conditionalFormatting sqref="I2:I40 U2:U40 I42:I57 U42:U57">
    <cfRule type="cellIs" dxfId="5" priority="6" operator="lessThan">
      <formula>0</formula>
    </cfRule>
    <cfRule type="cellIs" dxfId="4" priority="7" operator="greaterThan">
      <formula>0</formula>
    </cfRule>
  </conditionalFormatting>
  <conditionalFormatting sqref="I2:I58 U2:U58">
    <cfRule type="cellIs" dxfId="3" priority="5" operator="greaterThan">
      <formula>0</formula>
    </cfRule>
  </conditionalFormatting>
  <conditionalFormatting sqref="P2:P58">
    <cfRule type="containsText" dxfId="2" priority="1" operator="containsText" text="-">
      <formula>NOT(ISERROR(SEARCH(("-"),(P2))))</formula>
    </cfRule>
    <cfRule type="containsText" dxfId="1" priority="2" operator="containsText" text="+">
      <formula>NOT(ISERROR(SEARCH(("+"),(P2))))</formula>
    </cfRule>
  </conditionalFormatting>
  <conditionalFormatting sqref="T2:T58">
    <cfRule type="cellIs" dxfId="0" priority="4" operator="lessThan">
      <formula>0</formula>
    </cfRule>
  </conditionalFormatting>
  <dataValidations count="2">
    <dataValidation type="custom" allowBlank="1" showDropDown="1" sqref="N20:N25 A2:A38" xr:uid="{00000000-0002-0000-0200-000000000000}">
      <formula1>OR(NOT(ISERROR(DATEVALUE(A2))), AND(ISNUMBER(A2), LEFT(CELL("format", A2))="D"))</formula1>
    </dataValidation>
    <dataValidation type="date" operator="lessThan" allowBlank="1" showDropDown="1" showErrorMessage="1" sqref="A1 A39:A40 A42:A57" xr:uid="{00000000-0002-0000-0200-000001000000}">
      <formula1>today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Selling</vt:lpstr>
      <vt:lpstr>Holding</vt:lpstr>
      <vt:lpstr>Transaction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pokharel</dc:creator>
  <cp:lastModifiedBy>ashwin pokharel</cp:lastModifiedBy>
  <dcterms:created xsi:type="dcterms:W3CDTF">2023-09-17T03:41:34Z</dcterms:created>
  <dcterms:modified xsi:type="dcterms:W3CDTF">2023-09-17T03:50:49Z</dcterms:modified>
</cp:coreProperties>
</file>