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D8C67A37-48EE-49CC-B66E-48E050ACB48F}" xr6:coauthVersionLast="47" xr6:coauthVersionMax="47" xr10:uidLastSave="{00000000-0000-0000-0000-000000000000}"/>
  <bookViews>
    <workbookView xWindow="-120" yWindow="-120" windowWidth="20730" windowHeight="11160" xr2:uid="{0BE091C1-9DF8-4108-B80F-39F74670042D}"/>
  </bookViews>
  <sheets>
    <sheet name="Cotizador" sheetId="1" r:id="rId1"/>
    <sheet name="Insumos" sheetId="2" r:id="rId2"/>
    <sheet name="Miel&amp;Fazon" sheetId="3" r:id="rId3"/>
    <sheet name="Mercado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E39" i="1"/>
  <c r="K32" i="1"/>
  <c r="N35" i="1"/>
  <c r="N30" i="1"/>
  <c r="P32" i="1"/>
  <c r="P29" i="1"/>
  <c r="P28" i="1"/>
  <c r="N28" i="1"/>
  <c r="E28" i="1"/>
  <c r="L29" i="1"/>
  <c r="H23" i="1"/>
  <c r="E33" i="1"/>
  <c r="F33" i="1"/>
  <c r="F29" i="1"/>
  <c r="E29" i="1"/>
  <c r="C2" i="4"/>
  <c r="F6" i="1"/>
  <c r="F5" i="1" s="1"/>
  <c r="E6" i="1"/>
  <c r="E5" i="1" s="1"/>
  <c r="E18" i="1"/>
  <c r="E17" i="1"/>
  <c r="F14" i="1"/>
  <c r="F13" i="1"/>
  <c r="F12" i="1"/>
  <c r="F11" i="1"/>
  <c r="E13" i="1"/>
  <c r="E12" i="1"/>
  <c r="E11" i="1"/>
  <c r="F7" i="1"/>
  <c r="E7" i="1"/>
  <c r="G15" i="3"/>
  <c r="F12" i="3"/>
  <c r="F11" i="3"/>
  <c r="F15" i="3" s="1"/>
  <c r="C5" i="3"/>
  <c r="C11" i="2"/>
  <c r="E14" i="1"/>
  <c r="C3" i="1"/>
  <c r="F9" i="1" l="1"/>
  <c r="F17" i="1"/>
  <c r="F18" i="1"/>
  <c r="F15" i="1"/>
  <c r="E15" i="1"/>
  <c r="E9" i="1"/>
  <c r="F19" i="1" l="1"/>
  <c r="F21" i="1" l="1"/>
  <c r="I19" i="1" l="1"/>
  <c r="F24" i="1"/>
  <c r="F25" i="1"/>
  <c r="I21" i="1"/>
  <c r="I11" i="1"/>
  <c r="I9" i="1"/>
  <c r="I18" i="1"/>
  <c r="I8" i="1"/>
  <c r="I7" i="1"/>
  <c r="I15" i="1"/>
  <c r="I6" i="1"/>
  <c r="I14" i="1"/>
  <c r="I5" i="1"/>
  <c r="I13" i="1"/>
  <c r="I12" i="1"/>
  <c r="I17" i="1"/>
  <c r="E19" i="1" l="1"/>
  <c r="E21" i="1" l="1"/>
  <c r="E24" i="1" s="1"/>
  <c r="H19" i="1" l="1"/>
  <c r="E25" i="1"/>
  <c r="H21" i="1"/>
  <c r="H18" i="1"/>
  <c r="H8" i="1"/>
  <c r="H14" i="1"/>
  <c r="H7" i="1"/>
  <c r="H17" i="1"/>
  <c r="H11" i="1"/>
  <c r="H6" i="1"/>
  <c r="H12" i="1"/>
  <c r="H5" i="1"/>
  <c r="H13" i="1"/>
  <c r="H9" i="1"/>
  <c r="H15" i="1"/>
  <c r="E36" i="1" l="1"/>
  <c r="F28" i="1"/>
  <c r="F36" i="1" l="1"/>
  <c r="H28" i="1"/>
</calcChain>
</file>

<file path=xl/sharedStrings.xml><?xml version="1.0" encoding="utf-8"?>
<sst xmlns="http://schemas.openxmlformats.org/spreadsheetml/2006/main" count="113" uniqueCount="79">
  <si>
    <t>POTE 400 G</t>
  </si>
  <si>
    <t>PET 440 G</t>
  </si>
  <si>
    <t>Fazón</t>
  </si>
  <si>
    <t>Miel</t>
  </si>
  <si>
    <t>Envase</t>
  </si>
  <si>
    <t>Etiqueta</t>
  </si>
  <si>
    <t>Tapa</t>
  </si>
  <si>
    <t>Caja</t>
  </si>
  <si>
    <t>Logistica</t>
  </si>
  <si>
    <t>Impuestos</t>
  </si>
  <si>
    <t>gastos variables</t>
  </si>
  <si>
    <t>insumos secos</t>
  </si>
  <si>
    <t>gastos directos</t>
  </si>
  <si>
    <t>PrVentaNeto</t>
  </si>
  <si>
    <t>ALIMENTOS NATURALES NATURAL FOODS SA</t>
  </si>
  <si>
    <t>Cotizador DDL</t>
  </si>
  <si>
    <t>situacion al:</t>
  </si>
  <si>
    <t>Mark up</t>
  </si>
  <si>
    <t>Margin</t>
  </si>
  <si>
    <t>gap</t>
  </si>
  <si>
    <t>Pote DDL x 400</t>
  </si>
  <si>
    <t>Tapa Aluminio X 88mm Pote</t>
  </si>
  <si>
    <t>Sobretapa pote DDL</t>
  </si>
  <si>
    <t>Funda de DDL x 400</t>
  </si>
  <si>
    <t>Caja Troquelada DDL con miel 12 x 400grs.</t>
  </si>
  <si>
    <t>Frasco cónico PET</t>
  </si>
  <si>
    <t>Tapa dorada 63 mm</t>
  </si>
  <si>
    <t>Etiquetas Dulce de Leche con Miel x 440g</t>
  </si>
  <si>
    <t>Caja Troquelada DDL con miel 12 x 440grs.</t>
  </si>
  <si>
    <t>Insumos Secos</t>
  </si>
  <si>
    <t>TipoCambio</t>
  </si>
  <si>
    <t>USD</t>
  </si>
  <si>
    <t>AR$</t>
  </si>
  <si>
    <t>Miel &amp; Fazón</t>
  </si>
  <si>
    <t>Precio Miel en $</t>
  </si>
  <si>
    <t>Precio Miel en U$S</t>
  </si>
  <si>
    <t>ABRIL</t>
  </si>
  <si>
    <t>MAYO</t>
  </si>
  <si>
    <t>$</t>
  </si>
  <si>
    <t>Uso</t>
  </si>
  <si>
    <t>Costo por Kilo</t>
  </si>
  <si>
    <t>Factor de Ajuste</t>
  </si>
  <si>
    <t>% sobre costo total</t>
  </si>
  <si>
    <t>Leche</t>
  </si>
  <si>
    <t>Siglea Mar y Sierras</t>
  </si>
  <si>
    <t>Azucar</t>
  </si>
  <si>
    <t>FC de compra de Azucar</t>
  </si>
  <si>
    <t>Mano de Obra + Fazon</t>
  </si>
  <si>
    <t>Base + ajuste paritaria Atilra 30% ANUAL</t>
  </si>
  <si>
    <t>TOTAL</t>
  </si>
  <si>
    <t>MIEL</t>
  </si>
  <si>
    <t>FAZON</t>
  </si>
  <si>
    <t>CostoExWorks</t>
  </si>
  <si>
    <t xml:space="preserve">Relevamiento precios </t>
  </si>
  <si>
    <t>La serenisima</t>
  </si>
  <si>
    <t>Marca</t>
  </si>
  <si>
    <t>Variedad</t>
  </si>
  <si>
    <t>Grameje</t>
  </si>
  <si>
    <t>PvP</t>
  </si>
  <si>
    <t>Tienda</t>
  </si>
  <si>
    <t>Fecha</t>
  </si>
  <si>
    <t>JumboOnline</t>
  </si>
  <si>
    <t>Clasico</t>
  </si>
  <si>
    <t>San Ignacio</t>
  </si>
  <si>
    <t>Tradicional</t>
  </si>
  <si>
    <t>Milkaut</t>
  </si>
  <si>
    <t>CotoOnline</t>
  </si>
  <si>
    <t>DonAtilio</t>
  </si>
  <si>
    <t>Vacalin</t>
  </si>
  <si>
    <t>PonchoNegro</t>
  </si>
  <si>
    <t>Vidrio</t>
  </si>
  <si>
    <t>MeLi</t>
  </si>
  <si>
    <t>Monarca</t>
  </si>
  <si>
    <t>PrVentaPublico G5</t>
  </si>
  <si>
    <t>Con márgenes de Monarca</t>
  </si>
  <si>
    <t>Pr Lider</t>
  </si>
  <si>
    <t>Margin Cadena</t>
  </si>
  <si>
    <t>super</t>
  </si>
  <si>
    <t>distribuidor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</si>
</sst>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#,##0.00_ ;\-#,##0.00\ 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ource Sans Pro"/>
      <family val="2"/>
    </font>
    <font>
      <sz val="10"/>
      <color theme="1"/>
      <name val="Source Sans Pro"/>
      <family val="2"/>
    </font>
    <font>
      <b/>
      <sz val="10"/>
      <color theme="1"/>
      <name val="Source Sans Pro"/>
      <family val="2"/>
    </font>
    <font>
      <b/>
      <i/>
      <sz val="10"/>
      <color theme="1"/>
      <name val="Source Sans Pro"/>
      <family val="2"/>
    </font>
    <font>
      <b/>
      <sz val="11"/>
      <color theme="1"/>
      <name val="Source Sans Pro"/>
      <family val="2"/>
    </font>
    <font>
      <sz val="10"/>
      <color theme="1"/>
      <name val="Times New Roman"/>
      <family val="1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9"/>
      <color theme="1"/>
      <name val="Source Sans Pro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44" fontId="3" fillId="0" borderId="0" xfId="1" applyFont="1"/>
    <xf numFmtId="44" fontId="7" fillId="0" borderId="0" xfId="1" applyFont="1"/>
    <xf numFmtId="14" fontId="5" fillId="0" borderId="0" xfId="0" applyNumberFormat="1" applyFont="1" applyAlignment="1">
      <alignment horizontal="center"/>
    </xf>
    <xf numFmtId="44" fontId="3" fillId="0" borderId="0" xfId="0" applyNumberFormat="1" applyFont="1"/>
    <xf numFmtId="9" fontId="3" fillId="0" borderId="0" xfId="2" applyFont="1"/>
    <xf numFmtId="44" fontId="7" fillId="2" borderId="0" xfId="1" applyFont="1" applyFill="1"/>
    <xf numFmtId="44" fontId="4" fillId="0" borderId="0" xfId="0" applyNumberFormat="1" applyFont="1"/>
    <xf numFmtId="0" fontId="9" fillId="0" borderId="1" xfId="0" applyFont="1" applyBorder="1" applyAlignment="1">
      <alignment vertical="center"/>
    </xf>
    <xf numFmtId="0" fontId="8" fillId="0" borderId="0" xfId="0" applyFont="1"/>
    <xf numFmtId="0" fontId="9" fillId="0" borderId="3" xfId="0" applyFont="1" applyBorder="1" applyAlignment="1">
      <alignment vertical="center"/>
    </xf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9" fillId="0" borderId="2" xfId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44" fontId="9" fillId="0" borderId="4" xfId="1" applyFont="1" applyBorder="1" applyAlignment="1">
      <alignment horizontal="center" vertical="center"/>
    </xf>
    <xf numFmtId="44" fontId="8" fillId="0" borderId="0" xfId="1" applyFont="1" applyAlignment="1">
      <alignment horizontal="center"/>
    </xf>
    <xf numFmtId="0" fontId="10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left"/>
    </xf>
    <xf numFmtId="164" fontId="11" fillId="0" borderId="5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44" fontId="0" fillId="0" borderId="5" xfId="1" applyFont="1" applyBorder="1"/>
    <xf numFmtId="9" fontId="0" fillId="0" borderId="5" xfId="0" applyNumberFormat="1" applyBorder="1"/>
    <xf numFmtId="0" fontId="0" fillId="0" borderId="5" xfId="0" applyBorder="1"/>
    <xf numFmtId="9" fontId="0" fillId="3" borderId="5" xfId="2" applyFont="1" applyFill="1" applyBorder="1"/>
    <xf numFmtId="44" fontId="0" fillId="3" borderId="5" xfId="1" applyFont="1" applyFill="1" applyBorder="1"/>
    <xf numFmtId="0" fontId="2" fillId="0" borderId="0" xfId="0" applyFont="1"/>
    <xf numFmtId="0" fontId="12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44" fontId="7" fillId="4" borderId="0" xfId="0" applyNumberFormat="1" applyFont="1" applyFill="1"/>
    <xf numFmtId="44" fontId="7" fillId="5" borderId="0" xfId="1" applyFont="1" applyFill="1"/>
    <xf numFmtId="10" fontId="3" fillId="0" borderId="0" xfId="2" applyNumberFormat="1" applyFont="1"/>
    <xf numFmtId="165" fontId="3" fillId="0" borderId="0" xfId="2" applyNumberFormat="1" applyFont="1" applyAlignment="1">
      <alignment horizontal="left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68515-C3A6-4BCF-84BF-82A242AE4277}">
  <dimension ref="A1:P39"/>
  <sheetViews>
    <sheetView tabSelected="1" topLeftCell="B1" workbookViewId="0">
      <selection activeCell="K23" sqref="K23"/>
    </sheetView>
  </sheetViews>
  <sheetFormatPr baseColWidth="10" defaultRowHeight="15" x14ac:dyDescent="0.25"/>
  <cols>
    <col min="1" max="1" width="11.42578125" style="1"/>
    <col min="2" max="2" width="15" style="1" bestFit="1" customWidth="1"/>
    <col min="3" max="3" width="10.140625" style="1" bestFit="1" customWidth="1"/>
    <col min="4" max="4" width="2" style="1" customWidth="1"/>
    <col min="5" max="5" width="13.140625" style="1" bestFit="1" customWidth="1"/>
    <col min="6" max="6" width="11.42578125" style="1"/>
    <col min="7" max="7" width="2" style="1" customWidth="1"/>
    <col min="8" max="8" width="11.42578125" style="11"/>
    <col min="9" max="16384" width="11.42578125" style="1"/>
  </cols>
  <sheetData>
    <row r="1" spans="1:13" x14ac:dyDescent="0.25">
      <c r="A1" s="5" t="s">
        <v>14</v>
      </c>
    </row>
    <row r="2" spans="1:13" x14ac:dyDescent="0.25">
      <c r="A2" s="1" t="s">
        <v>15</v>
      </c>
    </row>
    <row r="3" spans="1:13" x14ac:dyDescent="0.25">
      <c r="A3" s="1" t="s">
        <v>16</v>
      </c>
      <c r="C3" s="9">
        <f ca="1">+TODAY()</f>
        <v>44434</v>
      </c>
      <c r="E3" s="36"/>
      <c r="F3" s="36"/>
    </row>
    <row r="4" spans="1:13" x14ac:dyDescent="0.25">
      <c r="E4" s="4" t="s">
        <v>0</v>
      </c>
      <c r="F4" s="4" t="s">
        <v>1</v>
      </c>
      <c r="H4" s="4" t="s">
        <v>0</v>
      </c>
      <c r="I4" s="4" t="s">
        <v>1</v>
      </c>
    </row>
    <row r="5" spans="1:13" x14ac:dyDescent="0.25">
      <c r="B5" s="1" t="s">
        <v>3</v>
      </c>
      <c r="E5" s="13">
        <f>+'Miel&amp;Fazon'!C5*Cotizador!E6</f>
        <v>7.2912000000000008</v>
      </c>
      <c r="F5" s="13">
        <f>+'Miel&amp;Fazon'!C5*Cotizador!F6</f>
        <v>8.0203199999999999</v>
      </c>
      <c r="H5" s="11">
        <f>+E5/$E$21</f>
        <v>0.1152109825874119</v>
      </c>
      <c r="I5" s="11">
        <f>+F5/$F$21</f>
        <v>0.10263151900616387</v>
      </c>
    </row>
    <row r="6" spans="1:13" hidden="1" x14ac:dyDescent="0.25">
      <c r="E6" s="36">
        <f>+E8*6%</f>
        <v>2.4E-2</v>
      </c>
      <c r="F6" s="36">
        <f>+F8*6%</f>
        <v>2.64E-2</v>
      </c>
      <c r="H6" s="11">
        <f>+E6/$E$21</f>
        <v>3.7923299074197459E-4</v>
      </c>
      <c r="I6" s="11">
        <f t="shared" ref="I6:I21" si="0">+F6/$F$21</f>
        <v>3.3782593484583235E-4</v>
      </c>
    </row>
    <row r="7" spans="1:13" x14ac:dyDescent="0.25">
      <c r="B7" s="1" t="s">
        <v>2</v>
      </c>
      <c r="E7" s="13">
        <f>+'Miel&amp;Fazon'!F15*Cotizador!E8</f>
        <v>38.258000000000003</v>
      </c>
      <c r="F7" s="13">
        <f>+'Miel&amp;Fazon'!F15*Cotizador!F8</f>
        <v>42.083800000000004</v>
      </c>
      <c r="H7" s="11">
        <f>+E7/$E$21</f>
        <v>0.60452898999193605</v>
      </c>
      <c r="I7" s="11">
        <f t="shared" si="0"/>
        <v>0.53852269230549399</v>
      </c>
    </row>
    <row r="8" spans="1:13" hidden="1" x14ac:dyDescent="0.25">
      <c r="E8" s="36">
        <v>0.4</v>
      </c>
      <c r="F8" s="36">
        <v>0.44</v>
      </c>
      <c r="H8" s="11">
        <f>+E8/$E$21</f>
        <v>6.3205498456995772E-3</v>
      </c>
      <c r="I8" s="11">
        <f t="shared" si="0"/>
        <v>5.6304322474305391E-3</v>
      </c>
    </row>
    <row r="9" spans="1:13" x14ac:dyDescent="0.25">
      <c r="B9" s="6" t="s">
        <v>12</v>
      </c>
      <c r="E9" s="7">
        <f>+E5+E7</f>
        <v>45.549200000000006</v>
      </c>
      <c r="F9" s="7">
        <f>+F5+F7</f>
        <v>50.104120000000002</v>
      </c>
      <c r="H9" s="11">
        <f>+E9/$E$21</f>
        <v>0.71973997257934796</v>
      </c>
      <c r="I9" s="11">
        <f t="shared" si="0"/>
        <v>0.64115421131165784</v>
      </c>
      <c r="K9" s="10"/>
      <c r="L9" s="10"/>
      <c r="M9" s="10"/>
    </row>
    <row r="10" spans="1:13" x14ac:dyDescent="0.25">
      <c r="B10" s="6"/>
      <c r="I10" s="11"/>
    </row>
    <row r="11" spans="1:13" x14ac:dyDescent="0.25">
      <c r="B11" s="1" t="s">
        <v>4</v>
      </c>
      <c r="E11" s="13">
        <f>+Insumos!C5</f>
        <v>4.4800000000000004</v>
      </c>
      <c r="F11" s="13">
        <f>+Insumos!C11</f>
        <v>12.74</v>
      </c>
      <c r="H11" s="11">
        <f>+E11/$E$21</f>
        <v>7.0790158271835268E-2</v>
      </c>
      <c r="I11" s="11">
        <f t="shared" si="0"/>
        <v>0.16302660643696607</v>
      </c>
    </row>
    <row r="12" spans="1:13" x14ac:dyDescent="0.25">
      <c r="B12" s="1" t="s">
        <v>5</v>
      </c>
      <c r="E12" s="13">
        <f>+Insumos!C8</f>
        <v>4.1399999999999997</v>
      </c>
      <c r="F12" s="13">
        <f>+Insumos!C13</f>
        <v>4.32</v>
      </c>
      <c r="H12" s="11">
        <f>+E12/$E$21</f>
        <v>6.5417690902990613E-2</v>
      </c>
      <c r="I12" s="11">
        <f t="shared" si="0"/>
        <v>5.5280607520227114E-2</v>
      </c>
    </row>
    <row r="13" spans="1:13" x14ac:dyDescent="0.25">
      <c r="B13" s="1" t="s">
        <v>6</v>
      </c>
      <c r="E13" s="13">
        <f>+Insumos!C6+Insumos!C7</f>
        <v>2.76</v>
      </c>
      <c r="F13" s="13">
        <f>+Insumos!C12</f>
        <v>4.0510000000000002</v>
      </c>
      <c r="H13" s="11">
        <f>+E13/$E$21</f>
        <v>4.3611793935327076E-2</v>
      </c>
      <c r="I13" s="11">
        <f t="shared" si="0"/>
        <v>5.1838365987138896E-2</v>
      </c>
    </row>
    <row r="14" spans="1:13" x14ac:dyDescent="0.25">
      <c r="B14" s="1" t="s">
        <v>7</v>
      </c>
      <c r="E14" s="13">
        <f>+Insumos!C9/12</f>
        <v>1.7683333333333333</v>
      </c>
      <c r="F14" s="13">
        <f>+Insumos!C14/12</f>
        <v>1.2083333333333333</v>
      </c>
      <c r="H14" s="11">
        <f>+E14/$E$21</f>
        <v>2.7942097442863544E-2</v>
      </c>
      <c r="I14" s="11">
        <f t="shared" si="0"/>
        <v>1.5462361285557351E-2</v>
      </c>
    </row>
    <row r="15" spans="1:13" x14ac:dyDescent="0.25">
      <c r="B15" s="6" t="s">
        <v>11</v>
      </c>
      <c r="E15" s="7">
        <f>+E11+E12+E13+E14</f>
        <v>13.148333333333333</v>
      </c>
      <c r="F15" s="7">
        <f>+F11+F12+F13+F14</f>
        <v>22.319333333333336</v>
      </c>
      <c r="H15" s="11">
        <f>+E15/$E$21</f>
        <v>0.20776174055301649</v>
      </c>
      <c r="I15" s="11">
        <f t="shared" si="0"/>
        <v>0.28560794122988947</v>
      </c>
      <c r="J15" s="10"/>
      <c r="K15" s="10"/>
    </row>
    <row r="16" spans="1:13" x14ac:dyDescent="0.25">
      <c r="B16" s="6"/>
      <c r="I16" s="11"/>
    </row>
    <row r="17" spans="2:16" x14ac:dyDescent="0.25">
      <c r="B17" s="1" t="s">
        <v>8</v>
      </c>
      <c r="C17" s="37">
        <v>3.5000000000000003E-2</v>
      </c>
      <c r="D17" s="2"/>
      <c r="E17" s="13">
        <f>+C17*E23</f>
        <v>3.3950000000000005</v>
      </c>
      <c r="F17" s="13">
        <f>+C17*F23</f>
        <v>4.2350000000000003</v>
      </c>
      <c r="H17" s="11">
        <f>+E17/$E$21</f>
        <v>5.3645666815375165E-2</v>
      </c>
      <c r="I17" s="11">
        <f t="shared" si="0"/>
        <v>5.4192910381518945E-2</v>
      </c>
    </row>
    <row r="18" spans="2:16" x14ac:dyDescent="0.25">
      <c r="B18" s="1" t="s">
        <v>9</v>
      </c>
      <c r="C18" s="3">
        <v>1.23E-2</v>
      </c>
      <c r="D18" s="3"/>
      <c r="E18" s="13">
        <f>E23*C18</f>
        <v>1.1931</v>
      </c>
      <c r="F18" s="13">
        <f>+C18*F23</f>
        <v>1.4883</v>
      </c>
      <c r="H18" s="11">
        <f>+E18/$E$21</f>
        <v>1.8852620052260412E-2</v>
      </c>
      <c r="I18" s="11">
        <f t="shared" si="0"/>
        <v>1.9044937076933798E-2</v>
      </c>
    </row>
    <row r="19" spans="2:16" x14ac:dyDescent="0.25">
      <c r="B19" s="6" t="s">
        <v>10</v>
      </c>
      <c r="C19" s="3"/>
      <c r="D19" s="3"/>
      <c r="E19" s="7">
        <f>+E17+E18</f>
        <v>4.5881000000000007</v>
      </c>
      <c r="F19" s="7">
        <f>+F17+F18</f>
        <v>5.7233000000000001</v>
      </c>
      <c r="H19" s="11">
        <f>+E19/$E$21</f>
        <v>7.2498286867635583E-2</v>
      </c>
      <c r="I19" s="11">
        <f t="shared" si="0"/>
        <v>7.3237847458452743E-2</v>
      </c>
    </row>
    <row r="20" spans="2:16" x14ac:dyDescent="0.25">
      <c r="I20" s="11"/>
    </row>
    <row r="21" spans="2:16" x14ac:dyDescent="0.25">
      <c r="B21" s="1" t="s">
        <v>52</v>
      </c>
      <c r="E21" s="8">
        <f>+E19+E15+E9</f>
        <v>63.285633333333337</v>
      </c>
      <c r="F21" s="8">
        <f>+F19+F15+F9</f>
        <v>78.146753333333336</v>
      </c>
      <c r="H21" s="11">
        <f>+E21/$E$21</f>
        <v>1</v>
      </c>
      <c r="I21" s="11">
        <f t="shared" si="0"/>
        <v>1</v>
      </c>
      <c r="K21" s="10"/>
    </row>
    <row r="23" spans="2:16" x14ac:dyDescent="0.25">
      <c r="B23" s="1" t="s">
        <v>13</v>
      </c>
      <c r="E23" s="8">
        <v>97</v>
      </c>
      <c r="F23" s="8">
        <v>121</v>
      </c>
      <c r="H23" s="11">
        <f>+F23/E23-1</f>
        <v>0.24742268041237114</v>
      </c>
    </row>
    <row r="24" spans="2:16" x14ac:dyDescent="0.25">
      <c r="B24" s="6" t="s">
        <v>17</v>
      </c>
      <c r="E24" s="11">
        <f>E23/E21-1</f>
        <v>0.53273333758214725</v>
      </c>
      <c r="F24" s="11">
        <f>F23/F21-1</f>
        <v>0.54836886804339824</v>
      </c>
    </row>
    <row r="25" spans="2:16" x14ac:dyDescent="0.25">
      <c r="B25" s="6" t="s">
        <v>18</v>
      </c>
      <c r="E25" s="11">
        <f>+(E23-E21)/E23</f>
        <v>0.34757079037800681</v>
      </c>
      <c r="F25" s="11">
        <f>+(F23-F21)/F23</f>
        <v>0.35415906336088154</v>
      </c>
    </row>
    <row r="28" spans="2:16" x14ac:dyDescent="0.25">
      <c r="B28" s="1" t="s">
        <v>73</v>
      </c>
      <c r="E28" s="12">
        <f>+E29*(1+E30)</f>
        <v>169.875</v>
      </c>
      <c r="F28" s="12">
        <f>+F29*(1+F30)</f>
        <v>281.45999999999998</v>
      </c>
      <c r="H28" s="11">
        <f>+F28/E28-1</f>
        <v>0.65686534216335524</v>
      </c>
      <c r="J28" s="1" t="s">
        <v>77</v>
      </c>
      <c r="K28" s="1">
        <v>97</v>
      </c>
      <c r="N28" s="1">
        <f>+K28/0.82</f>
        <v>118.29268292682927</v>
      </c>
      <c r="P28" s="1">
        <f>+N28*0.18</f>
        <v>21.292682926829269</v>
      </c>
    </row>
    <row r="29" spans="2:16" x14ac:dyDescent="0.25">
      <c r="B29" s="1" t="s">
        <v>75</v>
      </c>
      <c r="E29" s="39">
        <f>+Mercado!F13</f>
        <v>135.9</v>
      </c>
      <c r="F29" s="39">
        <f>+Mercado!F14</f>
        <v>234.55</v>
      </c>
      <c r="J29" s="1" t="s">
        <v>78</v>
      </c>
      <c r="K29" s="1">
        <v>87</v>
      </c>
      <c r="L29" s="42">
        <f>+K29/K28-1</f>
        <v>-0.10309278350515461</v>
      </c>
      <c r="P29" s="1">
        <f>+N28-P28</f>
        <v>97</v>
      </c>
    </row>
    <row r="30" spans="2:16" x14ac:dyDescent="0.25">
      <c r="B30" s="1" t="s">
        <v>19</v>
      </c>
      <c r="E30" s="11">
        <v>0.25</v>
      </c>
      <c r="F30" s="11">
        <v>0.2</v>
      </c>
      <c r="N30" s="1">
        <f>+N28*0.88</f>
        <v>104.09756097560977</v>
      </c>
    </row>
    <row r="32" spans="2:16" x14ac:dyDescent="0.25">
      <c r="K32" s="1">
        <f>+K29/0.85/0.9</f>
        <v>113.72549019607844</v>
      </c>
      <c r="P32" s="1">
        <f>97/0.88</f>
        <v>110.22727272727273</v>
      </c>
    </row>
    <row r="33" spans="2:14" x14ac:dyDescent="0.25">
      <c r="B33" s="1" t="s">
        <v>74</v>
      </c>
      <c r="E33" s="40">
        <f>+E23*1.21*1.35</f>
        <v>158.4495</v>
      </c>
      <c r="F33" s="40">
        <f>+F23*1.21*1.5</f>
        <v>219.61500000000001</v>
      </c>
    </row>
    <row r="35" spans="2:14" x14ac:dyDescent="0.25">
      <c r="E35" s="10"/>
      <c r="N35" s="1">
        <f>+N30*1.5*1.21</f>
        <v>188.93707317073171</v>
      </c>
    </row>
    <row r="36" spans="2:14" x14ac:dyDescent="0.25">
      <c r="B36" s="1" t="s">
        <v>76</v>
      </c>
      <c r="E36" s="41">
        <f>+((E28)/1.21-E23)/(E28/1.21)</f>
        <v>0.30908020603384839</v>
      </c>
      <c r="F36" s="41">
        <f>+((F28)/1.21-F23)/(F28/1.21)</f>
        <v>0.4798195125417466</v>
      </c>
    </row>
    <row r="39" spans="2:14" x14ac:dyDescent="0.25">
      <c r="E39" s="1">
        <f>+E28*1.15</f>
        <v>195.35624999999999</v>
      </c>
      <c r="F39" s="1">
        <f>+F28*1.15</f>
        <v>323.67899999999997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A6F6-11F8-40C5-B382-C0C02B3B12B4}">
  <dimension ref="A1:E14"/>
  <sheetViews>
    <sheetView workbookViewId="0">
      <selection sqref="A1:E2"/>
    </sheetView>
  </sheetViews>
  <sheetFormatPr baseColWidth="10" defaultRowHeight="15" x14ac:dyDescent="0.25"/>
  <cols>
    <col min="2" max="2" width="31" bestFit="1" customWidth="1"/>
    <col min="3" max="3" width="11.28515625" style="17" bestFit="1" customWidth="1"/>
  </cols>
  <sheetData>
    <row r="1" spans="1:5" x14ac:dyDescent="0.25">
      <c r="A1" s="5" t="s">
        <v>14</v>
      </c>
    </row>
    <row r="2" spans="1:5" x14ac:dyDescent="0.25">
      <c r="A2" s="1" t="s">
        <v>29</v>
      </c>
      <c r="D2" t="s">
        <v>30</v>
      </c>
      <c r="E2" s="17">
        <v>98</v>
      </c>
    </row>
    <row r="4" spans="1:5" ht="15.75" thickBot="1" x14ac:dyDescent="0.3">
      <c r="C4" s="18" t="s">
        <v>32</v>
      </c>
      <c r="D4" s="19" t="s">
        <v>31</v>
      </c>
    </row>
    <row r="5" spans="1:5" ht="15.75" thickBot="1" x14ac:dyDescent="0.3">
      <c r="B5" s="14" t="s">
        <v>20</v>
      </c>
      <c r="C5" s="20">
        <v>4.4800000000000004</v>
      </c>
      <c r="D5" s="21"/>
    </row>
    <row r="6" spans="1:5" ht="15.75" thickBot="1" x14ac:dyDescent="0.3">
      <c r="B6" s="16" t="s">
        <v>21</v>
      </c>
      <c r="C6" s="22">
        <v>1.56</v>
      </c>
      <c r="D6" s="21"/>
    </row>
    <row r="7" spans="1:5" ht="15.75" thickBot="1" x14ac:dyDescent="0.3">
      <c r="B7" s="16" t="s">
        <v>22</v>
      </c>
      <c r="C7" s="22">
        <v>1.2</v>
      </c>
      <c r="D7" s="21"/>
    </row>
    <row r="8" spans="1:5" ht="15.75" thickBot="1" x14ac:dyDescent="0.3">
      <c r="B8" s="16" t="s">
        <v>23</v>
      </c>
      <c r="C8" s="22">
        <v>4.1399999999999997</v>
      </c>
      <c r="D8" s="21"/>
    </row>
    <row r="9" spans="1:5" ht="15.75" thickBot="1" x14ac:dyDescent="0.3">
      <c r="B9" s="16" t="s">
        <v>24</v>
      </c>
      <c r="C9" s="22">
        <v>21.22</v>
      </c>
      <c r="D9" s="21"/>
    </row>
    <row r="10" spans="1:5" ht="15.75" thickBot="1" x14ac:dyDescent="0.3">
      <c r="B10" s="15"/>
      <c r="C10" s="23"/>
      <c r="D10" s="21"/>
    </row>
    <row r="11" spans="1:5" ht="15.75" thickBot="1" x14ac:dyDescent="0.3">
      <c r="B11" s="14" t="s">
        <v>25</v>
      </c>
      <c r="C11" s="20">
        <f>+D11*E2</f>
        <v>12.74</v>
      </c>
      <c r="D11" s="21">
        <v>0.13</v>
      </c>
    </row>
    <row r="12" spans="1:5" ht="15.75" thickBot="1" x14ac:dyDescent="0.3">
      <c r="B12" s="16" t="s">
        <v>26</v>
      </c>
      <c r="C12" s="22">
        <v>4.0510000000000002</v>
      </c>
      <c r="D12" s="24"/>
    </row>
    <row r="13" spans="1:5" ht="15.75" thickBot="1" x14ac:dyDescent="0.3">
      <c r="B13" s="16" t="s">
        <v>27</v>
      </c>
      <c r="C13" s="22">
        <v>4.32</v>
      </c>
      <c r="D13" s="21"/>
    </row>
    <row r="14" spans="1:5" ht="15.75" thickBot="1" x14ac:dyDescent="0.3">
      <c r="B14" s="16" t="s">
        <v>28</v>
      </c>
      <c r="C14" s="22">
        <v>14.5</v>
      </c>
      <c r="D14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12783-8E0E-4B2A-A0BF-779651C264AC}">
  <dimension ref="A1:I15"/>
  <sheetViews>
    <sheetView topLeftCell="A7" workbookViewId="0">
      <selection activeCell="C13" sqref="C13"/>
    </sheetView>
  </sheetViews>
  <sheetFormatPr baseColWidth="10" defaultRowHeight="15" x14ac:dyDescent="0.25"/>
  <cols>
    <col min="2" max="2" width="20.5703125" bestFit="1" customWidth="1"/>
    <col min="4" max="4" width="11.5703125" bestFit="1" customWidth="1"/>
    <col min="5" max="5" width="8.42578125" bestFit="1" customWidth="1"/>
    <col min="6" max="7" width="13.28515625" bestFit="1" customWidth="1"/>
    <col min="8" max="8" width="36.85546875" bestFit="1" customWidth="1"/>
    <col min="9" max="9" width="17.85546875" bestFit="1" customWidth="1"/>
  </cols>
  <sheetData>
    <row r="1" spans="1:9" x14ac:dyDescent="0.25">
      <c r="A1" s="5" t="s">
        <v>14</v>
      </c>
      <c r="C1" s="17"/>
    </row>
    <row r="2" spans="1:9" x14ac:dyDescent="0.25">
      <c r="A2" s="1" t="s">
        <v>33</v>
      </c>
      <c r="C2" s="17"/>
      <c r="D2" t="s">
        <v>30</v>
      </c>
      <c r="E2" s="17">
        <v>98</v>
      </c>
    </row>
    <row r="4" spans="1:9" x14ac:dyDescent="0.25">
      <c r="B4" s="35" t="s">
        <v>50</v>
      </c>
    </row>
    <row r="5" spans="1:9" x14ac:dyDescent="0.25">
      <c r="B5" s="25" t="s">
        <v>34</v>
      </c>
      <c r="C5" s="26">
        <f>+E2*C6</f>
        <v>303.8</v>
      </c>
      <c r="D5" s="27"/>
      <c r="E5" s="27"/>
    </row>
    <row r="6" spans="1:9" x14ac:dyDescent="0.25">
      <c r="B6" s="25" t="s">
        <v>35</v>
      </c>
      <c r="C6" s="26">
        <v>3.1</v>
      </c>
      <c r="D6" s="27"/>
      <c r="E6" s="27"/>
    </row>
    <row r="9" spans="1:9" x14ac:dyDescent="0.25">
      <c r="B9" s="35" t="s">
        <v>51</v>
      </c>
      <c r="F9" s="28" t="s">
        <v>36</v>
      </c>
      <c r="G9" s="28" t="s">
        <v>37</v>
      </c>
    </row>
    <row r="10" spans="1:9" x14ac:dyDescent="0.25">
      <c r="B10" s="29"/>
      <c r="C10" s="28" t="s">
        <v>38</v>
      </c>
      <c r="D10" s="28" t="s">
        <v>39</v>
      </c>
      <c r="F10" s="29" t="s">
        <v>40</v>
      </c>
      <c r="G10" s="29" t="s">
        <v>40</v>
      </c>
      <c r="H10" s="29" t="s">
        <v>41</v>
      </c>
      <c r="I10" s="29" t="s">
        <v>42</v>
      </c>
    </row>
    <row r="11" spans="1:9" x14ac:dyDescent="0.25">
      <c r="B11" s="29" t="s">
        <v>43</v>
      </c>
      <c r="C11" s="30">
        <v>26.89</v>
      </c>
      <c r="D11" s="31">
        <v>0.5</v>
      </c>
      <c r="F11" s="30">
        <f>+C11/D11</f>
        <v>53.78</v>
      </c>
      <c r="G11" s="30"/>
      <c r="H11" s="32" t="s">
        <v>44</v>
      </c>
      <c r="I11" s="33"/>
    </row>
    <row r="12" spans="1:9" x14ac:dyDescent="0.25">
      <c r="B12" s="29" t="s">
        <v>45</v>
      </c>
      <c r="C12" s="30">
        <v>39.549999999999997</v>
      </c>
      <c r="D12" s="32">
        <v>150</v>
      </c>
      <c r="F12" s="30">
        <f>+(C12*D12)/(D11*1000)</f>
        <v>11.865</v>
      </c>
      <c r="G12" s="30"/>
      <c r="H12" s="32" t="s">
        <v>46</v>
      </c>
      <c r="I12" s="33"/>
    </row>
    <row r="13" spans="1:9" x14ac:dyDescent="0.25">
      <c r="B13" s="29" t="s">
        <v>47</v>
      </c>
      <c r="C13" s="32"/>
      <c r="D13" s="32"/>
      <c r="F13" s="30">
        <v>30</v>
      </c>
      <c r="G13" s="30"/>
      <c r="H13" s="32" t="s">
        <v>48</v>
      </c>
      <c r="I13" s="33"/>
    </row>
    <row r="15" spans="1:9" x14ac:dyDescent="0.25">
      <c r="B15" s="29" t="s">
        <v>49</v>
      </c>
      <c r="C15" s="34"/>
      <c r="D15" s="34"/>
      <c r="F15" s="34">
        <f>+F13+F12+F11</f>
        <v>95.64500000000001</v>
      </c>
      <c r="G15" s="34">
        <f>+G13+G12+G11</f>
        <v>0</v>
      </c>
      <c r="H15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1CD5-9679-401C-B09C-38360C62FF96}">
  <sheetPr>
    <pageSetUpPr fitToPage="1"/>
  </sheetPr>
  <dimension ref="A1:H18"/>
  <sheetViews>
    <sheetView workbookViewId="0">
      <selection activeCell="F6" sqref="F6"/>
    </sheetView>
  </sheetViews>
  <sheetFormatPr baseColWidth="10" defaultRowHeight="15" x14ac:dyDescent="0.25"/>
  <cols>
    <col min="2" max="2" width="13" bestFit="1" customWidth="1"/>
    <col min="7" max="7" width="12.85546875" bestFit="1" customWidth="1"/>
  </cols>
  <sheetData>
    <row r="1" spans="1:8" x14ac:dyDescent="0.25">
      <c r="A1" s="5" t="s">
        <v>14</v>
      </c>
      <c r="C1" s="17"/>
    </row>
    <row r="2" spans="1:8" x14ac:dyDescent="0.25">
      <c r="A2" s="1" t="s">
        <v>53</v>
      </c>
      <c r="C2" s="9">
        <f ca="1">+TODAY()</f>
        <v>44434</v>
      </c>
      <c r="D2" t="s">
        <v>30</v>
      </c>
      <c r="E2" s="17">
        <v>98</v>
      </c>
    </row>
    <row r="5" spans="1:8" x14ac:dyDescent="0.25">
      <c r="B5" t="s">
        <v>55</v>
      </c>
      <c r="C5" t="s">
        <v>56</v>
      </c>
      <c r="D5" t="s">
        <v>57</v>
      </c>
      <c r="F5" s="19" t="s">
        <v>58</v>
      </c>
      <c r="G5" t="s">
        <v>59</v>
      </c>
      <c r="H5" t="s">
        <v>60</v>
      </c>
    </row>
    <row r="6" spans="1:8" x14ac:dyDescent="0.25">
      <c r="B6" t="s">
        <v>54</v>
      </c>
      <c r="C6" t="s">
        <v>62</v>
      </c>
      <c r="D6" s="19">
        <v>400</v>
      </c>
      <c r="F6" s="17">
        <v>136.19999999999999</v>
      </c>
      <c r="G6" t="s">
        <v>61</v>
      </c>
      <c r="H6" s="38">
        <v>44320</v>
      </c>
    </row>
    <row r="7" spans="1:8" x14ac:dyDescent="0.25">
      <c r="B7" t="s">
        <v>63</v>
      </c>
      <c r="C7" t="s">
        <v>64</v>
      </c>
      <c r="D7" s="19">
        <v>400</v>
      </c>
      <c r="F7" s="17">
        <v>119</v>
      </c>
      <c r="G7" t="s">
        <v>61</v>
      </c>
      <c r="H7" s="38">
        <v>44320</v>
      </c>
    </row>
    <row r="8" spans="1:8" x14ac:dyDescent="0.25">
      <c r="B8" t="s">
        <v>65</v>
      </c>
      <c r="C8" t="s">
        <v>64</v>
      </c>
      <c r="D8" s="19">
        <v>400</v>
      </c>
      <c r="F8" s="17">
        <v>110.3</v>
      </c>
      <c r="G8" t="s">
        <v>61</v>
      </c>
      <c r="H8" s="38">
        <v>44320</v>
      </c>
    </row>
    <row r="9" spans="1:8" x14ac:dyDescent="0.25">
      <c r="B9" t="s">
        <v>54</v>
      </c>
      <c r="C9" t="s">
        <v>62</v>
      </c>
      <c r="D9" s="19">
        <v>400</v>
      </c>
      <c r="F9" s="17">
        <v>136.99</v>
      </c>
      <c r="G9" t="s">
        <v>66</v>
      </c>
      <c r="H9" s="38">
        <v>44320</v>
      </c>
    </row>
    <row r="10" spans="1:8" x14ac:dyDescent="0.25">
      <c r="B10" t="s">
        <v>63</v>
      </c>
      <c r="C10" t="s">
        <v>64</v>
      </c>
      <c r="D10" s="19">
        <v>400</v>
      </c>
      <c r="F10" s="17">
        <v>124.45</v>
      </c>
      <c r="G10" t="s">
        <v>66</v>
      </c>
      <c r="H10" s="38">
        <v>44320</v>
      </c>
    </row>
    <row r="11" spans="1:8" x14ac:dyDescent="0.25">
      <c r="B11" t="s">
        <v>65</v>
      </c>
      <c r="C11" t="s">
        <v>64</v>
      </c>
      <c r="D11" s="19">
        <v>400</v>
      </c>
      <c r="F11" s="17">
        <v>112.5</v>
      </c>
      <c r="G11" t="s">
        <v>66</v>
      </c>
      <c r="H11" s="38">
        <v>44320</v>
      </c>
    </row>
    <row r="12" spans="1:8" x14ac:dyDescent="0.25">
      <c r="B12" t="s">
        <v>67</v>
      </c>
      <c r="C12" t="s">
        <v>64</v>
      </c>
      <c r="D12" s="19">
        <v>400</v>
      </c>
      <c r="F12" s="17">
        <v>124.9</v>
      </c>
      <c r="G12" t="s">
        <v>66</v>
      </c>
      <c r="H12" s="38">
        <v>44320</v>
      </c>
    </row>
    <row r="13" spans="1:8" x14ac:dyDescent="0.25">
      <c r="B13" t="s">
        <v>68</v>
      </c>
      <c r="C13" t="s">
        <v>64</v>
      </c>
      <c r="D13" s="19">
        <v>400</v>
      </c>
      <c r="F13" s="17">
        <v>135.9</v>
      </c>
      <c r="G13" t="s">
        <v>66</v>
      </c>
      <c r="H13" s="38">
        <v>44320</v>
      </c>
    </row>
    <row r="14" spans="1:8" x14ac:dyDescent="0.25">
      <c r="B14" t="s">
        <v>69</v>
      </c>
      <c r="C14" t="s">
        <v>70</v>
      </c>
      <c r="D14" s="19">
        <v>440</v>
      </c>
      <c r="F14" s="17">
        <v>234.55</v>
      </c>
      <c r="G14" t="s">
        <v>66</v>
      </c>
      <c r="H14" s="38">
        <v>44320</v>
      </c>
    </row>
    <row r="15" spans="1:8" x14ac:dyDescent="0.25">
      <c r="B15" t="s">
        <v>63</v>
      </c>
      <c r="C15" t="s">
        <v>70</v>
      </c>
      <c r="D15" s="19">
        <v>450</v>
      </c>
      <c r="F15" s="17">
        <v>265</v>
      </c>
      <c r="G15" t="s">
        <v>71</v>
      </c>
      <c r="H15" s="38">
        <v>44320</v>
      </c>
    </row>
    <row r="16" spans="1:8" x14ac:dyDescent="0.25">
      <c r="B16" t="s">
        <v>68</v>
      </c>
      <c r="C16" t="s">
        <v>64</v>
      </c>
      <c r="D16" s="19">
        <v>400</v>
      </c>
      <c r="F16" s="17">
        <v>139</v>
      </c>
      <c r="G16" t="s">
        <v>71</v>
      </c>
      <c r="H16" s="38">
        <v>44320</v>
      </c>
    </row>
    <row r="17" spans="2:8" x14ac:dyDescent="0.25">
      <c r="B17" t="s">
        <v>69</v>
      </c>
      <c r="C17" t="s">
        <v>70</v>
      </c>
      <c r="D17" s="19">
        <v>440</v>
      </c>
      <c r="F17" s="17">
        <v>329</v>
      </c>
      <c r="G17" t="s">
        <v>71</v>
      </c>
      <c r="H17" s="38">
        <v>44320</v>
      </c>
    </row>
    <row r="18" spans="2:8" x14ac:dyDescent="0.25">
      <c r="B18" t="s">
        <v>69</v>
      </c>
      <c r="C18" t="s">
        <v>70</v>
      </c>
      <c r="D18" s="19">
        <v>440</v>
      </c>
      <c r="F18" s="17">
        <v>285</v>
      </c>
      <c r="G18" t="s">
        <v>72</v>
      </c>
      <c r="H18" s="38">
        <v>44320</v>
      </c>
    </row>
  </sheetData>
  <pageMargins left="0.70866141732283472" right="0.70866141732283472" top="0.74803149606299213" bottom="0.74803149606299213" header="0.31496062992125984" footer="0.31496062992125984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Cotizador</vt:lpstr>
      <vt:lpstr>Insumos</vt:lpstr>
      <vt:lpstr>Miel&amp;Fazon</vt:lpstr>
      <vt:lpstr>Mercado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2021-05-04T17:48:20Z</cp:lastPrinted>
  <dcterms:created xsi:type="dcterms:W3CDTF">2021-05-04T14:47:52Z</dcterms:created>
  <dcterms:modified xsi:type="dcterms:W3CDTF">2021-08-26T15:33:42Z</dcterms:modified>
</cp:coreProperties>
</file>