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4000" windowHeight="11370" activeTab="3"/>
  </bookViews>
  <sheets>
    <sheet name="ExpSmoothing" sheetId="1" r:id="rId1"/>
    <sheet name="Winters" sheetId="3" r:id="rId2"/>
    <sheet name="LinRegression" sheetId="2" r:id="rId3"/>
    <sheet name="Tabelle1" sheetId="4" r:id="rId4"/>
  </sheets>
  <externalReferences>
    <externalReference r:id="rId5"/>
  </externalReferences>
  <definedNames>
    <definedName name="alpha">#REF!</definedName>
    <definedName name="beta">#REF!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/>
  <c r="I41"/>
  <c r="H42"/>
  <c r="I42"/>
  <c r="H43"/>
  <c r="I43"/>
  <c r="H44"/>
  <c r="I44"/>
  <c r="H45"/>
  <c r="I45"/>
  <c r="H46"/>
  <c r="I46"/>
  <c r="H47"/>
  <c r="I47"/>
  <c r="H48"/>
  <c r="I48"/>
  <c r="I52"/>
  <c r="E41"/>
  <c r="D42"/>
  <c r="E42"/>
  <c r="D43"/>
  <c r="E43"/>
  <c r="D44"/>
  <c r="E44"/>
  <c r="D45"/>
  <c r="E45"/>
  <c r="D46"/>
  <c r="E46"/>
  <c r="D47"/>
  <c r="E47"/>
  <c r="D48"/>
  <c r="E48"/>
  <c r="E52"/>
  <c r="H23"/>
  <c r="G23"/>
  <c r="F23"/>
  <c r="E23"/>
  <c r="D23"/>
  <c r="H22"/>
  <c r="G22"/>
  <c r="F22"/>
  <c r="E22"/>
  <c r="D22"/>
  <c r="H21"/>
  <c r="G21"/>
  <c r="F21"/>
  <c r="E21"/>
  <c r="D21"/>
  <c r="G20"/>
  <c r="F20"/>
  <c r="E20"/>
  <c r="D20"/>
  <c r="G19"/>
  <c r="F19"/>
  <c r="E19"/>
  <c r="D19"/>
  <c r="F18"/>
  <c r="E18"/>
  <c r="D18"/>
  <c r="F17"/>
  <c r="E17"/>
  <c r="D17"/>
  <c r="E16"/>
  <c r="D16"/>
  <c r="D15"/>
  <c r="D55" i="1"/>
  <c r="D56"/>
  <c r="D57"/>
  <c r="D58"/>
  <c r="D59"/>
  <c r="D60"/>
  <c r="D61"/>
  <c r="D62"/>
  <c r="D54"/>
  <c r="E75"/>
  <c r="E76"/>
  <c r="D77"/>
  <c r="H55"/>
  <c r="H56"/>
  <c r="H57"/>
  <c r="H58"/>
  <c r="H59"/>
  <c r="H60"/>
  <c r="H61"/>
  <c r="H62"/>
  <c r="H54"/>
  <c r="F55"/>
  <c r="F56"/>
  <c r="F57"/>
  <c r="F58"/>
  <c r="F59"/>
  <c r="F60"/>
  <c r="F61"/>
  <c r="F62"/>
  <c r="F54"/>
  <c r="E17" i="3"/>
  <c r="G6"/>
  <c r="H18"/>
  <c r="K18"/>
  <c r="E18"/>
  <c r="F18"/>
  <c r="G7"/>
  <c r="H19"/>
  <c r="K19"/>
  <c r="E19"/>
  <c r="F19"/>
  <c r="G8"/>
  <c r="H20"/>
  <c r="K20"/>
  <c r="E20"/>
  <c r="F20"/>
  <c r="G9"/>
  <c r="H21"/>
  <c r="K21"/>
  <c r="E21"/>
  <c r="F21"/>
  <c r="G10"/>
  <c r="H22"/>
  <c r="K22"/>
  <c r="E22"/>
  <c r="F22"/>
  <c r="G11"/>
  <c r="H23"/>
  <c r="K23"/>
  <c r="E23"/>
  <c r="F23"/>
  <c r="G12"/>
  <c r="H24"/>
  <c r="K24"/>
  <c r="E24"/>
  <c r="F24"/>
  <c r="G13"/>
  <c r="H25"/>
  <c r="K25"/>
  <c r="E25"/>
  <c r="F25"/>
  <c r="G14"/>
  <c r="H26"/>
  <c r="K26"/>
  <c r="E26"/>
  <c r="F26"/>
  <c r="G15"/>
  <c r="H27"/>
  <c r="K27"/>
  <c r="E27"/>
  <c r="F27"/>
  <c r="G16"/>
  <c r="H28"/>
  <c r="K28"/>
  <c r="E28"/>
  <c r="F28"/>
  <c r="G17"/>
  <c r="H29"/>
  <c r="K29"/>
  <c r="K30"/>
  <c r="J18"/>
  <c r="J19"/>
  <c r="J20"/>
  <c r="J21"/>
  <c r="J22"/>
  <c r="J23"/>
  <c r="J24"/>
  <c r="J25"/>
  <c r="J26"/>
  <c r="J27"/>
  <c r="J28"/>
  <c r="J29"/>
  <c r="J30"/>
  <c r="I18"/>
  <c r="I19"/>
  <c r="I20"/>
  <c r="I21"/>
  <c r="I22"/>
  <c r="I23"/>
  <c r="I24"/>
  <c r="I25"/>
  <c r="I26"/>
  <c r="I27"/>
  <c r="I28"/>
  <c r="I29"/>
  <c r="I30"/>
  <c r="E29"/>
  <c r="G29"/>
  <c r="F29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G28"/>
  <c r="G27"/>
  <c r="G26"/>
  <c r="G25"/>
  <c r="G24"/>
  <c r="G23"/>
  <c r="G22"/>
  <c r="G21"/>
  <c r="G20"/>
  <c r="G19"/>
  <c r="G18"/>
  <c r="K17"/>
  <c r="J17"/>
  <c r="I17"/>
  <c r="K16"/>
  <c r="J16"/>
  <c r="I16"/>
  <c r="K15"/>
  <c r="J15"/>
  <c r="I15"/>
  <c r="K14"/>
  <c r="J14"/>
  <c r="I14"/>
  <c r="K13"/>
  <c r="J13"/>
  <c r="I13"/>
  <c r="K12"/>
  <c r="J12"/>
  <c r="I12"/>
  <c r="K11"/>
  <c r="J11"/>
  <c r="I11"/>
  <c r="K10"/>
  <c r="J10"/>
  <c r="I10"/>
  <c r="K9"/>
  <c r="J9"/>
  <c r="I9"/>
  <c r="K8"/>
  <c r="J8"/>
  <c r="I8"/>
  <c r="K7"/>
  <c r="J7"/>
  <c r="I7"/>
  <c r="K6"/>
  <c r="J6"/>
  <c r="I6"/>
  <c r="F47" i="2"/>
  <c r="F48"/>
  <c r="G44"/>
  <c r="G45"/>
  <c r="G46"/>
  <c r="G47"/>
  <c r="G48"/>
  <c r="F50"/>
  <c r="C93"/>
  <c r="E93"/>
  <c r="E47"/>
  <c r="E48"/>
  <c r="E50"/>
  <c r="C92"/>
  <c r="E92"/>
  <c r="D47"/>
  <c r="D48"/>
  <c r="D50"/>
  <c r="C91"/>
  <c r="E91"/>
  <c r="C47"/>
  <c r="C48"/>
  <c r="C50"/>
  <c r="C90"/>
  <c r="E90"/>
  <c r="F79"/>
  <c r="F78"/>
  <c r="F77"/>
  <c r="F76"/>
  <c r="F75"/>
  <c r="F58"/>
  <c r="D75"/>
  <c r="F74"/>
  <c r="E58"/>
  <c r="D74"/>
  <c r="F73"/>
  <c r="D58"/>
  <c r="D73"/>
  <c r="F72"/>
  <c r="C58"/>
  <c r="D72"/>
  <c r="F71"/>
  <c r="F57"/>
  <c r="D71"/>
  <c r="F70"/>
  <c r="E57"/>
  <c r="D70"/>
  <c r="F69"/>
  <c r="D57"/>
  <c r="D69"/>
  <c r="F68"/>
  <c r="C57"/>
  <c r="D68"/>
  <c r="F67"/>
  <c r="F56"/>
  <c r="D67"/>
  <c r="F66"/>
  <c r="E56"/>
  <c r="D66"/>
  <c r="F65"/>
  <c r="D56"/>
  <c r="D65"/>
  <c r="F64"/>
  <c r="C56"/>
  <c r="D64"/>
  <c r="D23"/>
  <c r="D25"/>
  <c r="G10"/>
  <c r="G11"/>
  <c r="G12"/>
  <c r="G13"/>
  <c r="G14"/>
  <c r="G15"/>
  <c r="G16"/>
  <c r="G17"/>
  <c r="G18"/>
  <c r="G19"/>
  <c r="G23"/>
  <c r="C23"/>
  <c r="C25"/>
  <c r="F10"/>
  <c r="F11"/>
  <c r="F12"/>
  <c r="F13"/>
  <c r="F14"/>
  <c r="F15"/>
  <c r="F16"/>
  <c r="F17"/>
  <c r="F18"/>
  <c r="F19"/>
  <c r="F23"/>
  <c r="C27"/>
  <c r="F27"/>
  <c r="I21"/>
  <c r="F21"/>
  <c r="I20"/>
  <c r="F20"/>
  <c r="I19"/>
  <c r="I18"/>
  <c r="I17"/>
  <c r="I16"/>
  <c r="I15"/>
  <c r="I14"/>
  <c r="I13"/>
  <c r="I12"/>
  <c r="I11"/>
  <c r="I10"/>
  <c r="F99" i="1"/>
  <c r="H99"/>
  <c r="D99"/>
  <c r="E99"/>
  <c r="F100"/>
  <c r="H100"/>
  <c r="D100"/>
  <c r="E100"/>
  <c r="F101"/>
  <c r="H101"/>
  <c r="D101"/>
  <c r="E101"/>
  <c r="F102"/>
  <c r="H102"/>
  <c r="D102"/>
  <c r="E102"/>
  <c r="F103"/>
  <c r="H103"/>
  <c r="D103"/>
  <c r="E103"/>
  <c r="F104"/>
  <c r="H104"/>
  <c r="D104"/>
  <c r="E104"/>
  <c r="F105"/>
  <c r="H105"/>
  <c r="D105"/>
  <c r="E105"/>
  <c r="F106"/>
  <c r="H106"/>
  <c r="D106"/>
  <c r="E106"/>
  <c r="F107"/>
  <c r="H107"/>
  <c r="D107"/>
  <c r="E107"/>
  <c r="F108"/>
  <c r="H108"/>
  <c r="D108"/>
  <c r="E108"/>
  <c r="F109"/>
  <c r="H109"/>
  <c r="D109"/>
  <c r="E109"/>
  <c r="F110"/>
  <c r="H110"/>
  <c r="D110"/>
  <c r="E110"/>
  <c r="F111"/>
  <c r="H111"/>
  <c r="D111"/>
  <c r="E111"/>
  <c r="F112"/>
  <c r="H112"/>
  <c r="D112"/>
  <c r="E112"/>
  <c r="F113"/>
  <c r="H113"/>
  <c r="H115"/>
  <c r="H116"/>
  <c r="D113"/>
  <c r="E113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C77"/>
  <c r="F76"/>
  <c r="D76"/>
  <c r="C76"/>
  <c r="F75"/>
  <c r="D75"/>
  <c r="C75"/>
  <c r="F74"/>
  <c r="E74"/>
  <c r="D74"/>
  <c r="C74"/>
  <c r="I53"/>
  <c r="I54"/>
  <c r="I55"/>
  <c r="I56"/>
  <c r="I57"/>
  <c r="I58"/>
  <c r="I59"/>
  <c r="I60"/>
  <c r="I61"/>
  <c r="I62"/>
  <c r="I64"/>
  <c r="I65"/>
  <c r="G53"/>
  <c r="G54"/>
  <c r="G55"/>
  <c r="G56"/>
  <c r="G57"/>
  <c r="G58"/>
  <c r="G59"/>
  <c r="G60"/>
  <c r="G61"/>
  <c r="G62"/>
  <c r="G64"/>
  <c r="G65"/>
  <c r="E53"/>
  <c r="E54"/>
  <c r="E55"/>
  <c r="E56"/>
  <c r="E57"/>
  <c r="E58"/>
  <c r="E59"/>
  <c r="E60"/>
  <c r="E61"/>
  <c r="E62"/>
  <c r="E64"/>
  <c r="E65"/>
  <c r="H31"/>
  <c r="H32"/>
  <c r="H33"/>
  <c r="H34"/>
  <c r="H35"/>
  <c r="H36"/>
  <c r="H37"/>
  <c r="H38"/>
  <c r="H39"/>
  <c r="F31"/>
  <c r="F32"/>
  <c r="F33"/>
  <c r="F34"/>
  <c r="F35"/>
  <c r="F36"/>
  <c r="F37"/>
  <c r="F38"/>
  <c r="F39"/>
  <c r="D31"/>
  <c r="D32"/>
  <c r="D33"/>
  <c r="D34"/>
  <c r="D35"/>
  <c r="D36"/>
  <c r="D37"/>
  <c r="D38"/>
  <c r="D39"/>
  <c r="H22"/>
  <c r="F22"/>
  <c r="D22"/>
  <c r="H21"/>
  <c r="F21"/>
  <c r="D21"/>
  <c r="H20"/>
  <c r="F20"/>
  <c r="D20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</calcChain>
</file>

<file path=xl/sharedStrings.xml><?xml version="1.0" encoding="utf-8"?>
<sst xmlns="http://schemas.openxmlformats.org/spreadsheetml/2006/main" count="168" uniqueCount="108">
  <si>
    <t>Gleitender Durchschnitt</t>
  </si>
  <si>
    <t>Prognose</t>
  </si>
  <si>
    <t>Beobachteter</t>
  </si>
  <si>
    <t>Gleit. Mittelw.</t>
  </si>
  <si>
    <t>Woche</t>
  </si>
  <si>
    <t>Wert</t>
  </si>
  <si>
    <t>3 Wochen</t>
  </si>
  <si>
    <t>5 Wochen</t>
  </si>
  <si>
    <t>7 Wochen</t>
  </si>
  <si>
    <t>Exponentielle Glättung erster Ordnung</t>
  </si>
  <si>
    <r>
      <t>a</t>
    </r>
    <r>
      <rPr>
        <sz val="11"/>
        <color theme="1"/>
        <rFont val="Calibri"/>
        <family val="2"/>
        <scheme val="minor"/>
      </rPr>
      <t xml:space="preserve"> =</t>
    </r>
  </si>
  <si>
    <t>Absolute</t>
  </si>
  <si>
    <t>Abweichung</t>
  </si>
  <si>
    <t>Totale absolute Abweichung</t>
  </si>
  <si>
    <t>Mittlere absolute Abweichung</t>
  </si>
  <si>
    <t>Gewicht einer Beobachtung in Funktion ihres Alters</t>
  </si>
  <si>
    <t>für verschiedene Alphas</t>
  </si>
  <si>
    <r>
      <t xml:space="preserve">Gewicht </t>
    </r>
    <r>
      <rPr>
        <sz val="10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(1-</t>
    </r>
    <r>
      <rPr>
        <sz val="10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0"/>
        <rFont val="Arial"/>
        <family val="2"/>
      </rPr>
      <t>k</t>
    </r>
  </si>
  <si>
    <r>
      <t xml:space="preserve">a </t>
    </r>
    <r>
      <rPr>
        <sz val="11"/>
        <color theme="1"/>
        <rFont val="Calibri"/>
        <family val="2"/>
        <scheme val="minor"/>
      </rPr>
      <t>=</t>
    </r>
  </si>
  <si>
    <r>
      <t xml:space="preserve">a </t>
    </r>
    <r>
      <rPr>
        <sz val="11"/>
        <color theme="1"/>
        <rFont val="Calibri"/>
        <family val="2"/>
        <scheme val="minor"/>
      </rPr>
      <t xml:space="preserve">= </t>
    </r>
  </si>
  <si>
    <t>Alter k</t>
  </si>
  <si>
    <r>
      <t xml:space="preserve">Exponentielle Glättung mit (linearem) Trend, mit Parametern </t>
    </r>
    <r>
      <rPr>
        <b/>
        <sz val="12"/>
        <rFont val="Symbol"/>
        <family val="1"/>
        <charset val="2"/>
      </rPr>
      <t>a, b:</t>
    </r>
  </si>
  <si>
    <r>
      <t xml:space="preserve">a </t>
    </r>
    <r>
      <rPr>
        <sz val="10"/>
        <rFont val="Arial"/>
        <family val="2"/>
      </rPr>
      <t>=</t>
    </r>
  </si>
  <si>
    <r>
      <t xml:space="preserve">b </t>
    </r>
    <r>
      <rPr>
        <sz val="10"/>
        <rFont val="Arial"/>
        <family val="2"/>
      </rPr>
      <t>=</t>
    </r>
  </si>
  <si>
    <t>Woche t:</t>
  </si>
  <si>
    <t>A(t)</t>
  </si>
  <si>
    <t>F(t)</t>
  </si>
  <si>
    <t>T(t)</t>
  </si>
  <si>
    <t>f(t)</t>
  </si>
  <si>
    <t>Initialisierung</t>
  </si>
  <si>
    <t>Mittlere absolute Abweichung:</t>
  </si>
  <si>
    <t>Trendprojektion</t>
  </si>
  <si>
    <t>Nachfrage</t>
  </si>
  <si>
    <t>Jahr</t>
  </si>
  <si>
    <t>xj</t>
  </si>
  <si>
    <t>yj</t>
  </si>
  <si>
    <r>
      <t>xj</t>
    </r>
    <r>
      <rPr>
        <vertAlign val="superscript"/>
        <sz val="10"/>
        <rFont val="Arial"/>
        <family val="2"/>
      </rPr>
      <t>2</t>
    </r>
  </si>
  <si>
    <t>xj.yj</t>
  </si>
  <si>
    <t>Yj=a+b*xj</t>
  </si>
  <si>
    <t>Summe</t>
  </si>
  <si>
    <t>Mittelwert</t>
  </si>
  <si>
    <t>b =</t>
  </si>
  <si>
    <t>a =</t>
  </si>
  <si>
    <t xml:space="preserve">Trendprojektion bei saisonalen Schwankungen </t>
  </si>
  <si>
    <t>Prognose für 2002 auf Quartale verfeinern</t>
  </si>
  <si>
    <t>Basis: Jahre 1999, 2000, 2001: Quartaldaten für die Nachfrage</t>
  </si>
  <si>
    <t>1) Bestimmung der Saisonfaktoren</t>
  </si>
  <si>
    <t>1. Quart.</t>
  </si>
  <si>
    <t>2. Quart.</t>
  </si>
  <si>
    <t>3. Quart.</t>
  </si>
  <si>
    <t>4. Quart.</t>
  </si>
  <si>
    <t>Total Jahr</t>
  </si>
  <si>
    <t>Total über die 3 Jahre</t>
  </si>
  <si>
    <t>Quartalmittel</t>
  </si>
  <si>
    <t>Saisonfaktoren</t>
  </si>
  <si>
    <t>593.3/725.0</t>
  </si>
  <si>
    <t>2) Saisonbereinigung der Daten</t>
  </si>
  <si>
    <t>650/0.818</t>
  </si>
  <si>
    <t>3) Lineare Regression mit 12 Beobachtungen: saisonbereinigte Prognosen für 2002</t>
  </si>
  <si>
    <t>Regressionsgerade</t>
  </si>
  <si>
    <t>1999 1Q</t>
  </si>
  <si>
    <t>1999 2Q</t>
  </si>
  <si>
    <t>1999 3Q</t>
  </si>
  <si>
    <t>1999 4Q</t>
  </si>
  <si>
    <t>2000 1Q</t>
  </si>
  <si>
    <t>2000 2Q</t>
  </si>
  <si>
    <t>2000 3Q</t>
  </si>
  <si>
    <t>2000 4Q</t>
  </si>
  <si>
    <t>2001 1Q</t>
  </si>
  <si>
    <t>2001 2Q</t>
  </si>
  <si>
    <t>2001 3Q</t>
  </si>
  <si>
    <t>2001 4Q</t>
  </si>
  <si>
    <t>2002 1Q</t>
  </si>
  <si>
    <t>2002 2Q</t>
  </si>
  <si>
    <t>2002 3Q</t>
  </si>
  <si>
    <t>2002 4Q</t>
  </si>
  <si>
    <t>5) Saisonberücksichtigende Prognosen für 2002</t>
  </si>
  <si>
    <t>Saison-</t>
  </si>
  <si>
    <t>faktoren</t>
  </si>
  <si>
    <t>bereinigt</t>
  </si>
  <si>
    <t>berücksichtigend</t>
  </si>
  <si>
    <t>Year</t>
  </si>
  <si>
    <t>Month
t</t>
  </si>
  <si>
    <t>Zeitperiode t</t>
  </si>
  <si>
    <t>Observed Demand
A(t)</t>
  </si>
  <si>
    <t>Smoothed Estimate
F(t)</t>
  </si>
  <si>
    <t>Smoothed Trend
T(t)</t>
  </si>
  <si>
    <t>Seasonal Factor
c(t)</t>
  </si>
  <si>
    <t>Forecast,
Exponential Smoothing with Trend
f(t) = [F(t-1) + T(t-1)]*c(t-N)</t>
  </si>
  <si>
    <t>Absolute
Deviation</t>
  </si>
  <si>
    <t>Squared
Deviation</t>
  </si>
  <si>
    <t>BIAS</t>
  </si>
  <si>
    <t>alpha:</t>
  </si>
  <si>
    <t>beta:</t>
  </si>
  <si>
    <t>gamma:</t>
  </si>
  <si>
    <t>Mittel:</t>
  </si>
  <si>
    <t>gewichtet</t>
  </si>
  <si>
    <t>9 Wochen</t>
  </si>
  <si>
    <t>Je höheres n desto langsamer reagiert der gleitende Mittelwert auf Veränderungen</t>
  </si>
  <si>
    <t>Gewichteter Durschnitt kann sich schneller an starke Veränderungen anpassen als die ungewichtete Kurve mit gleichem n.</t>
  </si>
  <si>
    <t>MAD</t>
  </si>
  <si>
    <t>Aufgabe 1</t>
  </si>
  <si>
    <t>Übung 8</t>
  </si>
  <si>
    <t>Aufgabe 2</t>
  </si>
  <si>
    <t>Quartal</t>
  </si>
  <si>
    <t>Menge</t>
  </si>
  <si>
    <t>(Tonnen)</t>
  </si>
  <si>
    <t>alpha = 0.1 hat eine tiefere MAD und liefert daher eine bessere Prognose, jedoch wird es im Vergleich zu alpha = 0.5 mehr geglättet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</si>
</sst>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0.0"/>
    <numFmt numFmtId="166" formatCode="0.0000"/>
    <numFmt numFmtId="167" formatCode="0.000"/>
  </numFmts>
  <fonts count="15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2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10"/>
      <color indexed="2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color indexed="55"/>
      <name val="Arial"/>
      <family val="2"/>
    </font>
    <font>
      <i/>
      <sz val="10"/>
      <name val="Arial"/>
      <family val="2"/>
    </font>
    <font>
      <i/>
      <sz val="10"/>
      <name val="Calibri"/>
      <family val="2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/>
    <xf numFmtId="0" fontId="4" fillId="2" borderId="1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0" fillId="3" borderId="0" xfId="0" applyFill="1"/>
    <xf numFmtId="164" fontId="0" fillId="3" borderId="9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1" fillId="2" borderId="1" xfId="0" applyFont="1" applyFill="1" applyBorder="1"/>
    <xf numFmtId="0" fontId="0" fillId="2" borderId="3" xfId="0" applyFill="1" applyBorder="1"/>
    <xf numFmtId="0" fontId="1" fillId="2" borderId="5" xfId="0" applyFont="1" applyFill="1" applyBorder="1"/>
    <xf numFmtId="0" fontId="3" fillId="2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3" fillId="2" borderId="16" xfId="0" applyFont="1" applyFill="1" applyBorder="1" applyAlignment="1">
      <alignment horizontal="right"/>
    </xf>
    <xf numFmtId="0" fontId="0" fillId="2" borderId="17" xfId="0" applyFill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9" xfId="0" applyFill="1" applyBorder="1"/>
    <xf numFmtId="0" fontId="0" fillId="0" borderId="30" xfId="0" applyBorder="1"/>
    <xf numFmtId="0" fontId="0" fillId="0" borderId="31" xfId="0" applyBorder="1"/>
    <xf numFmtId="165" fontId="0" fillId="0" borderId="32" xfId="0" applyNumberFormat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165" fontId="8" fillId="0" borderId="0" xfId="0" applyNumberFormat="1" applyFont="1" applyAlignment="1">
      <alignment horizontal="center"/>
    </xf>
    <xf numFmtId="0" fontId="0" fillId="0" borderId="9" xfId="0" applyFill="1" applyBorder="1" applyAlignment="1">
      <alignment horizontal="center"/>
    </xf>
    <xf numFmtId="165" fontId="2" fillId="5" borderId="13" xfId="0" applyNumberFormat="1" applyFont="1" applyFill="1" applyBorder="1" applyAlignment="1">
      <alignment horizontal="center"/>
    </xf>
    <xf numFmtId="165" fontId="2" fillId="5" borderId="25" xfId="0" applyNumberFormat="1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30" xfId="0" applyFill="1" applyBorder="1"/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2" fillId="0" borderId="33" xfId="0" applyNumberFormat="1" applyFont="1" applyBorder="1" applyAlignment="1">
      <alignment horizontal="right"/>
    </xf>
    <xf numFmtId="2" fontId="2" fillId="0" borderId="34" xfId="0" applyNumberFormat="1" applyFont="1" applyBorder="1" applyAlignment="1">
      <alignment horizontal="left"/>
    </xf>
    <xf numFmtId="2" fontId="2" fillId="0" borderId="34" xfId="0" applyNumberFormat="1" applyFont="1" applyBorder="1"/>
    <xf numFmtId="2" fontId="2" fillId="0" borderId="34" xfId="0" applyNumberFormat="1" applyFont="1" applyBorder="1" applyAlignment="1">
      <alignment horizontal="right"/>
    </xf>
    <xf numFmtId="2" fontId="2" fillId="0" borderId="35" xfId="0" applyNumberFormat="1" applyFont="1" applyBorder="1" applyAlignment="1">
      <alignment horizontal="left"/>
    </xf>
    <xf numFmtId="2" fontId="0" fillId="0" borderId="0" xfId="0" applyNumberFormat="1"/>
    <xf numFmtId="0" fontId="2" fillId="0" borderId="0" xfId="0" applyFont="1"/>
    <xf numFmtId="0" fontId="9" fillId="0" borderId="0" xfId="0" applyFont="1"/>
    <xf numFmtId="0" fontId="10" fillId="0" borderId="0" xfId="0" applyFont="1"/>
    <xf numFmtId="0" fontId="0" fillId="2" borderId="13" xfId="0" applyFill="1" applyBorder="1"/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43" xfId="0" applyBorder="1" applyAlignment="1">
      <alignment horizontal="center"/>
    </xf>
    <xf numFmtId="167" fontId="2" fillId="0" borderId="44" xfId="0" applyNumberFormat="1" applyFont="1" applyBorder="1" applyAlignment="1">
      <alignment horizontal="center"/>
    </xf>
    <xf numFmtId="167" fontId="2" fillId="0" borderId="45" xfId="0" applyNumberFormat="1" applyFont="1" applyBorder="1" applyAlignment="1">
      <alignment horizontal="center"/>
    </xf>
    <xf numFmtId="167" fontId="2" fillId="0" borderId="46" xfId="0" applyNumberFormat="1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34" xfId="0" applyFont="1" applyBorder="1"/>
    <xf numFmtId="0" fontId="0" fillId="0" borderId="35" xfId="0" applyBorder="1"/>
    <xf numFmtId="0" fontId="10" fillId="0" borderId="0" xfId="0" applyFont="1" applyAlignment="1">
      <alignment horizontal="left"/>
    </xf>
    <xf numFmtId="0" fontId="0" fillId="2" borderId="47" xfId="0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39" xfId="0" applyNumberFormat="1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165" fontId="0" fillId="0" borderId="27" xfId="0" applyNumberFormat="1" applyFill="1" applyBorder="1" applyAlignment="1">
      <alignment horizontal="center"/>
    </xf>
    <xf numFmtId="165" fontId="0" fillId="0" borderId="42" xfId="0" applyNumberFormat="1" applyFill="1" applyBorder="1" applyAlignment="1">
      <alignment horizontal="center"/>
    </xf>
    <xf numFmtId="0" fontId="9" fillId="2" borderId="44" xfId="0" applyFont="1" applyFill="1" applyBorder="1" applyAlignment="1">
      <alignment horizontal="left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49" xfId="0" applyNumberFormat="1" applyBorder="1" applyAlignment="1">
      <alignment horizontal="center"/>
    </xf>
    <xf numFmtId="165" fontId="11" fillId="0" borderId="0" xfId="0" applyNumberFormat="1" applyFont="1" applyAlignment="1">
      <alignment horizontal="center"/>
    </xf>
    <xf numFmtId="165" fontId="0" fillId="0" borderId="39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5" fontId="0" fillId="0" borderId="42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0" fontId="0" fillId="0" borderId="18" xfId="0" applyFill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0" fontId="0" fillId="0" borderId="25" xfId="0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33" xfId="0" applyFont="1" applyBorder="1" applyAlignment="1">
      <alignment horizontal="right"/>
    </xf>
    <xf numFmtId="0" fontId="2" fillId="0" borderId="34" xfId="0" applyFont="1" applyBorder="1" applyAlignment="1">
      <alignment horizontal="left"/>
    </xf>
    <xf numFmtId="0" fontId="2" fillId="0" borderId="34" xfId="0" applyFont="1" applyBorder="1" applyAlignment="1">
      <alignment horizontal="right"/>
    </xf>
    <xf numFmtId="0" fontId="2" fillId="0" borderId="35" xfId="0" applyFont="1" applyBorder="1" applyAlignment="1">
      <alignment horizontal="left"/>
    </xf>
    <xf numFmtId="0" fontId="0" fillId="2" borderId="36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5" xfId="0" applyFill="1" applyBorder="1"/>
    <xf numFmtId="0" fontId="0" fillId="2" borderId="17" xfId="0" applyFill="1" applyBorder="1"/>
    <xf numFmtId="0" fontId="0" fillId="0" borderId="0" xfId="0" applyBorder="1"/>
    <xf numFmtId="0" fontId="0" fillId="2" borderId="47" xfId="0" applyFill="1" applyBorder="1"/>
    <xf numFmtId="0" fontId="0" fillId="2" borderId="21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22" xfId="0" applyFill="1" applyBorder="1"/>
    <xf numFmtId="0" fontId="2" fillId="2" borderId="47" xfId="0" applyFont="1" applyFill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2" fillId="3" borderId="13" xfId="0" applyNumberFormat="1" applyFon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2" fillId="3" borderId="18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167" fontId="0" fillId="0" borderId="50" xfId="0" applyNumberFormat="1" applyBorder="1" applyAlignment="1">
      <alignment horizontal="center"/>
    </xf>
    <xf numFmtId="2" fontId="0" fillId="0" borderId="51" xfId="0" applyNumberFormat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7" fillId="6" borderId="52" xfId="0" applyFont="1" applyFill="1" applyBorder="1" applyAlignment="1">
      <alignment horizontal="center" vertical="center" wrapText="1"/>
    </xf>
    <xf numFmtId="2" fontId="7" fillId="6" borderId="52" xfId="0" applyNumberFormat="1" applyFont="1" applyFill="1" applyBorder="1" applyAlignment="1">
      <alignment horizontal="center" vertical="center" wrapText="1"/>
    </xf>
    <xf numFmtId="2" fontId="7" fillId="6" borderId="53" xfId="0" applyNumberFormat="1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2" fontId="12" fillId="6" borderId="0" xfId="0" applyNumberFormat="1" applyFont="1" applyFill="1" applyAlignment="1">
      <alignment horizontal="center" vertical="center" wrapText="1"/>
    </xf>
    <xf numFmtId="2" fontId="13" fillId="6" borderId="0" xfId="0" applyNumberFormat="1" applyFont="1" applyFill="1" applyAlignment="1">
      <alignment horizontal="right" vertical="center" wrapText="1"/>
    </xf>
    <xf numFmtId="2" fontId="12" fillId="6" borderId="10" xfId="0" applyNumberFormat="1" applyFont="1" applyFill="1" applyBorder="1" applyAlignment="1">
      <alignment horizontal="center" vertical="center" wrapText="1"/>
    </xf>
    <xf numFmtId="2" fontId="12" fillId="6" borderId="0" xfId="0" applyNumberFormat="1" applyFont="1" applyFill="1" applyAlignment="1">
      <alignment vertical="center" wrapText="1"/>
    </xf>
    <xf numFmtId="2" fontId="12" fillId="6" borderId="54" xfId="0" applyNumberFormat="1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55" xfId="0" applyBorder="1"/>
    <xf numFmtId="1" fontId="0" fillId="0" borderId="56" xfId="0" applyNumberFormat="1" applyFill="1" applyBorder="1"/>
    <xf numFmtId="2" fontId="14" fillId="0" borderId="57" xfId="0" applyNumberFormat="1" applyFont="1" applyFill="1" applyBorder="1"/>
    <xf numFmtId="2" fontId="0" fillId="0" borderId="38" xfId="0" applyNumberFormat="1" applyFill="1" applyBorder="1"/>
    <xf numFmtId="2" fontId="2" fillId="7" borderId="58" xfId="0" applyNumberFormat="1" applyFont="1" applyFill="1" applyBorder="1"/>
    <xf numFmtId="2" fontId="0" fillId="8" borderId="40" xfId="0" applyNumberFormat="1" applyFill="1" applyBorder="1"/>
    <xf numFmtId="2" fontId="0" fillId="8" borderId="59" xfId="0" applyNumberFormat="1" applyFill="1" applyBorder="1"/>
    <xf numFmtId="0" fontId="0" fillId="0" borderId="41" xfId="0" applyBorder="1"/>
    <xf numFmtId="0" fontId="0" fillId="0" borderId="60" xfId="0" applyBorder="1"/>
    <xf numFmtId="1" fontId="0" fillId="0" borderId="32" xfId="0" applyNumberFormat="1" applyFill="1" applyBorder="1"/>
    <xf numFmtId="2" fontId="0" fillId="0" borderId="9" xfId="0" applyNumberFormat="1" applyFill="1" applyBorder="1"/>
    <xf numFmtId="2" fontId="0" fillId="0" borderId="9" xfId="0" applyNumberFormat="1" applyBorder="1"/>
    <xf numFmtId="2" fontId="0" fillId="0" borderId="39" xfId="0" applyNumberFormat="1" applyBorder="1"/>
    <xf numFmtId="2" fontId="2" fillId="7" borderId="31" xfId="0" applyNumberFormat="1" applyFont="1" applyFill="1" applyBorder="1"/>
    <xf numFmtId="2" fontId="0" fillId="8" borderId="41" xfId="0" applyNumberFormat="1" applyFill="1" applyBorder="1"/>
    <xf numFmtId="2" fontId="0" fillId="8" borderId="23" xfId="0" applyNumberFormat="1" applyFill="1" applyBorder="1"/>
    <xf numFmtId="2" fontId="14" fillId="0" borderId="9" xfId="0" applyNumberFormat="1" applyFont="1" applyBorder="1"/>
    <xf numFmtId="0" fontId="0" fillId="0" borderId="61" xfId="0" applyBorder="1"/>
    <xf numFmtId="0" fontId="0" fillId="0" borderId="62" xfId="0" applyBorder="1"/>
    <xf numFmtId="2" fontId="2" fillId="7" borderId="3" xfId="0" applyNumberFormat="1" applyFont="1" applyFill="1" applyBorder="1"/>
    <xf numFmtId="2" fontId="0" fillId="8" borderId="61" xfId="0" applyNumberFormat="1" applyFill="1" applyBorder="1"/>
    <xf numFmtId="0" fontId="0" fillId="0" borderId="43" xfId="0" applyBorder="1"/>
    <xf numFmtId="1" fontId="0" fillId="0" borderId="53" xfId="0" applyNumberFormat="1" applyFill="1" applyBorder="1"/>
    <xf numFmtId="2" fontId="0" fillId="9" borderId="27" xfId="0" applyNumberFormat="1" applyFill="1" applyBorder="1"/>
    <xf numFmtId="2" fontId="0" fillId="0" borderId="42" xfId="0" applyNumberFormat="1" applyBorder="1"/>
    <xf numFmtId="2" fontId="2" fillId="7" borderId="63" xfId="0" applyNumberFormat="1" applyFont="1" applyFill="1" applyBorder="1"/>
    <xf numFmtId="2" fontId="0" fillId="8" borderId="43" xfId="0" applyNumberFormat="1" applyFill="1" applyBorder="1"/>
    <xf numFmtId="2" fontId="0" fillId="8" borderId="29" xfId="0" applyNumberFormat="1" applyFill="1" applyBorder="1"/>
    <xf numFmtId="0" fontId="0" fillId="0" borderId="64" xfId="0" applyBorder="1"/>
    <xf numFmtId="1" fontId="0" fillId="0" borderId="21" xfId="0" applyNumberFormat="1" applyFill="1" applyBorder="1"/>
    <xf numFmtId="2" fontId="0" fillId="0" borderId="8" xfId="0" applyNumberFormat="1" applyFill="1" applyBorder="1"/>
    <xf numFmtId="2" fontId="0" fillId="0" borderId="8" xfId="0" applyNumberFormat="1" applyBorder="1"/>
    <xf numFmtId="2" fontId="0" fillId="0" borderId="49" xfId="0" applyNumberFormat="1" applyFill="1" applyBorder="1"/>
    <xf numFmtId="2" fontId="2" fillId="7" borderId="59" xfId="0" applyNumberFormat="1" applyFont="1" applyFill="1" applyBorder="1"/>
    <xf numFmtId="2" fontId="0" fillId="8" borderId="22" xfId="0" applyNumberFormat="1" applyFill="1" applyBorder="1"/>
    <xf numFmtId="1" fontId="0" fillId="0" borderId="24" xfId="0" applyNumberFormat="1" applyFill="1" applyBorder="1"/>
    <xf numFmtId="2" fontId="0" fillId="0" borderId="39" xfId="0" applyNumberFormat="1" applyFill="1" applyBorder="1"/>
    <xf numFmtId="2" fontId="2" fillId="7" borderId="23" xfId="0" applyNumberFormat="1" applyFont="1" applyFill="1" applyBorder="1"/>
    <xf numFmtId="2" fontId="0" fillId="8" borderId="63" xfId="0" applyNumberFormat="1" applyFill="1" applyBorder="1"/>
    <xf numFmtId="1" fontId="0" fillId="0" borderId="26" xfId="0" applyNumberFormat="1" applyFill="1" applyBorder="1"/>
    <xf numFmtId="2" fontId="0" fillId="0" borderId="27" xfId="0" applyNumberFormat="1" applyFill="1" applyBorder="1"/>
    <xf numFmtId="2" fontId="0" fillId="0" borderId="27" xfId="0" applyNumberFormat="1" applyBorder="1"/>
    <xf numFmtId="2" fontId="0" fillId="0" borderId="42" xfId="0" applyNumberFormat="1" applyFill="1" applyBorder="1"/>
    <xf numFmtId="2" fontId="2" fillId="7" borderId="29" xfId="0" applyNumberFormat="1" applyFont="1" applyFill="1" applyBorder="1"/>
    <xf numFmtId="0" fontId="0" fillId="0" borderId="65" xfId="0" applyBorder="1"/>
    <xf numFmtId="0" fontId="0" fillId="0" borderId="44" xfId="0" applyBorder="1"/>
    <xf numFmtId="2" fontId="0" fillId="0" borderId="54" xfId="0" applyNumberFormat="1" applyBorder="1"/>
    <xf numFmtId="2" fontId="0" fillId="0" borderId="66" xfId="0" applyNumberFormat="1" applyBorder="1"/>
    <xf numFmtId="2" fontId="0" fillId="0" borderId="67" xfId="0" applyNumberFormat="1" applyBorder="1"/>
    <xf numFmtId="2" fontId="0" fillId="0" borderId="65" xfId="0" applyNumberFormat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7530552707627713E-2"/>
          <c:y val="8.2799508204650984E-2"/>
          <c:w val="0.85901909884795147"/>
          <c:h val="0.69788156915348687"/>
        </c:manualLayout>
      </c:layout>
      <c:scatterChart>
        <c:scatterStyle val="lineMarker"/>
        <c:ser>
          <c:idx val="0"/>
          <c:order val="0"/>
          <c:tx>
            <c:v>Beobachtet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ExpSmoothing!$B$6:$B$22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Lit>
              <c:formatCode>General</c:formatCode>
              <c:ptCount val="17"/>
              <c:pt idx="0">
                <c:v>100</c:v>
              </c:pt>
              <c:pt idx="1">
                <c:v>125</c:v>
              </c:pt>
              <c:pt idx="2">
                <c:v>90</c:v>
              </c:pt>
              <c:pt idx="3">
                <c:v>110</c:v>
              </c:pt>
              <c:pt idx="4">
                <c:v>105</c:v>
              </c:pt>
              <c:pt idx="5">
                <c:v>130</c:v>
              </c:pt>
              <c:pt idx="6">
                <c:v>85</c:v>
              </c:pt>
              <c:pt idx="7">
                <c:v>102</c:v>
              </c:pt>
              <c:pt idx="8">
                <c:v>110</c:v>
              </c:pt>
              <c:pt idx="9">
                <c:v>90</c:v>
              </c:pt>
              <c:pt idx="10">
                <c:v>105</c:v>
              </c:pt>
              <c:pt idx="11">
                <c:v>95</c:v>
              </c:pt>
              <c:pt idx="12">
                <c:v>115</c:v>
              </c:pt>
              <c:pt idx="13">
                <c:v>120</c:v>
              </c:pt>
              <c:pt idx="14">
                <c:v>80</c:v>
              </c:pt>
              <c:pt idx="15">
                <c:v>95</c:v>
              </c:pt>
              <c:pt idx="16">
                <c:v>100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D65-4302-9A31-883D76589DA8}"/>
            </c:ext>
          </c:extLst>
        </c:ser>
        <c:ser>
          <c:idx val="1"/>
          <c:order val="1"/>
          <c:tx>
            <c:v>GM 3 Wochen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ExpSmoothing!$B$6:$B$22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Lit>
              <c:formatCode>General</c:formatCode>
              <c:ptCount val="17"/>
              <c:pt idx="7" formatCode="#,##0.0">
                <c:v>106.66666666666667</c:v>
              </c:pt>
              <c:pt idx="8" formatCode="#,##0.0">
                <c:v>105.66666666666667</c:v>
              </c:pt>
              <c:pt idx="9" formatCode="#,##0.0">
                <c:v>99</c:v>
              </c:pt>
              <c:pt idx="10" formatCode="#,##0.0">
                <c:v>100.66666666666667</c:v>
              </c:pt>
              <c:pt idx="11" formatCode="#,##0.0">
                <c:v>101.66666666666667</c:v>
              </c:pt>
              <c:pt idx="12" formatCode="#,##0.0">
                <c:v>96.666666666666671</c:v>
              </c:pt>
              <c:pt idx="13" formatCode="#,##0.0">
                <c:v>105</c:v>
              </c:pt>
              <c:pt idx="14" formatCode="#,##0.0">
                <c:v>110</c:v>
              </c:pt>
              <c:pt idx="15" formatCode="#,##0.0">
                <c:v>105</c:v>
              </c:pt>
              <c:pt idx="16" formatCode="#,##0.0">
                <c:v>98.333333333333314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D65-4302-9A31-883D76589DA8}"/>
            </c:ext>
          </c:extLst>
        </c:ser>
        <c:ser>
          <c:idx val="2"/>
          <c:order val="2"/>
          <c:tx>
            <c:v>GM 5 Wochen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Ref>
              <c:f>ExpSmoothing!$F$6:$F$22</c:f>
              <c:numCache>
                <c:formatCode>#,##0.0</c:formatCode>
                <c:ptCount val="17"/>
                <c:pt idx="7">
                  <c:v>104</c:v>
                </c:pt>
                <c:pt idx="8">
                  <c:v>106.4</c:v>
                </c:pt>
                <c:pt idx="9">
                  <c:v>106.4</c:v>
                </c:pt>
                <c:pt idx="10">
                  <c:v>103.4</c:v>
                </c:pt>
                <c:pt idx="11">
                  <c:v>98.4</c:v>
                </c:pt>
                <c:pt idx="12">
                  <c:v>100.4</c:v>
                </c:pt>
                <c:pt idx="13">
                  <c:v>103</c:v>
                </c:pt>
                <c:pt idx="14">
                  <c:v>105</c:v>
                </c:pt>
                <c:pt idx="15">
                  <c:v>103</c:v>
                </c:pt>
                <c:pt idx="16">
                  <c:v>101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D65-4302-9A31-883D76589DA8}"/>
            </c:ext>
          </c:extLst>
        </c:ser>
        <c:ser>
          <c:idx val="3"/>
          <c:order val="3"/>
          <c:tx>
            <c:v>GM 7 Wochen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yVal>
            <c:numRef>
              <c:f>ExpSmoothing!$H$6:$H$22</c:f>
              <c:numCache>
                <c:formatCode>#,##0.0</c:formatCode>
                <c:ptCount val="17"/>
                <c:pt idx="7">
                  <c:v>106.42857142857143</c:v>
                </c:pt>
                <c:pt idx="8">
                  <c:v>106.71428571428571</c:v>
                </c:pt>
                <c:pt idx="9">
                  <c:v>104.57142857142857</c:v>
                </c:pt>
                <c:pt idx="10">
                  <c:v>104.57142857142857</c:v>
                </c:pt>
                <c:pt idx="11">
                  <c:v>103.85714285714286</c:v>
                </c:pt>
                <c:pt idx="12">
                  <c:v>102.42857142857143</c:v>
                </c:pt>
                <c:pt idx="13">
                  <c:v>100.28571428571429</c:v>
                </c:pt>
                <c:pt idx="14">
                  <c:v>105.28571428571429</c:v>
                </c:pt>
                <c:pt idx="15">
                  <c:v>102.14285714285714</c:v>
                </c:pt>
                <c:pt idx="16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D65-4302-9A31-883D76589DA8}"/>
            </c:ext>
          </c:extLst>
        </c:ser>
        <c:dLbls/>
        <c:axId val="136143232"/>
        <c:axId val="136144768"/>
      </c:scatterChart>
      <c:valAx>
        <c:axId val="136143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6144768"/>
        <c:crosses val="autoZero"/>
        <c:crossBetween val="midCat"/>
        <c:majorUnit val="1"/>
      </c:valAx>
      <c:valAx>
        <c:axId val="136144768"/>
        <c:scaling>
          <c:orientation val="minMax"/>
          <c:min val="7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614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5043804755944936E-2"/>
          <c:y val="0.89971070395371266"/>
          <c:w val="0.92615769712140172"/>
          <c:h val="7.039537126325939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7530552707627727E-2"/>
          <c:y val="8.2799508204651026E-2"/>
          <c:w val="0.85901909884795147"/>
          <c:h val="0.61408269606239951"/>
        </c:manualLayout>
      </c:layout>
      <c:scatterChart>
        <c:scatterStyle val="lineMarker"/>
        <c:ser>
          <c:idx val="1"/>
          <c:order val="0"/>
          <c:tx>
            <c:v>beobachtet</c:v>
          </c:tx>
          <c:xVal>
            <c:numRef>
              <c:f>[1]Tabelle2!$B$53:$B$60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[1]Tabelle2!$C$53:$C$60</c:f>
              <c:numCache>
                <c:formatCode>General</c:formatCode>
                <c:ptCount val="8"/>
                <c:pt idx="0">
                  <c:v>180</c:v>
                </c:pt>
                <c:pt idx="1">
                  <c:v>168</c:v>
                </c:pt>
                <c:pt idx="2">
                  <c:v>159</c:v>
                </c:pt>
                <c:pt idx="3">
                  <c:v>175</c:v>
                </c:pt>
                <c:pt idx="4">
                  <c:v>190</c:v>
                </c:pt>
                <c:pt idx="5">
                  <c:v>205</c:v>
                </c:pt>
                <c:pt idx="6">
                  <c:v>180</c:v>
                </c:pt>
                <c:pt idx="7">
                  <c:v>182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A7B-42E3-A328-54798E9A56D1}"/>
            </c:ext>
          </c:extLst>
        </c:ser>
        <c:ser>
          <c:idx val="0"/>
          <c:order val="1"/>
          <c:tx>
            <c:v>alpha = 0.1</c:v>
          </c:tx>
          <c:xVal>
            <c:numRef>
              <c:f>[1]Tabelle2!$B$53:$B$60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[1]Tabelle2!$D$53:$D$60</c:f>
              <c:numCache>
                <c:formatCode>#,##0.0</c:formatCode>
                <c:ptCount val="8"/>
                <c:pt idx="0">
                  <c:v>175</c:v>
                </c:pt>
                <c:pt idx="1">
                  <c:v>175.5</c:v>
                </c:pt>
                <c:pt idx="2">
                  <c:v>174.75000000000003</c:v>
                </c:pt>
                <c:pt idx="3">
                  <c:v>173.17500000000004</c:v>
                </c:pt>
                <c:pt idx="4">
                  <c:v>173.35750000000004</c:v>
                </c:pt>
                <c:pt idx="5">
                  <c:v>175.02175000000005</c:v>
                </c:pt>
                <c:pt idx="6">
                  <c:v>178.01957500000006</c:v>
                </c:pt>
                <c:pt idx="7">
                  <c:v>178.21761750000005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A7B-42E3-A328-54798E9A56D1}"/>
            </c:ext>
          </c:extLst>
        </c:ser>
        <c:ser>
          <c:idx val="2"/>
          <c:order val="2"/>
          <c:tx>
            <c:v>alpha = 0.5</c:v>
          </c:tx>
          <c:xVal>
            <c:numRef>
              <c:f>[1]Tabelle2!$B$53:$B$60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[1]Tabelle2!$H$53:$H$60</c:f>
              <c:numCache>
                <c:formatCode>#,##0.0</c:formatCode>
                <c:ptCount val="8"/>
                <c:pt idx="0">
                  <c:v>175</c:v>
                </c:pt>
                <c:pt idx="1">
                  <c:v>177.5</c:v>
                </c:pt>
                <c:pt idx="2">
                  <c:v>172.75</c:v>
                </c:pt>
                <c:pt idx="3">
                  <c:v>165.875</c:v>
                </c:pt>
                <c:pt idx="4">
                  <c:v>170.4375</c:v>
                </c:pt>
                <c:pt idx="5">
                  <c:v>180.21875</c:v>
                </c:pt>
                <c:pt idx="6">
                  <c:v>192.609375</c:v>
                </c:pt>
                <c:pt idx="7">
                  <c:v>186.3046875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2A7B-42E3-A328-54798E9A56D1}"/>
            </c:ext>
          </c:extLst>
        </c:ser>
        <c:axId val="159605504"/>
        <c:axId val="159607040"/>
      </c:scatterChart>
      <c:valAx>
        <c:axId val="159605504"/>
        <c:scaling>
          <c:orientation val="minMax"/>
          <c:max val="8"/>
          <c:min val="1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9607040"/>
        <c:crosses val="autoZero"/>
        <c:crossBetween val="midCat"/>
        <c:majorUnit val="1"/>
      </c:valAx>
      <c:valAx>
        <c:axId val="159607040"/>
        <c:scaling>
          <c:orientation val="minMax"/>
          <c:min val="14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9605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557667909066227"/>
          <c:y val="0.77610143208105786"/>
          <c:w val="0.18821415348159873"/>
          <c:h val="0.145469574953459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112359550561799"/>
          <c:y val="8.3416188506854005E-2"/>
          <c:w val="0.85580524344569309"/>
          <c:h val="0.68520440559201501"/>
        </c:manualLayout>
      </c:layout>
      <c:scatterChart>
        <c:scatterStyle val="lineMarker"/>
        <c:ser>
          <c:idx val="0"/>
          <c:order val="0"/>
          <c:tx>
            <c:v>Beobachtet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</c:numLit>
          </c:xVal>
          <c:yVal>
            <c:numLit>
              <c:formatCode>General</c:formatCode>
              <c:ptCount val="10"/>
              <c:pt idx="0">
                <c:v>102</c:v>
              </c:pt>
              <c:pt idx="1">
                <c:v>110</c:v>
              </c:pt>
              <c:pt idx="2">
                <c:v>90</c:v>
              </c:pt>
              <c:pt idx="3">
                <c:v>105</c:v>
              </c:pt>
              <c:pt idx="4">
                <c:v>95</c:v>
              </c:pt>
              <c:pt idx="5">
                <c:v>115</c:v>
              </c:pt>
              <c:pt idx="6">
                <c:v>120</c:v>
              </c:pt>
              <c:pt idx="7">
                <c:v>80</c:v>
              </c:pt>
              <c:pt idx="8">
                <c:v>95</c:v>
              </c:pt>
              <c:pt idx="9">
                <c:v>100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C76-4574-912A-00544BE984D5}"/>
            </c:ext>
          </c:extLst>
        </c:ser>
        <c:ser>
          <c:idx val="1"/>
          <c:order val="1"/>
          <c:tx>
            <c:v>alpha = 0.1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</c:numLit>
          </c:xVal>
          <c:yVal>
            <c:numLit>
              <c:formatCode>#,##0.0</c:formatCode>
              <c:ptCount val="10"/>
              <c:pt idx="0">
                <c:v>85</c:v>
              </c:pt>
              <c:pt idx="1">
                <c:v>86.7</c:v>
              </c:pt>
              <c:pt idx="2">
                <c:v>89.03</c:v>
              </c:pt>
              <c:pt idx="3">
                <c:v>89.12700000000001</c:v>
              </c:pt>
              <c:pt idx="4">
                <c:v>90.714300000000023</c:v>
              </c:pt>
              <c:pt idx="5">
                <c:v>91.142870000000002</c:v>
              </c:pt>
              <c:pt idx="6">
                <c:v>93.528583000000012</c:v>
              </c:pt>
              <c:pt idx="7">
                <c:v>96.175724700000018</c:v>
              </c:pt>
              <c:pt idx="8">
                <c:v>94.558152230000019</c:v>
              </c:pt>
              <c:pt idx="9">
                <c:v>94.602337006999988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C76-4574-912A-00544BE984D5}"/>
            </c:ext>
          </c:extLst>
        </c:ser>
        <c:ser>
          <c:idx val="2"/>
          <c:order val="2"/>
          <c:tx>
            <c:v>alpha = 0.2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</c:numLit>
          </c:xVal>
          <c:yVal>
            <c:numLit>
              <c:formatCode>#,##0.0</c:formatCode>
              <c:ptCount val="10"/>
              <c:pt idx="0">
                <c:v>85</c:v>
              </c:pt>
              <c:pt idx="1">
                <c:v>88.4</c:v>
              </c:pt>
              <c:pt idx="2">
                <c:v>92.720000000000013</c:v>
              </c:pt>
              <c:pt idx="3">
                <c:v>92.176000000000002</c:v>
              </c:pt>
              <c:pt idx="4">
                <c:v>94.740800000000021</c:v>
              </c:pt>
              <c:pt idx="5">
                <c:v>94.79264000000002</c:v>
              </c:pt>
              <c:pt idx="6">
                <c:v>98.834112000000033</c:v>
              </c:pt>
              <c:pt idx="7">
                <c:v>103.06728960000004</c:v>
              </c:pt>
              <c:pt idx="8">
                <c:v>98.453831680000022</c:v>
              </c:pt>
              <c:pt idx="9">
                <c:v>97.763065344000026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C76-4574-912A-00544BE984D5}"/>
            </c:ext>
          </c:extLst>
        </c:ser>
        <c:ser>
          <c:idx val="3"/>
          <c:order val="3"/>
          <c:tx>
            <c:v>alpha = 0.3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</c:numLit>
          </c:xVal>
          <c:yVal>
            <c:numLit>
              <c:formatCode>#,##0.0</c:formatCode>
              <c:ptCount val="10"/>
              <c:pt idx="0">
                <c:v>85</c:v>
              </c:pt>
              <c:pt idx="1">
                <c:v>90.1</c:v>
              </c:pt>
              <c:pt idx="2">
                <c:v>96.07</c:v>
              </c:pt>
              <c:pt idx="3">
                <c:v>94.248999999999995</c:v>
              </c:pt>
              <c:pt idx="4">
                <c:v>97.474300000000014</c:v>
              </c:pt>
              <c:pt idx="5">
                <c:v>96.732010000000002</c:v>
              </c:pt>
              <c:pt idx="6">
                <c:v>102.21240699999998</c:v>
              </c:pt>
              <c:pt idx="7">
                <c:v>107.54868489999998</c:v>
              </c:pt>
              <c:pt idx="8">
                <c:v>99.284079429999977</c:v>
              </c:pt>
              <c:pt idx="9">
                <c:v>97.998855600999974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EC76-4574-912A-00544BE984D5}"/>
            </c:ext>
          </c:extLst>
        </c:ser>
        <c:dLbls/>
        <c:axId val="136735360"/>
        <c:axId val="136757632"/>
      </c:scatterChart>
      <c:valAx>
        <c:axId val="136735360"/>
        <c:scaling>
          <c:orientation val="minMax"/>
          <c:max val="17"/>
          <c:min val="8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6757632"/>
        <c:crosses val="autoZero"/>
        <c:crossBetween val="midCat"/>
        <c:majorUnit val="1"/>
      </c:valAx>
      <c:valAx>
        <c:axId val="136757632"/>
        <c:scaling>
          <c:orientation val="minMax"/>
          <c:min val="7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6735360"/>
        <c:crossesAt val="8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055590256089945"/>
          <c:y val="0.89688715953307407"/>
          <c:w val="0.82948157401623979"/>
          <c:h val="7.490272373540857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560065430412573"/>
          <c:y val="7.9450901394730017E-2"/>
          <c:w val="0.82978792925512579"/>
          <c:h val="0.70328760864223949"/>
        </c:manualLayout>
      </c:layout>
      <c:scatterChart>
        <c:scatterStyle val="lineMarker"/>
        <c:ser>
          <c:idx val="0"/>
          <c:order val="0"/>
          <c:tx>
            <c:v>alpha = 0.2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0.2</c:v>
              </c:pt>
              <c:pt idx="1">
                <c:v>0.16000000000000003</c:v>
              </c:pt>
              <c:pt idx="2">
                <c:v>0.12800000000000003</c:v>
              </c:pt>
              <c:pt idx="3">
                <c:v>0.10240000000000003</c:v>
              </c:pt>
              <c:pt idx="4">
                <c:v>8.1920000000000048E-2</c:v>
              </c:pt>
              <c:pt idx="5">
                <c:v>6.5536000000000053E-2</c:v>
              </c:pt>
              <c:pt idx="6">
                <c:v>5.2428800000000025E-2</c:v>
              </c:pt>
              <c:pt idx="7">
                <c:v>4.1943040000000029E-2</c:v>
              </c:pt>
              <c:pt idx="8">
                <c:v>3.355443200000003E-2</c:v>
              </c:pt>
              <c:pt idx="9">
                <c:v>2.6843545600000036E-2</c:v>
              </c:pt>
              <c:pt idx="10">
                <c:v>2.1474836480000033E-2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7E1-47F8-B9F4-D9FD4F0415E9}"/>
            </c:ext>
          </c:extLst>
        </c:ser>
        <c:ser>
          <c:idx val="1"/>
          <c:order val="1"/>
          <c:tx>
            <c:v>alpha =0.5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0.5</c:v>
              </c:pt>
              <c:pt idx="1">
                <c:v>0.25</c:v>
              </c:pt>
              <c:pt idx="2">
                <c:v>0.125</c:v>
              </c:pt>
              <c:pt idx="3">
                <c:v>6.25E-2</c:v>
              </c:pt>
              <c:pt idx="4">
                <c:v>3.125E-2</c:v>
              </c:pt>
              <c:pt idx="5">
                <c:v>1.5625E-2</c:v>
              </c:pt>
              <c:pt idx="6">
                <c:v>7.8125E-3</c:v>
              </c:pt>
              <c:pt idx="7">
                <c:v>3.90625E-3</c:v>
              </c:pt>
              <c:pt idx="8">
                <c:v>1.9531250000000004E-3</c:v>
              </c:pt>
              <c:pt idx="9">
                <c:v>9.7656250000000022E-4</c:v>
              </c:pt>
              <c:pt idx="10">
                <c:v>4.8828125E-4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7E1-47F8-B9F4-D9FD4F0415E9}"/>
            </c:ext>
          </c:extLst>
        </c:ser>
        <c:ser>
          <c:idx val="2"/>
          <c:order val="2"/>
          <c:tx>
            <c:v>alpha = 0.7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0.70000000000000007</c:v>
              </c:pt>
              <c:pt idx="1">
                <c:v>0.21000000000000005</c:v>
              </c:pt>
              <c:pt idx="2">
                <c:v>6.3000000000000014E-2</c:v>
              </c:pt>
              <c:pt idx="3">
                <c:v>1.8900000000000011E-2</c:v>
              </c:pt>
              <c:pt idx="4">
                <c:v>5.6700000000000032E-3</c:v>
              </c:pt>
              <c:pt idx="5">
                <c:v>1.7010000000000013E-3</c:v>
              </c:pt>
              <c:pt idx="6">
                <c:v>5.1030000000000053E-4</c:v>
              </c:pt>
              <c:pt idx="7">
                <c:v>1.5309000000000018E-4</c:v>
              </c:pt>
              <c:pt idx="8">
                <c:v>4.5927000000000064E-5</c:v>
              </c:pt>
              <c:pt idx="9">
                <c:v>1.3778100000000021E-5</c:v>
              </c:pt>
              <c:pt idx="10">
                <c:v>4.1334300000000064E-6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47E1-47F8-B9F4-D9FD4F0415E9}"/>
            </c:ext>
          </c:extLst>
        </c:ser>
        <c:ser>
          <c:idx val="3"/>
          <c:order val="3"/>
          <c:tx>
            <c:v>alpha = 0.9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0.9</c:v>
              </c:pt>
              <c:pt idx="1">
                <c:v>9.0000000000000024E-2</c:v>
              </c:pt>
              <c:pt idx="2">
                <c:v>9.0000000000000011E-3</c:v>
              </c:pt>
              <c:pt idx="3">
                <c:v>8.9999999999999987E-4</c:v>
              </c:pt>
              <c:pt idx="4">
                <c:v>8.9999999999999965E-5</c:v>
              </c:pt>
              <c:pt idx="5">
                <c:v>8.9999999999999935E-6</c:v>
              </c:pt>
              <c:pt idx="6">
                <c:v>8.9999999999999932E-7</c:v>
              </c:pt>
              <c:pt idx="7">
                <c:v>8.9999999999999919E-8</c:v>
              </c:pt>
              <c:pt idx="8">
                <c:v>8.9999999999999879E-9</c:v>
              </c:pt>
              <c:pt idx="9">
                <c:v>8.9999999999999855E-10</c:v>
              </c:pt>
              <c:pt idx="10">
                <c:v>8.9999999999999818E-11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47E1-47F8-B9F4-D9FD4F0415E9}"/>
            </c:ext>
          </c:extLst>
        </c:ser>
        <c:dLbls/>
        <c:axId val="137880704"/>
        <c:axId val="137882624"/>
      </c:scatterChart>
      <c:valAx>
        <c:axId val="137880704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Alter k</a:t>
                </a:r>
              </a:p>
            </c:rich>
          </c:tx>
          <c:layout>
            <c:manualLayout>
              <c:xMode val="edge"/>
              <c:yMode val="edge"/>
              <c:x val="0.49210747625618961"/>
              <c:y val="0.87101725001137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7882624"/>
        <c:crossesAt val="0"/>
        <c:crossBetween val="midCat"/>
        <c:majorUnit val="1"/>
      </c:valAx>
      <c:valAx>
        <c:axId val="137882624"/>
        <c:scaling>
          <c:orientation val="minMax"/>
          <c:max val="1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Gewicht</a:t>
                </a:r>
              </a:p>
            </c:rich>
          </c:tx>
          <c:layout>
            <c:manualLayout>
              <c:xMode val="edge"/>
              <c:yMode val="edge"/>
              <c:x val="1.0295207944367781E-2"/>
              <c:y val="0.34428716641633661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7880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64996568291009"/>
          <c:y val="0.27403846153846162"/>
          <c:w val="0.55181880576527109"/>
          <c:h val="0.162500000000000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169501789121634"/>
          <c:y val="0.10887716117055592"/>
          <c:w val="0.84084417232005704"/>
          <c:h val="0.72094336450773522"/>
        </c:manualLayout>
      </c:layout>
      <c:scatterChart>
        <c:scatterStyle val="lineMarker"/>
        <c:ser>
          <c:idx val="0"/>
          <c:order val="0"/>
          <c:tx>
            <c:v>Beobachtet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xVal>
          <c:yVal>
            <c:numLit>
              <c:formatCode>General</c:formatCode>
              <c:ptCount val="16"/>
              <c:pt idx="0">
                <c:v>151</c:v>
              </c:pt>
              <c:pt idx="1">
                <c:v>139</c:v>
              </c:pt>
              <c:pt idx="2">
                <c:v>137</c:v>
              </c:pt>
              <c:pt idx="3">
                <c:v>153</c:v>
              </c:pt>
              <c:pt idx="4">
                <c:v>142</c:v>
              </c:pt>
              <c:pt idx="5">
                <c:v>141</c:v>
              </c:pt>
              <c:pt idx="6">
                <c:v>162</c:v>
              </c:pt>
              <c:pt idx="7">
                <c:v>180</c:v>
              </c:pt>
              <c:pt idx="8">
                <c:v>164</c:v>
              </c:pt>
              <c:pt idx="9">
                <c:v>171</c:v>
              </c:pt>
              <c:pt idx="10">
                <c:v>206</c:v>
              </c:pt>
              <c:pt idx="11">
                <c:v>193</c:v>
              </c:pt>
              <c:pt idx="12">
                <c:v>207</c:v>
              </c:pt>
              <c:pt idx="13">
                <c:v>200</c:v>
              </c:pt>
              <c:pt idx="14">
                <c:v>229</c:v>
              </c:pt>
              <c:pt idx="15">
                <c:v>225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622-48D3-861F-0DCA9796EBD7}"/>
            </c:ext>
          </c:extLst>
        </c:ser>
        <c:ser>
          <c:idx val="1"/>
          <c:order val="1"/>
          <c:tx>
            <c:v>Prognose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xVal>
          <c:yVal>
            <c:numLit>
              <c:formatCode>0.0</c:formatCode>
              <c:ptCount val="16"/>
              <c:pt idx="1">
                <c:v>144</c:v>
              </c:pt>
              <c:pt idx="2">
                <c:v>147.4375</c:v>
              </c:pt>
              <c:pt idx="3">
                <c:v>146.79765624999999</c:v>
              </c:pt>
              <c:pt idx="4">
                <c:v>151.19639648437504</c:v>
              </c:pt>
              <c:pt idx="5">
                <c:v>148.6314283447266</c:v>
              </c:pt>
              <c:pt idx="6">
                <c:v>147.13656053314207</c:v>
              </c:pt>
              <c:pt idx="7">
                <c:v>153.35076622888565</c:v>
              </c:pt>
              <c:pt idx="8">
                <c:v>161.58077046540043</c:v>
              </c:pt>
              <c:pt idx="9">
                <c:v>159.64420400289376</c:v>
              </c:pt>
              <c:pt idx="10">
                <c:v>161.95210869857655</c:v>
              </c:pt>
              <c:pt idx="11">
                <c:v>175.07557774397966</c:v>
              </c:pt>
              <c:pt idx="12">
                <c:v>176.34674522659716</c:v>
              </c:pt>
              <c:pt idx="13">
                <c:v>182.81491770285882</c:v>
              </c:pt>
              <c:pt idx="14">
                <c:v>184.02395121101756</c:v>
              </c:pt>
              <c:pt idx="15">
                <c:v>195.4813880193893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0622-48D3-861F-0DCA9796EBD7}"/>
            </c:ext>
          </c:extLst>
        </c:ser>
        <c:dLbls/>
        <c:axId val="142038144"/>
        <c:axId val="142039680"/>
      </c:scatterChart>
      <c:valAx>
        <c:axId val="142038144"/>
        <c:scaling>
          <c:orientation val="minMax"/>
          <c:min val="1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2039680"/>
        <c:crosses val="autoZero"/>
        <c:crossBetween val="midCat"/>
        <c:majorUnit val="1"/>
      </c:valAx>
      <c:valAx>
        <c:axId val="142039680"/>
        <c:scaling>
          <c:orientation val="minMax"/>
          <c:min val="7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203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89735099337749"/>
          <c:y val="0.91057692307692295"/>
          <c:w val="0.43377483443708614"/>
          <c:h val="6.2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Observed Demand
A(t)</c:v>
          </c:tx>
          <c:spPr>
            <a:ln>
              <a:noFill/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cat>
            <c:numRef>
              <c:f>Winters!$B$6:$B$29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Lit>
              <c:formatCode>0</c:formatCode>
              <c:ptCount val="24"/>
              <c:pt idx="0">
                <c:v>4</c:v>
              </c:pt>
              <c:pt idx="1">
                <c:v>2</c:v>
              </c:pt>
              <c:pt idx="2">
                <c:v>5</c:v>
              </c:pt>
              <c:pt idx="3">
                <c:v>8</c:v>
              </c:pt>
              <c:pt idx="4">
                <c:v>11</c:v>
              </c:pt>
              <c:pt idx="5">
                <c:v>13</c:v>
              </c:pt>
              <c:pt idx="6">
                <c:v>18</c:v>
              </c:pt>
              <c:pt idx="7">
                <c:v>15</c:v>
              </c:pt>
              <c:pt idx="8">
                <c:v>9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5</c:v>
              </c:pt>
              <c:pt idx="13">
                <c:v>4</c:v>
              </c:pt>
              <c:pt idx="14">
                <c:v>7</c:v>
              </c:pt>
              <c:pt idx="15">
                <c:v>7</c:v>
              </c:pt>
              <c:pt idx="16">
                <c:v>15</c:v>
              </c:pt>
              <c:pt idx="17">
                <c:v>17</c:v>
              </c:pt>
              <c:pt idx="18">
                <c:v>24</c:v>
              </c:pt>
              <c:pt idx="19">
                <c:v>18</c:v>
              </c:pt>
              <c:pt idx="20">
                <c:v>12</c:v>
              </c:pt>
              <c:pt idx="21">
                <c:v>7</c:v>
              </c:pt>
              <c:pt idx="22">
                <c:v>8</c:v>
              </c:pt>
              <c:pt idx="23">
                <c:v>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EA-4A20-B31D-6A256E98D8BF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cat>
            <c:numRef>
              <c:f>Winters!$B$6:$B$29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Winters!$H$6:$H$29</c:f>
              <c:numCache>
                <c:formatCode>0.00</c:formatCode>
                <c:ptCount val="24"/>
                <c:pt idx="12">
                  <c:v>4</c:v>
                </c:pt>
                <c:pt idx="13">
                  <c:v>2.0550000000000002</c:v>
                </c:pt>
                <c:pt idx="14">
                  <c:v>5.6848750000000008</c:v>
                </c:pt>
                <c:pt idx="15">
                  <c:v>9.4250620000000023</c:v>
                </c:pt>
                <c:pt idx="16">
                  <c:v>12.756077372500002</c:v>
                </c:pt>
                <c:pt idx="17">
                  <c:v>15.520785101575004</c:v>
                </c:pt>
                <c:pt idx="18">
                  <c:v>21.965162979460821</c:v>
                </c:pt>
                <c:pt idx="19">
                  <c:v>18.715854856399826</c:v>
                </c:pt>
                <c:pt idx="20">
                  <c:v>11.327456066400035</c:v>
                </c:pt>
                <c:pt idx="21">
                  <c:v>7.6948868953601073</c:v>
                </c:pt>
                <c:pt idx="22">
                  <c:v>6.4307188269921509</c:v>
                </c:pt>
                <c:pt idx="23">
                  <c:v>5.3436480625294012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EA-4A20-B31D-6A256E98D8BF}"/>
            </c:ext>
          </c:extLst>
        </c:ser>
        <c:dLbls/>
        <c:marker val="1"/>
        <c:axId val="142103680"/>
        <c:axId val="142105216"/>
      </c:lineChart>
      <c:catAx>
        <c:axId val="142103680"/>
        <c:scaling>
          <c:orientation val="minMax"/>
        </c:scaling>
        <c:axPos val="b"/>
        <c:numFmt formatCode="General" sourceLinked="1"/>
        <c:tickLblPos val="nextTo"/>
        <c:crossAx val="142105216"/>
        <c:crosses val="autoZero"/>
        <c:auto val="1"/>
        <c:lblAlgn val="ctr"/>
        <c:lblOffset val="100"/>
      </c:catAx>
      <c:valAx>
        <c:axId val="142105216"/>
        <c:scaling>
          <c:orientation val="minMax"/>
        </c:scaling>
        <c:axPos val="l"/>
        <c:majorGridlines/>
        <c:numFmt formatCode="0" sourceLinked="1"/>
        <c:tickLblPos val="nextTo"/>
        <c:crossAx val="14210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43800212758774"/>
          <c:y val="0.23351144611929275"/>
          <c:w val="0.32233969215181868"/>
          <c:h val="0.37180890892248297"/>
        </c:manualLayout>
      </c:layout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8091464463801521"/>
          <c:y val="0.10467706013363029"/>
          <c:w val="0.7435393087320622"/>
          <c:h val="0.73273942093541222"/>
        </c:manualLayout>
      </c:layout>
      <c:scatterChart>
        <c:scatterStyle val="lineMarker"/>
        <c:ser>
          <c:idx val="0"/>
          <c:order val="0"/>
          <c:tx>
            <c:v>Beobachtet</c:v>
          </c:tx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LinRegression!$B$10:$B$21</c:f>
              <c:numCache>
                <c:formatCode>General</c:formatCode>
                <c:ptCount val="1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</c:numCache>
            </c:numRef>
          </c:xVal>
          <c:yVal>
            <c:numRef>
              <c:f>LinRegression!$D$10:$D$21</c:f>
              <c:numCache>
                <c:formatCode>General</c:formatCode>
                <c:ptCount val="12"/>
                <c:pt idx="0">
                  <c:v>1000</c:v>
                </c:pt>
                <c:pt idx="1">
                  <c:v>1300</c:v>
                </c:pt>
                <c:pt idx="2">
                  <c:v>1800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2200</c:v>
                </c:pt>
                <c:pt idx="7">
                  <c:v>2600</c:v>
                </c:pt>
                <c:pt idx="8">
                  <c:v>2900</c:v>
                </c:pt>
                <c:pt idx="9">
                  <c:v>3200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1DD-4887-904B-17D1F36EBECC}"/>
            </c:ext>
          </c:extLst>
        </c:ser>
        <c:ser>
          <c:idx val="1"/>
          <c:order val="1"/>
          <c:tx>
            <c:v>Regressionsgerade</c:v>
          </c:tx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LinRegression!$B$10:$B$21</c:f>
              <c:numCache>
                <c:formatCode>General</c:formatCode>
                <c:ptCount val="1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</c:numCache>
            </c:numRef>
          </c:xVal>
          <c:yVal>
            <c:numRef>
              <c:f>LinRegression!$I$10:$I$21</c:f>
              <c:numCache>
                <c:formatCode>0.0</c:formatCode>
                <c:ptCount val="12"/>
                <c:pt idx="0">
                  <c:v>1129.0909090909092</c:v>
                </c:pt>
                <c:pt idx="1">
                  <c:v>1344.848484848485</c:v>
                </c:pt>
                <c:pt idx="2">
                  <c:v>1560.6060606060607</c:v>
                </c:pt>
                <c:pt idx="3">
                  <c:v>1776.3636363636365</c:v>
                </c:pt>
                <c:pt idx="4">
                  <c:v>1992.1212121212122</c:v>
                </c:pt>
                <c:pt idx="5">
                  <c:v>2207.878787878788</c:v>
                </c:pt>
                <c:pt idx="6">
                  <c:v>2423.636363636364</c:v>
                </c:pt>
                <c:pt idx="7">
                  <c:v>2639.3939393939395</c:v>
                </c:pt>
                <c:pt idx="8">
                  <c:v>2855.151515151515</c:v>
                </c:pt>
                <c:pt idx="9">
                  <c:v>3070.909090909091</c:v>
                </c:pt>
                <c:pt idx="10">
                  <c:v>3286.6666666666665</c:v>
                </c:pt>
                <c:pt idx="11">
                  <c:v>3502.4242424242425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1DD-4887-904B-17D1F36EBECC}"/>
            </c:ext>
          </c:extLst>
        </c:ser>
        <c:dLbls/>
        <c:axId val="144109952"/>
        <c:axId val="144111488"/>
      </c:scatterChart>
      <c:valAx>
        <c:axId val="144109952"/>
        <c:scaling>
          <c:orientation val="minMax"/>
          <c:max val="2008"/>
          <c:min val="1995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4111488"/>
        <c:crossesAt val="900"/>
        <c:crossBetween val="midCat"/>
        <c:majorUnit val="3"/>
        <c:minorUnit val="1"/>
      </c:valAx>
      <c:valAx>
        <c:axId val="144111488"/>
        <c:scaling>
          <c:orientation val="minMax"/>
          <c:max val="3600"/>
          <c:min val="9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Nachfrage</a:t>
                </a:r>
              </a:p>
            </c:rich>
          </c:tx>
          <c:layout>
            <c:manualLayout>
              <c:xMode val="edge"/>
              <c:yMode val="edge"/>
              <c:x val="4.3737532808398975E-2"/>
              <c:y val="0.3830734452991064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4109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416382252559726"/>
          <c:y val="0.92019230769230753"/>
          <c:w val="0.56996587030716739"/>
          <c:h val="5.480769230769232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400635930047697"/>
          <c:y val="0.11409430246711125"/>
          <c:w val="0.82034976152623207"/>
          <c:h val="0.70470010347333423"/>
        </c:manualLayout>
      </c:layout>
      <c:scatterChart>
        <c:scatterStyle val="lineMarker"/>
        <c:ser>
          <c:idx val="0"/>
          <c:order val="0"/>
          <c:tx>
            <c:v>"Beobachtet"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xVal>
          <c:yVal>
            <c:numLit>
              <c:formatCode>0.0</c:formatCode>
              <c:ptCount val="16"/>
              <c:pt idx="0">
                <c:v>642.6136363636366</c:v>
              </c:pt>
              <c:pt idx="1">
                <c:v>650.7172131147538</c:v>
              </c:pt>
              <c:pt idx="2">
                <c:v>655.69852941176464</c:v>
              </c:pt>
              <c:pt idx="3">
                <c:v>647.61235955056191</c:v>
              </c:pt>
              <c:pt idx="4">
                <c:v>729.11931818181813</c:v>
              </c:pt>
              <c:pt idx="5">
                <c:v>722.02868852459005</c:v>
              </c:pt>
              <c:pt idx="6">
                <c:v>719.66911764705878</c:v>
              </c:pt>
              <c:pt idx="7">
                <c:v>733.14606741573016</c:v>
              </c:pt>
              <c:pt idx="8">
                <c:v>803.26704545454538</c:v>
              </c:pt>
              <c:pt idx="9">
                <c:v>802.2540983606558</c:v>
              </c:pt>
              <c:pt idx="10">
                <c:v>799.63235294117669</c:v>
              </c:pt>
              <c:pt idx="11">
                <c:v>794.24157303370782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6C0-4F9B-80CB-77484FF4CB6B}"/>
            </c:ext>
          </c:extLst>
        </c:ser>
        <c:ser>
          <c:idx val="1"/>
          <c:order val="1"/>
          <c:tx>
            <c:v>Regressionsgerade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xVal>
          <c:yVal>
            <c:numLit>
              <c:formatCode>0.0</c:formatCode>
              <c:ptCount val="16"/>
              <c:pt idx="0">
                <c:v>632.29999999999995</c:v>
              </c:pt>
              <c:pt idx="1">
                <c:v>649.19999999999993</c:v>
              </c:pt>
              <c:pt idx="2">
                <c:v>666.1</c:v>
              </c:pt>
              <c:pt idx="3">
                <c:v>683</c:v>
              </c:pt>
              <c:pt idx="4">
                <c:v>699.9</c:v>
              </c:pt>
              <c:pt idx="5">
                <c:v>716.8</c:v>
              </c:pt>
              <c:pt idx="6">
                <c:v>733.69999999999993</c:v>
              </c:pt>
              <c:pt idx="7">
                <c:v>750.59999999999991</c:v>
              </c:pt>
              <c:pt idx="8">
                <c:v>767.5</c:v>
              </c:pt>
              <c:pt idx="9">
                <c:v>784.4</c:v>
              </c:pt>
              <c:pt idx="10">
                <c:v>801.3</c:v>
              </c:pt>
              <c:pt idx="11">
                <c:v>818.19999999999993</c:v>
              </c:pt>
              <c:pt idx="12">
                <c:v>835.09999999999991</c:v>
              </c:pt>
              <c:pt idx="13">
                <c:v>852</c:v>
              </c:pt>
              <c:pt idx="14">
                <c:v>868.9</c:v>
              </c:pt>
              <c:pt idx="15">
                <c:v>885.8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6C0-4F9B-80CB-77484FF4CB6B}"/>
            </c:ext>
          </c:extLst>
        </c:ser>
        <c:dLbls/>
        <c:axId val="144117120"/>
        <c:axId val="144118912"/>
      </c:scatterChart>
      <c:valAx>
        <c:axId val="144117120"/>
        <c:scaling>
          <c:orientation val="minMax"/>
          <c:max val="16"/>
          <c:min val="1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4118912"/>
        <c:crossesAt val="600"/>
        <c:crossBetween val="midCat"/>
        <c:majorUnit val="1"/>
        <c:minorUnit val="1"/>
      </c:valAx>
      <c:valAx>
        <c:axId val="144118912"/>
        <c:scaling>
          <c:orientation val="minMax"/>
          <c:max val="900"/>
          <c:min val="6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Nachfrage</a:t>
                </a:r>
              </a:p>
            </c:rich>
          </c:tx>
          <c:layout>
            <c:manualLayout>
              <c:xMode val="edge"/>
              <c:yMode val="edge"/>
              <c:x val="1.1128824502686655E-2"/>
              <c:y val="0.37807710635594194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4117120"/>
        <c:crossesAt val="1"/>
        <c:crossBetween val="midCat"/>
        <c:majorUnit val="5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847573479152429"/>
          <c:y val="0.91371045062320244"/>
          <c:w val="0.52494873547505139"/>
          <c:h val="5.848513902205178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7530552707627727E-2"/>
          <c:y val="8.2799508204651026E-2"/>
          <c:w val="0.85901909884795147"/>
          <c:h val="0.61408269606239951"/>
        </c:manualLayout>
      </c:layout>
      <c:scatterChart>
        <c:scatterStyle val="lineMarker"/>
        <c:ser>
          <c:idx val="0"/>
          <c:order val="0"/>
          <c:tx>
            <c:v>Beobachtet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[1]Tabelle2!$B$11:$B$22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[1]Tabelle2!$C$11:$C$22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28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D65-4302-9A31-883D76589DA8}"/>
            </c:ext>
          </c:extLst>
        </c:ser>
        <c:ser>
          <c:idx val="1"/>
          <c:order val="1"/>
          <c:tx>
            <c:v>GM 3 Wochen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[1]Tabelle2!$B$13:$B$22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[1]Tabelle2!$D$13:$D$22</c:f>
              <c:numCache>
                <c:formatCode>#,##0.0</c:formatCode>
                <c:ptCount val="10"/>
                <c:pt idx="1">
                  <c:v>11.666666666666666</c:v>
                </c:pt>
                <c:pt idx="2">
                  <c:v>13.666666666666666</c:v>
                </c:pt>
                <c:pt idx="3">
                  <c:v>16</c:v>
                </c:pt>
                <c:pt idx="4">
                  <c:v>19.333333333333332</c:v>
                </c:pt>
                <c:pt idx="5">
                  <c:v>22.666666666666668</c:v>
                </c:pt>
                <c:pt idx="6">
                  <c:v>26.333333333333332</c:v>
                </c:pt>
                <c:pt idx="7">
                  <c:v>28</c:v>
                </c:pt>
                <c:pt idx="8">
                  <c:v>25.333333333333332</c:v>
                </c:pt>
                <c:pt idx="9">
                  <c:v>20.666666666666668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D65-4302-9A31-883D76589DA8}"/>
            </c:ext>
          </c:extLst>
        </c:ser>
        <c:ser>
          <c:idx val="2"/>
          <c:order val="2"/>
          <c:tx>
            <c:v>GM 5 Wochen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[1]Tabelle2!$B$13:$B$22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[1]Tabelle2!$F$13:$F$22</c:f>
              <c:numCache>
                <c:formatCode>#,##0.0</c:formatCode>
                <c:ptCount val="10"/>
                <c:pt idx="3">
                  <c:v>14</c:v>
                </c:pt>
                <c:pt idx="4">
                  <c:v>16.600000000000001</c:v>
                </c:pt>
                <c:pt idx="5">
                  <c:v>19.399999999999999</c:v>
                </c:pt>
                <c:pt idx="6">
                  <c:v>22.8</c:v>
                </c:pt>
                <c:pt idx="7">
                  <c:v>25.2</c:v>
                </c:pt>
                <c:pt idx="8">
                  <c:v>25</c:v>
                </c:pt>
                <c:pt idx="9">
                  <c:v>23.6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D65-4302-9A31-883D76589DA8}"/>
            </c:ext>
          </c:extLst>
        </c:ser>
        <c:axId val="146915328"/>
        <c:axId val="146917248"/>
      </c:scatterChart>
      <c:valAx>
        <c:axId val="146915328"/>
        <c:scaling>
          <c:orientation val="minMax"/>
          <c:max val="12"/>
          <c:min val="1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6917248"/>
        <c:crosses val="autoZero"/>
        <c:crossBetween val="midCat"/>
        <c:majorUnit val="1"/>
      </c:valAx>
      <c:valAx>
        <c:axId val="14691724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6915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554533112827996"/>
          <c:y val="0.78518546052314675"/>
          <c:w val="0.59557495125021565"/>
          <c:h val="0.100289425001226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7530552707627727E-2"/>
          <c:y val="8.2799508204651026E-2"/>
          <c:w val="0.85901909884795147"/>
          <c:h val="0.61408269606239951"/>
        </c:manualLayout>
      </c:layout>
      <c:scatterChart>
        <c:scatterStyle val="lineMarker"/>
        <c:ser>
          <c:idx val="0"/>
          <c:order val="0"/>
          <c:tx>
            <c:v>Beobachtet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[1]Tabelle2!$B$11:$B$22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[1]Tabelle2!$C$11:$C$22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28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D65-4302-9A31-883D76589DA8}"/>
            </c:ext>
          </c:extLst>
        </c:ser>
        <c:ser>
          <c:idx val="1"/>
          <c:order val="1"/>
          <c:tx>
            <c:v>GM 3 Wochen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[1]Tabelle2!$B$13:$B$22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[1]Tabelle2!$D$13:$D$22</c:f>
              <c:numCache>
                <c:formatCode>#,##0.0</c:formatCode>
                <c:ptCount val="10"/>
                <c:pt idx="1">
                  <c:v>11.666666666666666</c:v>
                </c:pt>
                <c:pt idx="2">
                  <c:v>13.666666666666666</c:v>
                </c:pt>
                <c:pt idx="3">
                  <c:v>16</c:v>
                </c:pt>
                <c:pt idx="4">
                  <c:v>19.333333333333332</c:v>
                </c:pt>
                <c:pt idx="5">
                  <c:v>22.666666666666668</c:v>
                </c:pt>
                <c:pt idx="6">
                  <c:v>26.333333333333332</c:v>
                </c:pt>
                <c:pt idx="7">
                  <c:v>28</c:v>
                </c:pt>
                <c:pt idx="8">
                  <c:v>25.333333333333332</c:v>
                </c:pt>
                <c:pt idx="9">
                  <c:v>20.666666666666668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D65-4302-9A31-883D76589DA8}"/>
            </c:ext>
          </c:extLst>
        </c:ser>
        <c:ser>
          <c:idx val="3"/>
          <c:order val="2"/>
          <c:tx>
            <c:v>GM 3 Wochen gew.</c:v>
          </c:tx>
          <c:xVal>
            <c:numRef>
              <c:f>[1]Tabelle2!$B$13:$B$22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[1]Tabelle2!$E$13:$E$22</c:f>
              <c:numCache>
                <c:formatCode>#,##0.0</c:formatCode>
                <c:ptCount val="10"/>
                <c:pt idx="1">
                  <c:v>12.166666666666666</c:v>
                </c:pt>
                <c:pt idx="2">
                  <c:v>14.333333333333332</c:v>
                </c:pt>
                <c:pt idx="3">
                  <c:v>17</c:v>
                </c:pt>
                <c:pt idx="4">
                  <c:v>20.5</c:v>
                </c:pt>
                <c:pt idx="5">
                  <c:v>23.833333333333332</c:v>
                </c:pt>
                <c:pt idx="6">
                  <c:v>27.5</c:v>
                </c:pt>
                <c:pt idx="7">
                  <c:v>28.333333333333332</c:v>
                </c:pt>
                <c:pt idx="8">
                  <c:v>23.333333333333332</c:v>
                </c:pt>
                <c:pt idx="9">
                  <c:v>18.666666666666664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C17-43D8-B9C0-C94BAC1973A0}"/>
            </c:ext>
          </c:extLst>
        </c:ser>
        <c:axId val="146821120"/>
        <c:axId val="146822656"/>
      </c:scatterChart>
      <c:valAx>
        <c:axId val="146821120"/>
        <c:scaling>
          <c:orientation val="minMax"/>
          <c:max val="12"/>
          <c:min val="1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6822656"/>
        <c:crosses val="autoZero"/>
        <c:crossBetween val="midCat"/>
        <c:majorUnit val="1"/>
      </c:valAx>
      <c:valAx>
        <c:axId val="14682265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6821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554533112827996"/>
          <c:y val="0.78518546052314675"/>
          <c:w val="0.59557495125021565"/>
          <c:h val="0.100289425001226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9</xdr:row>
      <xdr:rowOff>38100</xdr:rowOff>
    </xdr:from>
    <xdr:to>
      <xdr:col>2</xdr:col>
      <xdr:colOff>708025</xdr:colOff>
      <xdr:row>11</xdr:row>
      <xdr:rowOff>117475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C8152905-6A12-40B1-BE57-6876FE016277}"/>
            </a:ext>
          </a:extLst>
        </xdr:cNvPr>
        <xdr:cNvSpPr>
          <a:spLocks/>
        </xdr:cNvSpPr>
      </xdr:nvSpPr>
      <xdr:spPr bwMode="auto">
        <a:xfrm>
          <a:off x="1504950" y="1736725"/>
          <a:ext cx="31750" cy="454025"/>
        </a:xfrm>
        <a:prstGeom prst="rightBrace">
          <a:avLst>
            <a:gd name="adj1" fmla="val 107500"/>
            <a:gd name="adj2" fmla="val 50000"/>
          </a:avLst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787400</xdr:colOff>
      <xdr:row>7</xdr:row>
      <xdr:rowOff>47625</xdr:rowOff>
    </xdr:from>
    <xdr:to>
      <xdr:col>2</xdr:col>
      <xdr:colOff>838200</xdr:colOff>
      <xdr:row>11</xdr:row>
      <xdr:rowOff>117475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15F233B4-07CC-4219-A0D0-2572D1B8D535}"/>
            </a:ext>
          </a:extLst>
        </xdr:cNvPr>
        <xdr:cNvSpPr>
          <a:spLocks/>
        </xdr:cNvSpPr>
      </xdr:nvSpPr>
      <xdr:spPr bwMode="auto">
        <a:xfrm>
          <a:off x="1616075" y="1371600"/>
          <a:ext cx="50800" cy="819150"/>
        </a:xfrm>
        <a:prstGeom prst="rightBrace">
          <a:avLst>
            <a:gd name="adj1" fmla="val 119792"/>
            <a:gd name="adj2" fmla="val 50000"/>
          </a:avLst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885825</xdr:colOff>
      <xdr:row>5</xdr:row>
      <xdr:rowOff>98425</xdr:rowOff>
    </xdr:from>
    <xdr:to>
      <xdr:col>2</xdr:col>
      <xdr:colOff>965200</xdr:colOff>
      <xdr:row>11</xdr:row>
      <xdr:rowOff>127000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xmlns="" id="{70CB077B-1E01-4D4F-AF7C-A11D85181FD4}"/>
            </a:ext>
          </a:extLst>
        </xdr:cNvPr>
        <xdr:cNvSpPr>
          <a:spLocks/>
        </xdr:cNvSpPr>
      </xdr:nvSpPr>
      <xdr:spPr bwMode="auto">
        <a:xfrm>
          <a:off x="1714500" y="1047750"/>
          <a:ext cx="79375" cy="1152525"/>
        </a:xfrm>
        <a:prstGeom prst="rightBrace">
          <a:avLst>
            <a:gd name="adj1" fmla="val 107000"/>
            <a:gd name="adj2" fmla="val 50000"/>
          </a:avLst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727075</xdr:colOff>
      <xdr:row>10</xdr:row>
      <xdr:rowOff>88900</xdr:rowOff>
    </xdr:from>
    <xdr:to>
      <xdr:col>3</xdr:col>
      <xdr:colOff>450850</xdr:colOff>
      <xdr:row>10</xdr:row>
      <xdr:rowOff>88900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xmlns="" id="{F6721973-FA78-4C37-B0ED-A67A4D635CE1}"/>
            </a:ext>
          </a:extLst>
        </xdr:cNvPr>
        <xdr:cNvSpPr>
          <a:spLocks noChangeShapeType="1"/>
        </xdr:cNvSpPr>
      </xdr:nvSpPr>
      <xdr:spPr bwMode="auto">
        <a:xfrm>
          <a:off x="1555750" y="1974850"/>
          <a:ext cx="730250" cy="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838200</xdr:colOff>
      <xdr:row>9</xdr:row>
      <xdr:rowOff>76200</xdr:rowOff>
    </xdr:from>
    <xdr:to>
      <xdr:col>5</xdr:col>
      <xdr:colOff>419100</xdr:colOff>
      <xdr:row>9</xdr:row>
      <xdr:rowOff>76200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xmlns="" id="{E926DC43-278F-42C5-9F78-B5FD737CBD6E}"/>
            </a:ext>
          </a:extLst>
        </xdr:cNvPr>
        <xdr:cNvSpPr>
          <a:spLocks noChangeShapeType="1"/>
        </xdr:cNvSpPr>
      </xdr:nvSpPr>
      <xdr:spPr bwMode="auto">
        <a:xfrm>
          <a:off x="1666875" y="1774825"/>
          <a:ext cx="2365375" cy="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936625</xdr:colOff>
      <xdr:row>8</xdr:row>
      <xdr:rowOff>98425</xdr:rowOff>
    </xdr:from>
    <xdr:to>
      <xdr:col>7</xdr:col>
      <xdr:colOff>438150</xdr:colOff>
      <xdr:row>8</xdr:row>
      <xdr:rowOff>98425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8E0AF0F4-1A70-4218-97AC-917C3F6F0B81}"/>
            </a:ext>
          </a:extLst>
        </xdr:cNvPr>
        <xdr:cNvSpPr>
          <a:spLocks noChangeShapeType="1"/>
        </xdr:cNvSpPr>
      </xdr:nvSpPr>
      <xdr:spPr bwMode="auto">
        <a:xfrm>
          <a:off x="1765300" y="1609725"/>
          <a:ext cx="4064000" cy="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438150</xdr:colOff>
      <xdr:row>10</xdr:row>
      <xdr:rowOff>98425</xdr:rowOff>
    </xdr:from>
    <xdr:to>
      <xdr:col>3</xdr:col>
      <xdr:colOff>438150</xdr:colOff>
      <xdr:row>11</xdr:row>
      <xdr:rowOff>76200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xmlns="" id="{C507A54B-5B54-4324-AC47-6FA3FCC65609}"/>
            </a:ext>
          </a:extLst>
        </xdr:cNvPr>
        <xdr:cNvSpPr>
          <a:spLocks noChangeShapeType="1"/>
        </xdr:cNvSpPr>
      </xdr:nvSpPr>
      <xdr:spPr bwMode="auto">
        <a:xfrm>
          <a:off x="2273300" y="1984375"/>
          <a:ext cx="0" cy="16510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9</xdr:row>
      <xdr:rowOff>66675</xdr:rowOff>
    </xdr:from>
    <xdr:to>
      <xdr:col>5</xdr:col>
      <xdr:colOff>400050</xdr:colOff>
      <xdr:row>11</xdr:row>
      <xdr:rowOff>107950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xmlns="" id="{27BD0925-5B3B-4A02-82C5-14DA2DC91D72}"/>
            </a:ext>
          </a:extLst>
        </xdr:cNvPr>
        <xdr:cNvSpPr>
          <a:spLocks noChangeShapeType="1"/>
        </xdr:cNvSpPr>
      </xdr:nvSpPr>
      <xdr:spPr bwMode="auto">
        <a:xfrm>
          <a:off x="4013200" y="1765300"/>
          <a:ext cx="0" cy="415925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428625</xdr:colOff>
      <xdr:row>8</xdr:row>
      <xdr:rowOff>98425</xdr:rowOff>
    </xdr:from>
    <xdr:to>
      <xdr:col>7</xdr:col>
      <xdr:colOff>428625</xdr:colOff>
      <xdr:row>11</xdr:row>
      <xdr:rowOff>88900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xmlns="" id="{2CE1A554-65D7-41E2-938E-3519B462E637}"/>
            </a:ext>
          </a:extLst>
        </xdr:cNvPr>
        <xdr:cNvSpPr>
          <a:spLocks noChangeShapeType="1"/>
        </xdr:cNvSpPr>
      </xdr:nvSpPr>
      <xdr:spPr bwMode="auto">
        <a:xfrm>
          <a:off x="5819775" y="1609725"/>
          <a:ext cx="0" cy="55245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250825</xdr:colOff>
      <xdr:row>1</xdr:row>
      <xdr:rowOff>149225</xdr:rowOff>
    </xdr:from>
    <xdr:to>
      <xdr:col>16</xdr:col>
      <xdr:colOff>200025</xdr:colOff>
      <xdr:row>22</xdr:row>
      <xdr:rowOff>0</xdr:rowOff>
    </xdr:to>
    <xdr:graphicFrame macro="">
      <xdr:nvGraphicFramePr>
        <xdr:cNvPr id="11" name="Diagramm 11">
          <a:extLst>
            <a:ext uri="{FF2B5EF4-FFF2-40B4-BE49-F238E27FC236}">
              <a16:creationId xmlns:a16="http://schemas.microsoft.com/office/drawing/2014/main" xmlns="" id="{3867E633-F38E-4B17-8DCA-C0EC60B6D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26</xdr:row>
      <xdr:rowOff>19050</xdr:rowOff>
    </xdr:from>
    <xdr:to>
      <xdr:col>16</xdr:col>
      <xdr:colOff>200025</xdr:colOff>
      <xdr:row>46</xdr:row>
      <xdr:rowOff>38100</xdr:rowOff>
    </xdr:to>
    <xdr:graphicFrame macro="">
      <xdr:nvGraphicFramePr>
        <xdr:cNvPr id="12" name="Diagramm 21">
          <a:extLst>
            <a:ext uri="{FF2B5EF4-FFF2-40B4-BE49-F238E27FC236}">
              <a16:creationId xmlns:a16="http://schemas.microsoft.com/office/drawing/2014/main" xmlns="" id="{515A88DE-BB00-426E-8DA2-EAF9C62DA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88900</xdr:colOff>
      <xdr:row>68</xdr:row>
      <xdr:rowOff>0</xdr:rowOff>
    </xdr:from>
    <xdr:to>
      <xdr:col>12</xdr:col>
      <xdr:colOff>349250</xdr:colOff>
      <xdr:row>87</xdr:row>
      <xdr:rowOff>66675</xdr:rowOff>
    </xdr:to>
    <xdr:graphicFrame macro="">
      <xdr:nvGraphicFramePr>
        <xdr:cNvPr id="13" name="Diagramm 22">
          <a:extLst>
            <a:ext uri="{FF2B5EF4-FFF2-40B4-BE49-F238E27FC236}">
              <a16:creationId xmlns:a16="http://schemas.microsoft.com/office/drawing/2014/main" xmlns="" id="{FBDD14CF-C756-4BF2-8300-8B04CB0FC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69850</xdr:colOff>
      <xdr:row>94</xdr:row>
      <xdr:rowOff>0</xdr:rowOff>
    </xdr:from>
    <xdr:to>
      <xdr:col>14</xdr:col>
      <xdr:colOff>0</xdr:colOff>
      <xdr:row>114</xdr:row>
      <xdr:rowOff>47625</xdr:rowOff>
    </xdr:to>
    <xdr:graphicFrame macro="">
      <xdr:nvGraphicFramePr>
        <xdr:cNvPr id="14" name="Diagramm 28">
          <a:extLst>
            <a:ext uri="{FF2B5EF4-FFF2-40B4-BE49-F238E27FC236}">
              <a16:creationId xmlns:a16="http://schemas.microsoft.com/office/drawing/2014/main" xmlns="" id="{07FF69B7-2531-457A-8039-E6662E51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511970</xdr:colOff>
      <xdr:row>2</xdr:row>
      <xdr:rowOff>656416</xdr:rowOff>
    </xdr:from>
    <xdr:to>
      <xdr:col>17</xdr:col>
      <xdr:colOff>464343</xdr:colOff>
      <xdr:row>16</xdr:row>
      <xdr:rowOff>98889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3FCEFB85-0ED6-4CE8-B9B9-004CEB53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6</xdr:row>
      <xdr:rowOff>9525</xdr:rowOff>
    </xdr:from>
    <xdr:to>
      <xdr:col>16</xdr:col>
      <xdr:colOff>69850</xdr:colOff>
      <xdr:row>26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6CE1E65C-E661-4225-9BB1-97ADCEF469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549275</xdr:colOff>
      <xdr:row>57</xdr:row>
      <xdr:rowOff>98425</xdr:rowOff>
    </xdr:from>
    <xdr:to>
      <xdr:col>6</xdr:col>
      <xdr:colOff>577850</xdr:colOff>
      <xdr:row>57</xdr:row>
      <xdr:rowOff>98425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79483D4-9B7C-4666-9A90-0DE2B5CC09CF}"/>
            </a:ext>
          </a:extLst>
        </xdr:cNvPr>
        <xdr:cNvSpPr>
          <a:spLocks noChangeShapeType="1"/>
        </xdr:cNvSpPr>
      </xdr:nvSpPr>
      <xdr:spPr bwMode="auto">
        <a:xfrm flipH="1">
          <a:off x="3216275" y="99441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568325</xdr:colOff>
      <xdr:row>49</xdr:row>
      <xdr:rowOff>117475</xdr:rowOff>
    </xdr:from>
    <xdr:to>
      <xdr:col>6</xdr:col>
      <xdr:colOff>539750</xdr:colOff>
      <xdr:row>51</xdr:row>
      <xdr:rowOff>66675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xmlns="" id="{2CF16B0E-3A5F-44E5-BC73-1652C504FAD7}"/>
            </a:ext>
          </a:extLst>
        </xdr:cNvPr>
        <xdr:cNvSpPr>
          <a:spLocks noChangeShapeType="1"/>
        </xdr:cNvSpPr>
      </xdr:nvSpPr>
      <xdr:spPr bwMode="auto">
        <a:xfrm flipH="1" flipV="1">
          <a:off x="3235325" y="8591550"/>
          <a:ext cx="590550" cy="288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62</xdr:row>
      <xdr:rowOff>28575</xdr:rowOff>
    </xdr:from>
    <xdr:to>
      <xdr:col>14</xdr:col>
      <xdr:colOff>539750</xdr:colOff>
      <xdr:row>82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xmlns="" id="{AC34DFD9-5F71-4307-B506-63D3E1F70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250825</xdr:colOff>
      <xdr:row>3</xdr:row>
      <xdr:rowOff>149225</xdr:rowOff>
    </xdr:from>
    <xdr:to>
      <xdr:col>16</xdr:col>
      <xdr:colOff>200025</xdr:colOff>
      <xdr:row>25</xdr:row>
      <xdr:rowOff>152401</xdr:rowOff>
    </xdr:to>
    <xdr:graphicFrame macro="">
      <xdr:nvGraphicFramePr>
        <xdr:cNvPr id="11" name="Diagramm 1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3</xdr:row>
      <xdr:rowOff>171450</xdr:rowOff>
    </xdr:from>
    <xdr:to>
      <xdr:col>24</xdr:col>
      <xdr:colOff>558800</xdr:colOff>
      <xdr:row>25</xdr:row>
      <xdr:rowOff>174626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34</xdr:row>
      <xdr:rowOff>95250</xdr:rowOff>
    </xdr:from>
    <xdr:to>
      <xdr:col>18</xdr:col>
      <xdr:colOff>82550</xdr:colOff>
      <xdr:row>56</xdr:row>
      <xdr:rowOff>98426</xdr:rowOff>
    </xdr:to>
    <xdr:graphicFrame macro="">
      <xdr:nvGraphicFramePr>
        <xdr:cNvPr id="13" name="Diagramm 1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/Dropbox/Dropbox/IT15a_ZH/4.%20Semester/MQMO/&#220;bung%208/IT15a_ZH_MQMO_U8_Shabani_Vy_Kaderl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le2"/>
    </sheetNames>
    <sheetDataSet>
      <sheetData sheetId="0">
        <row r="11">
          <cell r="B11">
            <v>1</v>
          </cell>
          <cell r="C11">
            <v>10</v>
          </cell>
        </row>
        <row r="12">
          <cell r="B12">
            <v>2</v>
          </cell>
          <cell r="C12">
            <v>12</v>
          </cell>
        </row>
        <row r="13">
          <cell r="B13">
            <v>3</v>
          </cell>
          <cell r="C13">
            <v>13</v>
          </cell>
        </row>
        <row r="14">
          <cell r="B14">
            <v>4</v>
          </cell>
          <cell r="C14">
            <v>16</v>
          </cell>
          <cell r="D14">
            <v>11.666666666666666</v>
          </cell>
          <cell r="E14">
            <v>12.166666666666666</v>
          </cell>
        </row>
        <row r="15">
          <cell r="B15">
            <v>5</v>
          </cell>
          <cell r="C15">
            <v>19</v>
          </cell>
          <cell r="D15">
            <v>13.666666666666666</v>
          </cell>
          <cell r="E15">
            <v>14.333333333333332</v>
          </cell>
        </row>
        <row r="16">
          <cell r="B16">
            <v>6</v>
          </cell>
          <cell r="C16">
            <v>23</v>
          </cell>
          <cell r="D16">
            <v>16</v>
          </cell>
          <cell r="E16">
            <v>17</v>
          </cell>
          <cell r="F16">
            <v>14</v>
          </cell>
        </row>
        <row r="17">
          <cell r="B17">
            <v>7</v>
          </cell>
          <cell r="C17">
            <v>26</v>
          </cell>
          <cell r="D17">
            <v>19.333333333333332</v>
          </cell>
          <cell r="E17">
            <v>20.5</v>
          </cell>
          <cell r="F17">
            <v>16.600000000000001</v>
          </cell>
        </row>
        <row r="18">
          <cell r="B18">
            <v>8</v>
          </cell>
          <cell r="C18">
            <v>30</v>
          </cell>
          <cell r="D18">
            <v>22.666666666666668</v>
          </cell>
          <cell r="E18">
            <v>23.833333333333332</v>
          </cell>
          <cell r="F18">
            <v>19.399999999999999</v>
          </cell>
        </row>
        <row r="19">
          <cell r="B19">
            <v>9</v>
          </cell>
          <cell r="C19">
            <v>28</v>
          </cell>
          <cell r="D19">
            <v>26.333333333333332</v>
          </cell>
          <cell r="E19">
            <v>27.5</v>
          </cell>
          <cell r="F19">
            <v>22.8</v>
          </cell>
        </row>
        <row r="20">
          <cell r="B20">
            <v>10</v>
          </cell>
          <cell r="C20">
            <v>18</v>
          </cell>
          <cell r="D20">
            <v>28</v>
          </cell>
          <cell r="E20">
            <v>28.333333333333332</v>
          </cell>
          <cell r="F20">
            <v>25.2</v>
          </cell>
        </row>
        <row r="21">
          <cell r="B21">
            <v>11</v>
          </cell>
          <cell r="C21">
            <v>16</v>
          </cell>
          <cell r="D21">
            <v>25.333333333333332</v>
          </cell>
          <cell r="E21">
            <v>23.333333333333332</v>
          </cell>
          <cell r="F21">
            <v>25</v>
          </cell>
        </row>
        <row r="22">
          <cell r="B22">
            <v>12</v>
          </cell>
          <cell r="C22">
            <v>14</v>
          </cell>
          <cell r="D22">
            <v>20.666666666666668</v>
          </cell>
          <cell r="E22">
            <v>18.666666666666664</v>
          </cell>
          <cell r="F22">
            <v>23.6</v>
          </cell>
        </row>
        <row r="53">
          <cell r="B53">
            <v>1</v>
          </cell>
          <cell r="C53">
            <v>180</v>
          </cell>
          <cell r="D53">
            <v>175</v>
          </cell>
          <cell r="H53">
            <v>175</v>
          </cell>
        </row>
        <row r="54">
          <cell r="B54">
            <v>2</v>
          </cell>
          <cell r="C54">
            <v>168</v>
          </cell>
          <cell r="D54">
            <v>175.5</v>
          </cell>
          <cell r="H54">
            <v>177.5</v>
          </cell>
        </row>
        <row r="55">
          <cell r="B55">
            <v>3</v>
          </cell>
          <cell r="C55">
            <v>159</v>
          </cell>
          <cell r="D55">
            <v>174.75000000000003</v>
          </cell>
          <cell r="H55">
            <v>172.75</v>
          </cell>
        </row>
        <row r="56">
          <cell r="B56">
            <v>4</v>
          </cell>
          <cell r="C56">
            <v>175</v>
          </cell>
          <cell r="D56">
            <v>173.17500000000004</v>
          </cell>
          <cell r="H56">
            <v>165.875</v>
          </cell>
        </row>
        <row r="57">
          <cell r="B57">
            <v>5</v>
          </cell>
          <cell r="C57">
            <v>190</v>
          </cell>
          <cell r="D57">
            <v>173.35750000000004</v>
          </cell>
          <cell r="H57">
            <v>170.4375</v>
          </cell>
        </row>
        <row r="58">
          <cell r="B58">
            <v>6</v>
          </cell>
          <cell r="C58">
            <v>205</v>
          </cell>
          <cell r="D58">
            <v>175.02175000000005</v>
          </cell>
          <cell r="H58">
            <v>180.21875</v>
          </cell>
        </row>
        <row r="59">
          <cell r="B59">
            <v>7</v>
          </cell>
          <cell r="C59">
            <v>180</v>
          </cell>
          <cell r="D59">
            <v>178.01957500000006</v>
          </cell>
          <cell r="H59">
            <v>192.609375</v>
          </cell>
        </row>
        <row r="60">
          <cell r="B60">
            <v>8</v>
          </cell>
          <cell r="C60">
            <v>182</v>
          </cell>
          <cell r="D60">
            <v>178.21761750000005</v>
          </cell>
          <cell r="H60">
            <v>186.3046875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16"/>
  <sheetViews>
    <sheetView zoomScale="60" zoomScaleNormal="60" workbookViewId="0">
      <selection activeCell="D29" sqref="D29"/>
    </sheetView>
  </sheetViews>
  <sheetFormatPr baseColWidth="10" defaultColWidth="9.140625" defaultRowHeight="15"/>
  <cols>
    <col min="1" max="1" width="2.7109375" customWidth="1"/>
    <col min="3" max="3" width="14.42578125" customWidth="1"/>
    <col min="4" max="9" width="12.7109375" customWidth="1"/>
    <col min="257" max="257" width="2.7109375" customWidth="1"/>
    <col min="259" max="259" width="14.42578125" customWidth="1"/>
    <col min="260" max="265" width="12.7109375" customWidth="1"/>
    <col min="513" max="513" width="2.7109375" customWidth="1"/>
    <col min="515" max="515" width="14.42578125" customWidth="1"/>
    <col min="516" max="521" width="12.7109375" customWidth="1"/>
    <col min="769" max="769" width="2.7109375" customWidth="1"/>
    <col min="771" max="771" width="14.42578125" customWidth="1"/>
    <col min="772" max="777" width="12.7109375" customWidth="1"/>
    <col min="1025" max="1025" width="2.7109375" customWidth="1"/>
    <col min="1027" max="1027" width="14.42578125" customWidth="1"/>
    <col min="1028" max="1033" width="12.7109375" customWidth="1"/>
    <col min="1281" max="1281" width="2.7109375" customWidth="1"/>
    <col min="1283" max="1283" width="14.42578125" customWidth="1"/>
    <col min="1284" max="1289" width="12.7109375" customWidth="1"/>
    <col min="1537" max="1537" width="2.7109375" customWidth="1"/>
    <col min="1539" max="1539" width="14.42578125" customWidth="1"/>
    <col min="1540" max="1545" width="12.7109375" customWidth="1"/>
    <col min="1793" max="1793" width="2.7109375" customWidth="1"/>
    <col min="1795" max="1795" width="14.42578125" customWidth="1"/>
    <col min="1796" max="1801" width="12.7109375" customWidth="1"/>
    <col min="2049" max="2049" width="2.7109375" customWidth="1"/>
    <col min="2051" max="2051" width="14.42578125" customWidth="1"/>
    <col min="2052" max="2057" width="12.7109375" customWidth="1"/>
    <col min="2305" max="2305" width="2.7109375" customWidth="1"/>
    <col min="2307" max="2307" width="14.42578125" customWidth="1"/>
    <col min="2308" max="2313" width="12.7109375" customWidth="1"/>
    <col min="2561" max="2561" width="2.7109375" customWidth="1"/>
    <col min="2563" max="2563" width="14.42578125" customWidth="1"/>
    <col min="2564" max="2569" width="12.7109375" customWidth="1"/>
    <col min="2817" max="2817" width="2.7109375" customWidth="1"/>
    <col min="2819" max="2819" width="14.42578125" customWidth="1"/>
    <col min="2820" max="2825" width="12.7109375" customWidth="1"/>
    <col min="3073" max="3073" width="2.7109375" customWidth="1"/>
    <col min="3075" max="3075" width="14.42578125" customWidth="1"/>
    <col min="3076" max="3081" width="12.7109375" customWidth="1"/>
    <col min="3329" max="3329" width="2.7109375" customWidth="1"/>
    <col min="3331" max="3331" width="14.42578125" customWidth="1"/>
    <col min="3332" max="3337" width="12.7109375" customWidth="1"/>
    <col min="3585" max="3585" width="2.7109375" customWidth="1"/>
    <col min="3587" max="3587" width="14.42578125" customWidth="1"/>
    <col min="3588" max="3593" width="12.7109375" customWidth="1"/>
    <col min="3841" max="3841" width="2.7109375" customWidth="1"/>
    <col min="3843" max="3843" width="14.42578125" customWidth="1"/>
    <col min="3844" max="3849" width="12.7109375" customWidth="1"/>
    <col min="4097" max="4097" width="2.7109375" customWidth="1"/>
    <col min="4099" max="4099" width="14.42578125" customWidth="1"/>
    <col min="4100" max="4105" width="12.7109375" customWidth="1"/>
    <col min="4353" max="4353" width="2.7109375" customWidth="1"/>
    <col min="4355" max="4355" width="14.42578125" customWidth="1"/>
    <col min="4356" max="4361" width="12.7109375" customWidth="1"/>
    <col min="4609" max="4609" width="2.7109375" customWidth="1"/>
    <col min="4611" max="4611" width="14.42578125" customWidth="1"/>
    <col min="4612" max="4617" width="12.7109375" customWidth="1"/>
    <col min="4865" max="4865" width="2.7109375" customWidth="1"/>
    <col min="4867" max="4867" width="14.42578125" customWidth="1"/>
    <col min="4868" max="4873" width="12.7109375" customWidth="1"/>
    <col min="5121" max="5121" width="2.7109375" customWidth="1"/>
    <col min="5123" max="5123" width="14.42578125" customWidth="1"/>
    <col min="5124" max="5129" width="12.7109375" customWidth="1"/>
    <col min="5377" max="5377" width="2.7109375" customWidth="1"/>
    <col min="5379" max="5379" width="14.42578125" customWidth="1"/>
    <col min="5380" max="5385" width="12.7109375" customWidth="1"/>
    <col min="5633" max="5633" width="2.7109375" customWidth="1"/>
    <col min="5635" max="5635" width="14.42578125" customWidth="1"/>
    <col min="5636" max="5641" width="12.7109375" customWidth="1"/>
    <col min="5889" max="5889" width="2.7109375" customWidth="1"/>
    <col min="5891" max="5891" width="14.42578125" customWidth="1"/>
    <col min="5892" max="5897" width="12.7109375" customWidth="1"/>
    <col min="6145" max="6145" width="2.7109375" customWidth="1"/>
    <col min="6147" max="6147" width="14.42578125" customWidth="1"/>
    <col min="6148" max="6153" width="12.7109375" customWidth="1"/>
    <col min="6401" max="6401" width="2.7109375" customWidth="1"/>
    <col min="6403" max="6403" width="14.42578125" customWidth="1"/>
    <col min="6404" max="6409" width="12.7109375" customWidth="1"/>
    <col min="6657" max="6657" width="2.7109375" customWidth="1"/>
    <col min="6659" max="6659" width="14.42578125" customWidth="1"/>
    <col min="6660" max="6665" width="12.7109375" customWidth="1"/>
    <col min="6913" max="6913" width="2.7109375" customWidth="1"/>
    <col min="6915" max="6915" width="14.42578125" customWidth="1"/>
    <col min="6916" max="6921" width="12.7109375" customWidth="1"/>
    <col min="7169" max="7169" width="2.7109375" customWidth="1"/>
    <col min="7171" max="7171" width="14.42578125" customWidth="1"/>
    <col min="7172" max="7177" width="12.7109375" customWidth="1"/>
    <col min="7425" max="7425" width="2.7109375" customWidth="1"/>
    <col min="7427" max="7427" width="14.42578125" customWidth="1"/>
    <col min="7428" max="7433" width="12.7109375" customWidth="1"/>
    <col min="7681" max="7681" width="2.7109375" customWidth="1"/>
    <col min="7683" max="7683" width="14.42578125" customWidth="1"/>
    <col min="7684" max="7689" width="12.7109375" customWidth="1"/>
    <col min="7937" max="7937" width="2.7109375" customWidth="1"/>
    <col min="7939" max="7939" width="14.42578125" customWidth="1"/>
    <col min="7940" max="7945" width="12.7109375" customWidth="1"/>
    <col min="8193" max="8193" width="2.7109375" customWidth="1"/>
    <col min="8195" max="8195" width="14.42578125" customWidth="1"/>
    <col min="8196" max="8201" width="12.7109375" customWidth="1"/>
    <col min="8449" max="8449" width="2.7109375" customWidth="1"/>
    <col min="8451" max="8451" width="14.42578125" customWidth="1"/>
    <col min="8452" max="8457" width="12.7109375" customWidth="1"/>
    <col min="8705" max="8705" width="2.7109375" customWidth="1"/>
    <col min="8707" max="8707" width="14.42578125" customWidth="1"/>
    <col min="8708" max="8713" width="12.7109375" customWidth="1"/>
    <col min="8961" max="8961" width="2.7109375" customWidth="1"/>
    <col min="8963" max="8963" width="14.42578125" customWidth="1"/>
    <col min="8964" max="8969" width="12.7109375" customWidth="1"/>
    <col min="9217" max="9217" width="2.7109375" customWidth="1"/>
    <col min="9219" max="9219" width="14.42578125" customWidth="1"/>
    <col min="9220" max="9225" width="12.7109375" customWidth="1"/>
    <col min="9473" max="9473" width="2.7109375" customWidth="1"/>
    <col min="9475" max="9475" width="14.42578125" customWidth="1"/>
    <col min="9476" max="9481" width="12.7109375" customWidth="1"/>
    <col min="9729" max="9729" width="2.7109375" customWidth="1"/>
    <col min="9731" max="9731" width="14.42578125" customWidth="1"/>
    <col min="9732" max="9737" width="12.7109375" customWidth="1"/>
    <col min="9985" max="9985" width="2.7109375" customWidth="1"/>
    <col min="9987" max="9987" width="14.42578125" customWidth="1"/>
    <col min="9988" max="9993" width="12.7109375" customWidth="1"/>
    <col min="10241" max="10241" width="2.7109375" customWidth="1"/>
    <col min="10243" max="10243" width="14.42578125" customWidth="1"/>
    <col min="10244" max="10249" width="12.7109375" customWidth="1"/>
    <col min="10497" max="10497" width="2.7109375" customWidth="1"/>
    <col min="10499" max="10499" width="14.42578125" customWidth="1"/>
    <col min="10500" max="10505" width="12.7109375" customWidth="1"/>
    <col min="10753" max="10753" width="2.7109375" customWidth="1"/>
    <col min="10755" max="10755" width="14.42578125" customWidth="1"/>
    <col min="10756" max="10761" width="12.7109375" customWidth="1"/>
    <col min="11009" max="11009" width="2.7109375" customWidth="1"/>
    <col min="11011" max="11011" width="14.42578125" customWidth="1"/>
    <col min="11012" max="11017" width="12.7109375" customWidth="1"/>
    <col min="11265" max="11265" width="2.7109375" customWidth="1"/>
    <col min="11267" max="11267" width="14.42578125" customWidth="1"/>
    <col min="11268" max="11273" width="12.7109375" customWidth="1"/>
    <col min="11521" max="11521" width="2.7109375" customWidth="1"/>
    <col min="11523" max="11523" width="14.42578125" customWidth="1"/>
    <col min="11524" max="11529" width="12.7109375" customWidth="1"/>
    <col min="11777" max="11777" width="2.7109375" customWidth="1"/>
    <col min="11779" max="11779" width="14.42578125" customWidth="1"/>
    <col min="11780" max="11785" width="12.7109375" customWidth="1"/>
    <col min="12033" max="12033" width="2.7109375" customWidth="1"/>
    <col min="12035" max="12035" width="14.42578125" customWidth="1"/>
    <col min="12036" max="12041" width="12.7109375" customWidth="1"/>
    <col min="12289" max="12289" width="2.7109375" customWidth="1"/>
    <col min="12291" max="12291" width="14.42578125" customWidth="1"/>
    <col min="12292" max="12297" width="12.7109375" customWidth="1"/>
    <col min="12545" max="12545" width="2.7109375" customWidth="1"/>
    <col min="12547" max="12547" width="14.42578125" customWidth="1"/>
    <col min="12548" max="12553" width="12.7109375" customWidth="1"/>
    <col min="12801" max="12801" width="2.7109375" customWidth="1"/>
    <col min="12803" max="12803" width="14.42578125" customWidth="1"/>
    <col min="12804" max="12809" width="12.7109375" customWidth="1"/>
    <col min="13057" max="13057" width="2.7109375" customWidth="1"/>
    <col min="13059" max="13059" width="14.42578125" customWidth="1"/>
    <col min="13060" max="13065" width="12.7109375" customWidth="1"/>
    <col min="13313" max="13313" width="2.7109375" customWidth="1"/>
    <col min="13315" max="13315" width="14.42578125" customWidth="1"/>
    <col min="13316" max="13321" width="12.7109375" customWidth="1"/>
    <col min="13569" max="13569" width="2.7109375" customWidth="1"/>
    <col min="13571" max="13571" width="14.42578125" customWidth="1"/>
    <col min="13572" max="13577" width="12.7109375" customWidth="1"/>
    <col min="13825" max="13825" width="2.7109375" customWidth="1"/>
    <col min="13827" max="13827" width="14.42578125" customWidth="1"/>
    <col min="13828" max="13833" width="12.7109375" customWidth="1"/>
    <col min="14081" max="14081" width="2.7109375" customWidth="1"/>
    <col min="14083" max="14083" width="14.42578125" customWidth="1"/>
    <col min="14084" max="14089" width="12.7109375" customWidth="1"/>
    <col min="14337" max="14337" width="2.7109375" customWidth="1"/>
    <col min="14339" max="14339" width="14.42578125" customWidth="1"/>
    <col min="14340" max="14345" width="12.7109375" customWidth="1"/>
    <col min="14593" max="14593" width="2.7109375" customWidth="1"/>
    <col min="14595" max="14595" width="14.42578125" customWidth="1"/>
    <col min="14596" max="14601" width="12.7109375" customWidth="1"/>
    <col min="14849" max="14849" width="2.7109375" customWidth="1"/>
    <col min="14851" max="14851" width="14.42578125" customWidth="1"/>
    <col min="14852" max="14857" width="12.7109375" customWidth="1"/>
    <col min="15105" max="15105" width="2.7109375" customWidth="1"/>
    <col min="15107" max="15107" width="14.42578125" customWidth="1"/>
    <col min="15108" max="15113" width="12.7109375" customWidth="1"/>
    <col min="15361" max="15361" width="2.7109375" customWidth="1"/>
    <col min="15363" max="15363" width="14.42578125" customWidth="1"/>
    <col min="15364" max="15369" width="12.7109375" customWidth="1"/>
    <col min="15617" max="15617" width="2.7109375" customWidth="1"/>
    <col min="15619" max="15619" width="14.42578125" customWidth="1"/>
    <col min="15620" max="15625" width="12.7109375" customWidth="1"/>
    <col min="15873" max="15873" width="2.7109375" customWidth="1"/>
    <col min="15875" max="15875" width="14.42578125" customWidth="1"/>
    <col min="15876" max="15881" width="12.7109375" customWidth="1"/>
    <col min="16129" max="16129" width="2.7109375" customWidth="1"/>
    <col min="16131" max="16131" width="14.42578125" customWidth="1"/>
    <col min="16132" max="16137" width="12.7109375" customWidth="1"/>
  </cols>
  <sheetData>
    <row r="2" spans="2:8" ht="15.75">
      <c r="B2" s="1" t="s">
        <v>0</v>
      </c>
    </row>
    <row r="3" spans="2:8">
      <c r="B3" s="2"/>
      <c r="C3" s="3"/>
      <c r="D3" s="3"/>
      <c r="E3" s="4"/>
      <c r="F3" s="4" t="s">
        <v>1</v>
      </c>
      <c r="G3" s="4"/>
      <c r="H3" s="5"/>
    </row>
    <row r="4" spans="2:8">
      <c r="B4" s="6"/>
      <c r="C4" s="7" t="s">
        <v>2</v>
      </c>
      <c r="D4" s="7" t="s">
        <v>3</v>
      </c>
      <c r="E4" s="7"/>
      <c r="F4" s="7" t="s">
        <v>3</v>
      </c>
      <c r="G4" s="7"/>
      <c r="H4" s="6" t="s">
        <v>3</v>
      </c>
    </row>
    <row r="5" spans="2:8">
      <c r="B5" s="6" t="s">
        <v>4</v>
      </c>
      <c r="C5" s="8" t="s">
        <v>5</v>
      </c>
      <c r="D5" s="8" t="s">
        <v>6</v>
      </c>
      <c r="E5" s="8"/>
      <c r="F5" s="8" t="s">
        <v>7</v>
      </c>
      <c r="G5" s="8"/>
      <c r="H5" s="9" t="s">
        <v>8</v>
      </c>
    </row>
    <row r="6" spans="2:8">
      <c r="B6" s="6">
        <v>1</v>
      </c>
      <c r="C6" s="10">
        <v>100</v>
      </c>
      <c r="D6" s="11"/>
      <c r="E6" s="11"/>
      <c r="F6" s="11"/>
      <c r="G6" s="11"/>
      <c r="H6" s="11"/>
    </row>
    <row r="7" spans="2:8">
      <c r="B7" s="6">
        <v>2</v>
      </c>
      <c r="C7" s="12">
        <v>125</v>
      </c>
      <c r="D7" s="13"/>
      <c r="E7" s="13"/>
      <c r="F7" s="13"/>
      <c r="G7" s="13"/>
      <c r="H7" s="13"/>
    </row>
    <row r="8" spans="2:8">
      <c r="B8" s="6">
        <v>3</v>
      </c>
      <c r="C8" s="12">
        <v>90</v>
      </c>
      <c r="D8" s="13"/>
      <c r="E8" s="13"/>
      <c r="F8" s="13"/>
      <c r="G8" s="13"/>
      <c r="H8" s="13"/>
    </row>
    <row r="9" spans="2:8">
      <c r="B9" s="6">
        <v>4</v>
      </c>
      <c r="C9" s="12">
        <v>110</v>
      </c>
      <c r="D9" s="13"/>
      <c r="E9" s="13"/>
      <c r="F9" s="13"/>
      <c r="G9" s="13"/>
      <c r="H9" s="13"/>
    </row>
    <row r="10" spans="2:8">
      <c r="B10" s="6">
        <v>5</v>
      </c>
      <c r="C10" s="12">
        <v>105</v>
      </c>
      <c r="D10" s="13"/>
      <c r="E10" s="13"/>
      <c r="F10" s="13"/>
      <c r="G10" s="13"/>
      <c r="H10" s="13"/>
    </row>
    <row r="11" spans="2:8">
      <c r="B11" s="6">
        <v>6</v>
      </c>
      <c r="C11" s="12">
        <v>130</v>
      </c>
      <c r="D11" s="13"/>
      <c r="E11" s="13"/>
      <c r="F11" s="13"/>
      <c r="G11" s="13"/>
      <c r="H11" s="13"/>
    </row>
    <row r="12" spans="2:8">
      <c r="B12" s="6">
        <v>7</v>
      </c>
      <c r="C12" s="12">
        <v>85</v>
      </c>
      <c r="D12" s="13"/>
      <c r="E12" s="13"/>
      <c r="F12" s="13"/>
      <c r="G12" s="13"/>
      <c r="H12" s="13"/>
    </row>
    <row r="13" spans="2:8">
      <c r="B13" s="6">
        <v>8</v>
      </c>
      <c r="C13" s="12">
        <v>102</v>
      </c>
      <c r="D13" s="13">
        <f t="shared" ref="D13:D22" si="0">+SUM(C10:C12)/3</f>
        <v>106.66666666666667</v>
      </c>
      <c r="E13" s="13"/>
      <c r="F13" s="13">
        <f t="shared" ref="F13:F22" si="1">+SUM(C8:C12)/5</f>
        <v>104</v>
      </c>
      <c r="G13" s="13"/>
      <c r="H13" s="13">
        <f t="shared" ref="H13:H22" si="2">+SUM(C6:C12)/7</f>
        <v>106.42857142857143</v>
      </c>
    </row>
    <row r="14" spans="2:8">
      <c r="B14" s="6">
        <v>9</v>
      </c>
      <c r="C14" s="12">
        <v>110</v>
      </c>
      <c r="D14" s="13">
        <f t="shared" si="0"/>
        <v>105.66666666666667</v>
      </c>
      <c r="E14" s="13"/>
      <c r="F14" s="13">
        <f t="shared" si="1"/>
        <v>106.4</v>
      </c>
      <c r="G14" s="13"/>
      <c r="H14" s="13">
        <f t="shared" si="2"/>
        <v>106.71428571428571</v>
      </c>
    </row>
    <row r="15" spans="2:8">
      <c r="B15" s="6">
        <v>10</v>
      </c>
      <c r="C15" s="12">
        <v>90</v>
      </c>
      <c r="D15" s="13">
        <f t="shared" si="0"/>
        <v>99</v>
      </c>
      <c r="E15" s="13"/>
      <c r="F15" s="13">
        <f t="shared" si="1"/>
        <v>106.4</v>
      </c>
      <c r="G15" s="13"/>
      <c r="H15" s="13">
        <f t="shared" si="2"/>
        <v>104.57142857142857</v>
      </c>
    </row>
    <row r="16" spans="2:8">
      <c r="B16" s="6">
        <v>11</v>
      </c>
      <c r="C16" s="12">
        <v>105</v>
      </c>
      <c r="D16" s="13">
        <f t="shared" si="0"/>
        <v>100.66666666666667</v>
      </c>
      <c r="E16" s="13"/>
      <c r="F16" s="13">
        <f t="shared" si="1"/>
        <v>103.4</v>
      </c>
      <c r="G16" s="13"/>
      <c r="H16" s="13">
        <f t="shared" si="2"/>
        <v>104.57142857142857</v>
      </c>
    </row>
    <row r="17" spans="2:8">
      <c r="B17" s="6">
        <v>12</v>
      </c>
      <c r="C17" s="12">
        <v>95</v>
      </c>
      <c r="D17" s="13">
        <f t="shared" si="0"/>
        <v>101.66666666666667</v>
      </c>
      <c r="E17" s="13"/>
      <c r="F17" s="13">
        <f t="shared" si="1"/>
        <v>98.4</v>
      </c>
      <c r="G17" s="13"/>
      <c r="H17" s="13">
        <f t="shared" si="2"/>
        <v>103.85714285714286</v>
      </c>
    </row>
    <row r="18" spans="2:8">
      <c r="B18" s="6">
        <v>13</v>
      </c>
      <c r="C18" s="12">
        <v>115</v>
      </c>
      <c r="D18" s="13">
        <f t="shared" si="0"/>
        <v>96.666666666666671</v>
      </c>
      <c r="E18" s="13"/>
      <c r="F18" s="13">
        <f t="shared" si="1"/>
        <v>100.4</v>
      </c>
      <c r="G18" s="13"/>
      <c r="H18" s="13">
        <f t="shared" si="2"/>
        <v>102.42857142857143</v>
      </c>
    </row>
    <row r="19" spans="2:8">
      <c r="B19" s="6">
        <v>14</v>
      </c>
      <c r="C19" s="12">
        <v>120</v>
      </c>
      <c r="D19" s="13">
        <f t="shared" si="0"/>
        <v>105</v>
      </c>
      <c r="E19" s="13"/>
      <c r="F19" s="13">
        <f t="shared" si="1"/>
        <v>103</v>
      </c>
      <c r="G19" s="13"/>
      <c r="H19" s="13">
        <f t="shared" si="2"/>
        <v>100.28571428571429</v>
      </c>
    </row>
    <row r="20" spans="2:8">
      <c r="B20" s="6">
        <v>15</v>
      </c>
      <c r="C20" s="12">
        <v>80</v>
      </c>
      <c r="D20" s="13">
        <f t="shared" si="0"/>
        <v>110</v>
      </c>
      <c r="E20" s="13"/>
      <c r="F20" s="13">
        <f t="shared" si="1"/>
        <v>105</v>
      </c>
      <c r="G20" s="13"/>
      <c r="H20" s="13">
        <f t="shared" si="2"/>
        <v>105.28571428571429</v>
      </c>
    </row>
    <row r="21" spans="2:8">
      <c r="B21" s="6">
        <v>16</v>
      </c>
      <c r="C21" s="12">
        <v>95</v>
      </c>
      <c r="D21" s="13">
        <f t="shared" si="0"/>
        <v>105</v>
      </c>
      <c r="E21" s="13"/>
      <c r="F21" s="13">
        <f t="shared" si="1"/>
        <v>103</v>
      </c>
      <c r="G21" s="13"/>
      <c r="H21" s="13">
        <f t="shared" si="2"/>
        <v>102.14285714285714</v>
      </c>
    </row>
    <row r="22" spans="2:8">
      <c r="B22" s="9">
        <v>17</v>
      </c>
      <c r="C22" s="12">
        <v>100</v>
      </c>
      <c r="D22" s="13">
        <f t="shared" si="0"/>
        <v>98.333333333333329</v>
      </c>
      <c r="E22" s="13"/>
      <c r="F22" s="13">
        <f t="shared" si="1"/>
        <v>101</v>
      </c>
      <c r="G22" s="13"/>
      <c r="H22" s="13">
        <f t="shared" si="2"/>
        <v>100</v>
      </c>
    </row>
    <row r="26" spans="2:8" ht="15.75">
      <c r="B26" s="1" t="s">
        <v>9</v>
      </c>
    </row>
    <row r="27" spans="2:8">
      <c r="B27" s="2"/>
      <c r="C27" s="3"/>
      <c r="D27" s="3"/>
      <c r="E27" s="4"/>
      <c r="F27" s="4" t="s">
        <v>1</v>
      </c>
      <c r="G27" s="4"/>
      <c r="H27" s="5"/>
    </row>
    <row r="28" spans="2:8">
      <c r="B28" s="6"/>
      <c r="C28" s="7" t="s">
        <v>2</v>
      </c>
      <c r="D28" s="14" t="s">
        <v>10</v>
      </c>
      <c r="E28" s="14"/>
      <c r="F28" s="14" t="s">
        <v>10</v>
      </c>
      <c r="G28" s="14"/>
      <c r="H28" s="15" t="s">
        <v>10</v>
      </c>
    </row>
    <row r="29" spans="2:8">
      <c r="B29" s="6" t="s">
        <v>4</v>
      </c>
      <c r="C29" s="8" t="s">
        <v>5</v>
      </c>
      <c r="D29" s="8">
        <v>0.1</v>
      </c>
      <c r="E29" s="8"/>
      <c r="F29" s="8">
        <v>0.2</v>
      </c>
      <c r="G29" s="8"/>
      <c r="H29" s="9">
        <v>0.3</v>
      </c>
    </row>
    <row r="30" spans="2:8">
      <c r="B30" s="6">
        <v>8</v>
      </c>
      <c r="C30" s="12">
        <v>102</v>
      </c>
      <c r="D30" s="13">
        <v>85</v>
      </c>
      <c r="E30" s="13"/>
      <c r="F30" s="13">
        <v>0.85</v>
      </c>
      <c r="G30" s="13"/>
      <c r="H30" s="13">
        <v>85</v>
      </c>
    </row>
    <row r="31" spans="2:8">
      <c r="B31" s="6">
        <v>9</v>
      </c>
      <c r="C31" s="12">
        <v>110</v>
      </c>
      <c r="D31" s="13">
        <f t="shared" ref="D31:D39" si="3">+$D$29*C30+(1-$D$29)*D30</f>
        <v>86.7</v>
      </c>
      <c r="E31" s="13"/>
      <c r="F31" s="13">
        <f t="shared" ref="F31:F39" si="4">+$F$29*C30+(1-$F$29)*F30</f>
        <v>21.080000000000002</v>
      </c>
      <c r="G31" s="13"/>
      <c r="H31" s="13">
        <f t="shared" ref="H31:H39" si="5">+$H$29*C30+(1-$H$29)*H30</f>
        <v>90.1</v>
      </c>
    </row>
    <row r="32" spans="2:8">
      <c r="B32" s="6">
        <v>10</v>
      </c>
      <c r="C32" s="12">
        <v>90</v>
      </c>
      <c r="D32" s="13">
        <f t="shared" si="3"/>
        <v>89.03</v>
      </c>
      <c r="E32" s="13"/>
      <c r="F32" s="13">
        <f t="shared" si="4"/>
        <v>38.864000000000004</v>
      </c>
      <c r="G32" s="13"/>
      <c r="H32" s="13">
        <f t="shared" si="5"/>
        <v>96.07</v>
      </c>
    </row>
    <row r="33" spans="2:8">
      <c r="B33" s="6">
        <v>11</v>
      </c>
      <c r="C33" s="12">
        <v>105</v>
      </c>
      <c r="D33" s="13">
        <f t="shared" si="3"/>
        <v>89.12700000000001</v>
      </c>
      <c r="E33" s="13"/>
      <c r="F33" s="13">
        <f t="shared" si="4"/>
        <v>49.091200000000001</v>
      </c>
      <c r="G33" s="13"/>
      <c r="H33" s="13">
        <f t="shared" si="5"/>
        <v>94.248999999999995</v>
      </c>
    </row>
    <row r="34" spans="2:8">
      <c r="B34" s="6">
        <v>12</v>
      </c>
      <c r="C34" s="12">
        <v>95</v>
      </c>
      <c r="D34" s="13">
        <f t="shared" si="3"/>
        <v>90.714300000000009</v>
      </c>
      <c r="E34" s="13"/>
      <c r="F34" s="13">
        <f t="shared" si="4"/>
        <v>60.272960000000005</v>
      </c>
      <c r="G34" s="13"/>
      <c r="H34" s="13">
        <f t="shared" si="5"/>
        <v>97.474299999999999</v>
      </c>
    </row>
    <row r="35" spans="2:8">
      <c r="B35" s="6">
        <v>13</v>
      </c>
      <c r="C35" s="12">
        <v>115</v>
      </c>
      <c r="D35" s="13">
        <f t="shared" si="3"/>
        <v>91.142870000000016</v>
      </c>
      <c r="E35" s="13"/>
      <c r="F35" s="13">
        <f t="shared" si="4"/>
        <v>67.218367999999998</v>
      </c>
      <c r="G35" s="13"/>
      <c r="H35" s="13">
        <f t="shared" si="5"/>
        <v>96.732009999999988</v>
      </c>
    </row>
    <row r="36" spans="2:8">
      <c r="B36" s="6">
        <v>14</v>
      </c>
      <c r="C36" s="12">
        <v>120</v>
      </c>
      <c r="D36" s="13">
        <f t="shared" si="3"/>
        <v>93.528583000000012</v>
      </c>
      <c r="E36" s="13"/>
      <c r="F36" s="13">
        <f t="shared" si="4"/>
        <v>76.774694400000001</v>
      </c>
      <c r="G36" s="13"/>
      <c r="H36" s="13">
        <f t="shared" si="5"/>
        <v>102.21240699999998</v>
      </c>
    </row>
    <row r="37" spans="2:8">
      <c r="B37" s="6">
        <v>15</v>
      </c>
      <c r="C37" s="12">
        <v>80</v>
      </c>
      <c r="D37" s="13">
        <f t="shared" si="3"/>
        <v>96.175724700000018</v>
      </c>
      <c r="E37" s="13"/>
      <c r="F37" s="13">
        <f t="shared" si="4"/>
        <v>85.419755519999995</v>
      </c>
      <c r="G37" s="13"/>
      <c r="H37" s="13">
        <f t="shared" si="5"/>
        <v>107.54868489999998</v>
      </c>
    </row>
    <row r="38" spans="2:8">
      <c r="B38" s="6">
        <v>16</v>
      </c>
      <c r="C38" s="12">
        <v>95</v>
      </c>
      <c r="D38" s="13">
        <f t="shared" si="3"/>
        <v>94.558152230000019</v>
      </c>
      <c r="E38" s="13"/>
      <c r="F38" s="13">
        <f t="shared" si="4"/>
        <v>84.335804416000002</v>
      </c>
      <c r="G38" s="13"/>
      <c r="H38" s="13">
        <f t="shared" si="5"/>
        <v>99.284079429999977</v>
      </c>
    </row>
    <row r="39" spans="2:8">
      <c r="B39" s="9">
        <v>17</v>
      </c>
      <c r="C39" s="12">
        <v>100</v>
      </c>
      <c r="D39" s="13">
        <f t="shared" si="3"/>
        <v>94.602337007000017</v>
      </c>
      <c r="E39" s="13"/>
      <c r="F39" s="13">
        <f t="shared" si="4"/>
        <v>86.468643532800002</v>
      </c>
      <c r="G39" s="13"/>
      <c r="H39" s="13">
        <f t="shared" si="5"/>
        <v>97.998855600999974</v>
      </c>
    </row>
    <row r="50" spans="2:9">
      <c r="B50" s="2"/>
      <c r="C50" s="16"/>
      <c r="D50" s="4" t="s">
        <v>1</v>
      </c>
      <c r="E50" s="5"/>
      <c r="F50" s="4" t="s">
        <v>1</v>
      </c>
      <c r="G50" s="5"/>
      <c r="H50" s="4" t="s">
        <v>1</v>
      </c>
      <c r="I50" s="17"/>
    </row>
    <row r="51" spans="2:9">
      <c r="B51" s="6"/>
      <c r="C51" s="7" t="s">
        <v>2</v>
      </c>
      <c r="D51" s="14" t="s">
        <v>10</v>
      </c>
      <c r="E51" s="18" t="s">
        <v>11</v>
      </c>
      <c r="F51" s="19" t="s">
        <v>10</v>
      </c>
      <c r="G51" s="18" t="s">
        <v>11</v>
      </c>
      <c r="H51" s="19" t="s">
        <v>10</v>
      </c>
      <c r="I51" s="18" t="s">
        <v>11</v>
      </c>
    </row>
    <row r="52" spans="2:9">
      <c r="B52" s="6" t="s">
        <v>4</v>
      </c>
      <c r="C52" s="8" t="s">
        <v>5</v>
      </c>
      <c r="D52" s="9">
        <v>0.1</v>
      </c>
      <c r="E52" s="20" t="s">
        <v>12</v>
      </c>
      <c r="F52" s="9">
        <v>0.2</v>
      </c>
      <c r="G52" s="20" t="s">
        <v>12</v>
      </c>
      <c r="H52" s="9">
        <v>0.3</v>
      </c>
      <c r="I52" s="20" t="s">
        <v>12</v>
      </c>
    </row>
    <row r="53" spans="2:9">
      <c r="B53" s="6">
        <v>8</v>
      </c>
      <c r="C53" s="21">
        <v>102</v>
      </c>
      <c r="D53" s="22">
        <v>85</v>
      </c>
      <c r="E53" s="11">
        <f t="shared" ref="E53:E62" si="6">+ABS($C53-D53)</f>
        <v>17</v>
      </c>
      <c r="F53" s="22">
        <v>85</v>
      </c>
      <c r="G53" s="11">
        <f t="shared" ref="G53:G62" si="7">+ABS($C53-F53)</f>
        <v>17</v>
      </c>
      <c r="H53" s="22">
        <v>85</v>
      </c>
      <c r="I53" s="11">
        <f t="shared" ref="I53:I62" si="8">+ABS($C53-H53)</f>
        <v>17</v>
      </c>
    </row>
    <row r="54" spans="2:9">
      <c r="B54" s="6">
        <v>9</v>
      </c>
      <c r="C54" s="12">
        <v>110</v>
      </c>
      <c r="D54" s="13">
        <f>+$D$52*C53+(1-$D$52)*D53</f>
        <v>86.7</v>
      </c>
      <c r="E54" s="11">
        <f t="shared" si="6"/>
        <v>23.299999999999997</v>
      </c>
      <c r="F54" s="13">
        <f>+$F$52*C53+(1-$F$52)*F53</f>
        <v>88.4</v>
      </c>
      <c r="G54" s="11">
        <f t="shared" si="7"/>
        <v>21.599999999999994</v>
      </c>
      <c r="H54" s="13">
        <f>+$H$52*C53+(1-$H$52)*H53</f>
        <v>90.1</v>
      </c>
      <c r="I54" s="11">
        <f t="shared" si="8"/>
        <v>19.900000000000006</v>
      </c>
    </row>
    <row r="55" spans="2:9">
      <c r="B55" s="6">
        <v>10</v>
      </c>
      <c r="C55" s="12">
        <v>90</v>
      </c>
      <c r="D55" s="13">
        <f t="shared" ref="D55:D62" si="9">+$D$52*C54+(1-$D$52)*D54</f>
        <v>89.03</v>
      </c>
      <c r="E55" s="11">
        <f t="shared" si="6"/>
        <v>0.96999999999999886</v>
      </c>
      <c r="F55" s="13">
        <f t="shared" ref="F55:F62" si="10">+$F$52*C54+(1-$F$52)*F54</f>
        <v>92.720000000000013</v>
      </c>
      <c r="G55" s="11">
        <f t="shared" si="7"/>
        <v>2.7200000000000131</v>
      </c>
      <c r="H55" s="13">
        <f t="shared" ref="H55:H62" si="11">+$H$52*C54+(1-$H$52)*H54</f>
        <v>96.07</v>
      </c>
      <c r="I55" s="11">
        <f t="shared" si="8"/>
        <v>6.0699999999999932</v>
      </c>
    </row>
    <row r="56" spans="2:9">
      <c r="B56" s="6">
        <v>11</v>
      </c>
      <c r="C56" s="12">
        <v>105</v>
      </c>
      <c r="D56" s="13">
        <f t="shared" si="9"/>
        <v>89.12700000000001</v>
      </c>
      <c r="E56" s="11">
        <f t="shared" si="6"/>
        <v>15.87299999999999</v>
      </c>
      <c r="F56" s="13">
        <f t="shared" si="10"/>
        <v>92.176000000000016</v>
      </c>
      <c r="G56" s="11">
        <f t="shared" si="7"/>
        <v>12.823999999999984</v>
      </c>
      <c r="H56" s="13">
        <f t="shared" si="11"/>
        <v>94.248999999999995</v>
      </c>
      <c r="I56" s="11">
        <f t="shared" si="8"/>
        <v>10.751000000000005</v>
      </c>
    </row>
    <row r="57" spans="2:9">
      <c r="B57" s="6">
        <v>12</v>
      </c>
      <c r="C57" s="12">
        <v>95</v>
      </c>
      <c r="D57" s="13">
        <f t="shared" si="9"/>
        <v>90.714300000000009</v>
      </c>
      <c r="E57" s="11">
        <f t="shared" si="6"/>
        <v>4.2856999999999914</v>
      </c>
      <c r="F57" s="13">
        <f t="shared" si="10"/>
        <v>94.740800000000021</v>
      </c>
      <c r="G57" s="11">
        <f t="shared" si="7"/>
        <v>0.25919999999997856</v>
      </c>
      <c r="H57" s="13">
        <f t="shared" si="11"/>
        <v>97.474299999999999</v>
      </c>
      <c r="I57" s="11">
        <f t="shared" si="8"/>
        <v>2.4742999999999995</v>
      </c>
    </row>
    <row r="58" spans="2:9">
      <c r="B58" s="6">
        <v>13</v>
      </c>
      <c r="C58" s="12">
        <v>115</v>
      </c>
      <c r="D58" s="13">
        <f t="shared" si="9"/>
        <v>91.142870000000016</v>
      </c>
      <c r="E58" s="11">
        <f t="shared" si="6"/>
        <v>23.857129999999984</v>
      </c>
      <c r="F58" s="13">
        <f t="shared" si="10"/>
        <v>94.79264000000002</v>
      </c>
      <c r="G58" s="11">
        <f t="shared" si="7"/>
        <v>20.20735999999998</v>
      </c>
      <c r="H58" s="13">
        <f t="shared" si="11"/>
        <v>96.732009999999988</v>
      </c>
      <c r="I58" s="11">
        <f t="shared" si="8"/>
        <v>18.267990000000012</v>
      </c>
    </row>
    <row r="59" spans="2:9">
      <c r="B59" s="6">
        <v>14</v>
      </c>
      <c r="C59" s="12">
        <v>120</v>
      </c>
      <c r="D59" s="13">
        <f t="shared" si="9"/>
        <v>93.528583000000012</v>
      </c>
      <c r="E59" s="11">
        <f t="shared" si="6"/>
        <v>26.471416999999988</v>
      </c>
      <c r="F59" s="13">
        <f t="shared" si="10"/>
        <v>98.834112000000019</v>
      </c>
      <c r="G59" s="11">
        <f t="shared" si="7"/>
        <v>21.165887999999981</v>
      </c>
      <c r="H59" s="13">
        <f t="shared" si="11"/>
        <v>102.21240699999998</v>
      </c>
      <c r="I59" s="11">
        <f t="shared" si="8"/>
        <v>17.787593000000015</v>
      </c>
    </row>
    <row r="60" spans="2:9">
      <c r="B60" s="6">
        <v>15</v>
      </c>
      <c r="C60" s="12">
        <v>80</v>
      </c>
      <c r="D60" s="13">
        <f t="shared" si="9"/>
        <v>96.175724700000018</v>
      </c>
      <c r="E60" s="11">
        <f t="shared" si="6"/>
        <v>16.175724700000018</v>
      </c>
      <c r="F60" s="13">
        <f t="shared" si="10"/>
        <v>103.06728960000002</v>
      </c>
      <c r="G60" s="11">
        <f t="shared" si="7"/>
        <v>23.067289600000024</v>
      </c>
      <c r="H60" s="13">
        <f t="shared" si="11"/>
        <v>107.54868489999998</v>
      </c>
      <c r="I60" s="11">
        <f t="shared" si="8"/>
        <v>27.548684899999984</v>
      </c>
    </row>
    <row r="61" spans="2:9">
      <c r="B61" s="6">
        <v>16</v>
      </c>
      <c r="C61" s="12">
        <v>95</v>
      </c>
      <c r="D61" s="13">
        <f t="shared" si="9"/>
        <v>94.558152230000019</v>
      </c>
      <c r="E61" s="11">
        <f t="shared" si="6"/>
        <v>0.44184776999998121</v>
      </c>
      <c r="F61" s="13">
        <f t="shared" si="10"/>
        <v>98.453831680000022</v>
      </c>
      <c r="G61" s="11">
        <f t="shared" si="7"/>
        <v>3.4538316800000217</v>
      </c>
      <c r="H61" s="13">
        <f t="shared" si="11"/>
        <v>99.284079429999977</v>
      </c>
      <c r="I61" s="11">
        <f t="shared" si="8"/>
        <v>4.2840794299999772</v>
      </c>
    </row>
    <row r="62" spans="2:9">
      <c r="B62" s="9">
        <v>17</v>
      </c>
      <c r="C62" s="12">
        <v>100</v>
      </c>
      <c r="D62" s="13">
        <f t="shared" si="9"/>
        <v>94.602337007000017</v>
      </c>
      <c r="E62" s="11">
        <f t="shared" si="6"/>
        <v>5.3976629929999831</v>
      </c>
      <c r="F62" s="13">
        <f t="shared" si="10"/>
        <v>97.763065344000026</v>
      </c>
      <c r="G62" s="11">
        <f t="shared" si="7"/>
        <v>2.2369346559999741</v>
      </c>
      <c r="H62" s="13">
        <f t="shared" si="11"/>
        <v>97.998855600999974</v>
      </c>
      <c r="I62" s="11">
        <f t="shared" si="8"/>
        <v>2.0011443990000259</v>
      </c>
    </row>
    <row r="64" spans="2:9">
      <c r="B64" s="23" t="s">
        <v>13</v>
      </c>
      <c r="C64" s="23"/>
      <c r="D64" s="23"/>
      <c r="E64" s="24">
        <f>+SUM(E53:E62)</f>
        <v>133.77248246299993</v>
      </c>
      <c r="F64" s="25"/>
      <c r="G64" s="24">
        <f>+SUM(G53:G62)</f>
        <v>124.53450393599995</v>
      </c>
      <c r="H64" s="25"/>
      <c r="I64" s="24">
        <f>+SUM(I53:I62)</f>
        <v>126.08479172900002</v>
      </c>
    </row>
    <row r="65" spans="2:9">
      <c r="B65" s="23" t="s">
        <v>14</v>
      </c>
      <c r="C65" s="23"/>
      <c r="D65" s="23"/>
      <c r="E65" s="26">
        <f>+E64/10</f>
        <v>13.377248246299994</v>
      </c>
      <c r="F65" s="25"/>
      <c r="G65" s="26">
        <f>+G64/10</f>
        <v>12.453450393599995</v>
      </c>
      <c r="H65" s="25"/>
      <c r="I65" s="26">
        <f>+I64/10</f>
        <v>12.608479172900001</v>
      </c>
    </row>
    <row r="69" spans="2:9" ht="15.75">
      <c r="B69" s="1" t="s">
        <v>15</v>
      </c>
    </row>
    <row r="70" spans="2:9" ht="15.75">
      <c r="B70" s="1" t="s">
        <v>16</v>
      </c>
    </row>
    <row r="71" spans="2:9" ht="15.75">
      <c r="B71" s="27"/>
      <c r="C71" s="28"/>
      <c r="D71" s="4"/>
      <c r="E71" s="4" t="s">
        <v>17</v>
      </c>
      <c r="F71" s="5"/>
    </row>
    <row r="72" spans="2:9" ht="15.75">
      <c r="B72" s="29"/>
      <c r="C72" s="15" t="s">
        <v>18</v>
      </c>
      <c r="D72" s="15" t="s">
        <v>19</v>
      </c>
      <c r="E72" s="15" t="s">
        <v>18</v>
      </c>
      <c r="F72" s="30" t="s">
        <v>18</v>
      </c>
    </row>
    <row r="73" spans="2:9">
      <c r="B73" s="6" t="s">
        <v>20</v>
      </c>
      <c r="C73" s="31">
        <v>0.2</v>
      </c>
      <c r="D73" s="31">
        <v>0.5</v>
      </c>
      <c r="E73" s="31">
        <v>0.7</v>
      </c>
      <c r="F73" s="32">
        <v>0.9</v>
      </c>
    </row>
    <row r="74" spans="2:9">
      <c r="B74" s="6">
        <v>0</v>
      </c>
      <c r="C74" s="33">
        <f t="shared" ref="C74:F84" si="12">+C$73*POWER(1-C$73,$B74)</f>
        <v>0.2</v>
      </c>
      <c r="D74" s="34">
        <f t="shared" si="12"/>
        <v>0.5</v>
      </c>
      <c r="E74" s="35">
        <f t="shared" si="12"/>
        <v>0.7</v>
      </c>
      <c r="F74" s="34">
        <f t="shared" si="12"/>
        <v>0.9</v>
      </c>
    </row>
    <row r="75" spans="2:9">
      <c r="B75" s="6">
        <v>1</v>
      </c>
      <c r="C75" s="36">
        <f t="shared" si="12"/>
        <v>0.16000000000000003</v>
      </c>
      <c r="D75" s="37">
        <f t="shared" si="12"/>
        <v>0.25</v>
      </c>
      <c r="E75" s="38">
        <f>+E$73*POWER(1-E$73,$B75)</f>
        <v>0.21000000000000002</v>
      </c>
      <c r="F75" s="37">
        <f t="shared" si="12"/>
        <v>8.9999999999999983E-2</v>
      </c>
    </row>
    <row r="76" spans="2:9">
      <c r="B76" s="6">
        <v>2</v>
      </c>
      <c r="C76" s="36">
        <f t="shared" si="12"/>
        <v>0.12800000000000003</v>
      </c>
      <c r="D76" s="37">
        <f t="shared" si="12"/>
        <v>0.125</v>
      </c>
      <c r="E76" s="38">
        <f>+E$73*POWER(F541-E$73,$B76)</f>
        <v>0.34299999999999992</v>
      </c>
      <c r="F76" s="37">
        <f t="shared" si="12"/>
        <v>8.9999999999999959E-3</v>
      </c>
    </row>
    <row r="77" spans="2:9">
      <c r="B77" s="6">
        <v>3</v>
      </c>
      <c r="C77" s="36">
        <f t="shared" si="12"/>
        <v>0.10240000000000003</v>
      </c>
      <c r="D77" s="37">
        <f>+D$73*POWER(1-D$73,$B77)</f>
        <v>6.25E-2</v>
      </c>
      <c r="E77" s="38">
        <f t="shared" si="12"/>
        <v>1.8900000000000007E-2</v>
      </c>
      <c r="F77" s="37">
        <f t="shared" si="12"/>
        <v>8.9999999999999943E-4</v>
      </c>
    </row>
    <row r="78" spans="2:9">
      <c r="B78" s="6">
        <v>4</v>
      </c>
      <c r="C78" s="36">
        <f t="shared" si="12"/>
        <v>8.1920000000000048E-2</v>
      </c>
      <c r="D78" s="37">
        <f t="shared" si="12"/>
        <v>3.125E-2</v>
      </c>
      <c r="E78" s="38">
        <f t="shared" si="12"/>
        <v>5.6700000000000032E-3</v>
      </c>
      <c r="F78" s="37">
        <f t="shared" si="12"/>
        <v>8.9999999999999911E-5</v>
      </c>
    </row>
    <row r="79" spans="2:9">
      <c r="B79" s="6">
        <v>5</v>
      </c>
      <c r="C79" s="36">
        <f t="shared" si="12"/>
        <v>6.5536000000000039E-2</v>
      </c>
      <c r="D79" s="37">
        <f t="shared" si="12"/>
        <v>1.5625E-2</v>
      </c>
      <c r="E79" s="38">
        <f t="shared" si="12"/>
        <v>1.7010000000000011E-3</v>
      </c>
      <c r="F79" s="37">
        <f t="shared" si="12"/>
        <v>8.9999999999999884E-6</v>
      </c>
    </row>
    <row r="80" spans="2:9">
      <c r="B80" s="6">
        <v>6</v>
      </c>
      <c r="C80" s="36">
        <f t="shared" si="12"/>
        <v>5.2428800000000032E-2</v>
      </c>
      <c r="D80" s="37">
        <f t="shared" si="12"/>
        <v>7.8125E-3</v>
      </c>
      <c r="E80" s="38">
        <f t="shared" si="12"/>
        <v>5.1030000000000042E-4</v>
      </c>
      <c r="F80" s="37">
        <f t="shared" si="12"/>
        <v>8.9999999999999869E-7</v>
      </c>
    </row>
    <row r="81" spans="2:8">
      <c r="B81" s="6">
        <v>7</v>
      </c>
      <c r="C81" s="36">
        <f t="shared" si="12"/>
        <v>4.1943040000000036E-2</v>
      </c>
      <c r="D81" s="37">
        <f t="shared" si="12"/>
        <v>3.90625E-3</v>
      </c>
      <c r="E81" s="38">
        <f t="shared" si="12"/>
        <v>1.5309000000000015E-4</v>
      </c>
      <c r="F81" s="37">
        <f t="shared" si="12"/>
        <v>8.9999999999999853E-8</v>
      </c>
    </row>
    <row r="82" spans="2:8">
      <c r="B82" s="6">
        <v>8</v>
      </c>
      <c r="C82" s="36">
        <f t="shared" si="12"/>
        <v>3.355443200000003E-2</v>
      </c>
      <c r="D82" s="37">
        <f t="shared" si="12"/>
        <v>1.953125E-3</v>
      </c>
      <c r="E82" s="38">
        <f t="shared" si="12"/>
        <v>4.592700000000005E-5</v>
      </c>
      <c r="F82" s="37">
        <f t="shared" si="12"/>
        <v>8.9999999999999813E-9</v>
      </c>
    </row>
    <row r="83" spans="2:8">
      <c r="B83" s="6">
        <v>9</v>
      </c>
      <c r="C83" s="36">
        <f t="shared" si="12"/>
        <v>2.6843545600000025E-2</v>
      </c>
      <c r="D83" s="37">
        <f t="shared" si="12"/>
        <v>9.765625E-4</v>
      </c>
      <c r="E83" s="38">
        <f t="shared" si="12"/>
        <v>1.3778100000000016E-5</v>
      </c>
      <c r="F83" s="37">
        <f t="shared" si="12"/>
        <v>8.9999999999999782E-10</v>
      </c>
    </row>
    <row r="84" spans="2:8">
      <c r="B84" s="9">
        <v>10</v>
      </c>
      <c r="C84" s="39">
        <f t="shared" si="12"/>
        <v>2.1474836480000023E-2</v>
      </c>
      <c r="D84" s="40">
        <f t="shared" si="12"/>
        <v>4.8828125E-4</v>
      </c>
      <c r="E84" s="41">
        <f t="shared" si="12"/>
        <v>4.1334300000000047E-6</v>
      </c>
      <c r="F84" s="40">
        <f t="shared" si="12"/>
        <v>8.9999999999999767E-11</v>
      </c>
    </row>
    <row r="94" spans="2:8" ht="16.5" thickBot="1">
      <c r="B94" s="1" t="s">
        <v>21</v>
      </c>
    </row>
    <row r="95" spans="2:8">
      <c r="B95" s="42"/>
      <c r="C95" s="43" t="s">
        <v>2</v>
      </c>
      <c r="D95" s="44"/>
      <c r="E95" s="45"/>
      <c r="F95" s="46" t="s">
        <v>22</v>
      </c>
      <c r="G95" s="47">
        <v>0.25</v>
      </c>
      <c r="H95" s="48" t="s">
        <v>11</v>
      </c>
    </row>
    <row r="96" spans="2:8">
      <c r="B96" s="49"/>
      <c r="C96" s="50" t="s">
        <v>5</v>
      </c>
      <c r="D96" s="7"/>
      <c r="E96" s="51"/>
      <c r="F96" s="52" t="s">
        <v>23</v>
      </c>
      <c r="G96" s="53">
        <v>0.35</v>
      </c>
      <c r="H96" s="54" t="s">
        <v>12</v>
      </c>
    </row>
    <row r="97" spans="2:8">
      <c r="B97" s="49" t="s">
        <v>24</v>
      </c>
      <c r="C97" s="55" t="s">
        <v>25</v>
      </c>
      <c r="D97" s="56" t="s">
        <v>26</v>
      </c>
      <c r="E97" s="57" t="s">
        <v>27</v>
      </c>
      <c r="F97" s="58" t="s">
        <v>28</v>
      </c>
      <c r="G97" s="59"/>
      <c r="H97" s="59"/>
    </row>
    <row r="98" spans="2:8">
      <c r="B98" s="49">
        <v>1</v>
      </c>
      <c r="C98" s="60">
        <v>151</v>
      </c>
      <c r="D98" s="61">
        <v>149</v>
      </c>
      <c r="E98" s="61">
        <v>-5</v>
      </c>
      <c r="F98" s="62"/>
      <c r="G98" s="63"/>
      <c r="H98" s="64"/>
    </row>
    <row r="99" spans="2:8">
      <c r="B99" s="49">
        <v>2</v>
      </c>
      <c r="C99" s="65">
        <v>139</v>
      </c>
      <c r="D99" s="62">
        <f t="shared" ref="D99:D113" si="13">+$G$95*C99+(1-$G$95)*(D98-E98)</f>
        <v>150.25</v>
      </c>
      <c r="E99" s="62">
        <f t="shared" ref="E99:E113" si="14">+$G$96*(D99-D98)+(1-$G$96)*E98</f>
        <v>-2.8125</v>
      </c>
      <c r="F99" s="62">
        <f t="shared" ref="F99:F113" si="15">+D98+E98</f>
        <v>144</v>
      </c>
      <c r="G99" s="63"/>
      <c r="H99" s="64">
        <f t="shared" ref="H99:H113" si="16">+ABS(C99-F99)</f>
        <v>5</v>
      </c>
    </row>
    <row r="100" spans="2:8">
      <c r="B100" s="49">
        <v>3</v>
      </c>
      <c r="C100" s="65">
        <v>137</v>
      </c>
      <c r="D100" s="62">
        <f t="shared" si="13"/>
        <v>149.046875</v>
      </c>
      <c r="E100" s="62">
        <f t="shared" si="14"/>
        <v>-2.2492187499999998</v>
      </c>
      <c r="F100" s="62">
        <f t="shared" si="15"/>
        <v>147.4375</v>
      </c>
      <c r="G100" s="63"/>
      <c r="H100" s="64">
        <f t="shared" si="16"/>
        <v>10.4375</v>
      </c>
    </row>
    <row r="101" spans="2:8">
      <c r="B101" s="49">
        <v>4</v>
      </c>
      <c r="C101" s="65">
        <v>153</v>
      </c>
      <c r="D101" s="62">
        <f t="shared" si="13"/>
        <v>151.72207031250002</v>
      </c>
      <c r="E101" s="62">
        <f t="shared" si="14"/>
        <v>-0.52567382812499208</v>
      </c>
      <c r="F101" s="62">
        <f t="shared" si="15"/>
        <v>146.79765624999999</v>
      </c>
      <c r="G101" s="63"/>
      <c r="H101" s="64">
        <f t="shared" si="16"/>
        <v>6.2023437500000114</v>
      </c>
    </row>
    <row r="102" spans="2:8">
      <c r="B102" s="49">
        <v>5</v>
      </c>
      <c r="C102" s="65">
        <v>142</v>
      </c>
      <c r="D102" s="62">
        <f t="shared" si="13"/>
        <v>149.68580810546877</v>
      </c>
      <c r="E102" s="62">
        <f t="shared" si="14"/>
        <v>-1.0543797607421848</v>
      </c>
      <c r="F102" s="62">
        <f t="shared" si="15"/>
        <v>151.19639648437504</v>
      </c>
      <c r="G102" s="63"/>
      <c r="H102" s="64">
        <f t="shared" si="16"/>
        <v>9.1963964843750432</v>
      </c>
    </row>
    <row r="103" spans="2:8">
      <c r="B103" s="49">
        <v>6</v>
      </c>
      <c r="C103" s="65">
        <v>141</v>
      </c>
      <c r="D103" s="62">
        <f t="shared" si="13"/>
        <v>148.30514089965823</v>
      </c>
      <c r="E103" s="62">
        <f t="shared" si="14"/>
        <v>-1.1685803665161087</v>
      </c>
      <c r="F103" s="62">
        <f t="shared" si="15"/>
        <v>148.63142834472657</v>
      </c>
      <c r="G103" s="63"/>
      <c r="H103" s="64">
        <f t="shared" si="16"/>
        <v>7.6314283447265723</v>
      </c>
    </row>
    <row r="104" spans="2:8">
      <c r="B104" s="49">
        <v>7</v>
      </c>
      <c r="C104" s="65">
        <v>162</v>
      </c>
      <c r="D104" s="62">
        <f t="shared" si="13"/>
        <v>152.60529094963073</v>
      </c>
      <c r="E104" s="62">
        <f t="shared" si="14"/>
        <v>0.74547527925490453</v>
      </c>
      <c r="F104" s="62">
        <f t="shared" si="15"/>
        <v>147.13656053314213</v>
      </c>
      <c r="G104" s="63"/>
      <c r="H104" s="64">
        <f t="shared" si="16"/>
        <v>14.863439466857869</v>
      </c>
    </row>
    <row r="105" spans="2:8">
      <c r="B105" s="49">
        <v>8</v>
      </c>
      <c r="C105" s="65">
        <v>180</v>
      </c>
      <c r="D105" s="62">
        <f t="shared" si="13"/>
        <v>158.89486175278185</v>
      </c>
      <c r="E105" s="62">
        <f t="shared" si="14"/>
        <v>2.6859087126185806</v>
      </c>
      <c r="F105" s="62">
        <f t="shared" si="15"/>
        <v>153.35076622888565</v>
      </c>
      <c r="G105" s="63"/>
      <c r="H105" s="64">
        <f t="shared" si="16"/>
        <v>26.649233771114353</v>
      </c>
    </row>
    <row r="106" spans="2:8">
      <c r="B106" s="49">
        <v>9</v>
      </c>
      <c r="C106" s="65">
        <v>164</v>
      </c>
      <c r="D106" s="62">
        <f t="shared" si="13"/>
        <v>158.15671478012246</v>
      </c>
      <c r="E106" s="62">
        <f t="shared" si="14"/>
        <v>1.4874892227712897</v>
      </c>
      <c r="F106" s="62">
        <f t="shared" si="15"/>
        <v>161.58077046540043</v>
      </c>
      <c r="G106" s="63"/>
      <c r="H106" s="64">
        <f t="shared" si="16"/>
        <v>2.419229534599566</v>
      </c>
    </row>
    <row r="107" spans="2:8">
      <c r="B107" s="49">
        <v>10</v>
      </c>
      <c r="C107" s="65">
        <v>171</v>
      </c>
      <c r="D107" s="62">
        <f t="shared" si="13"/>
        <v>160.25191916801336</v>
      </c>
      <c r="E107" s="62">
        <f t="shared" si="14"/>
        <v>1.7001895305631542</v>
      </c>
      <c r="F107" s="62">
        <f t="shared" si="15"/>
        <v>159.64420400289376</v>
      </c>
      <c r="G107" s="63"/>
      <c r="H107" s="64">
        <f t="shared" si="16"/>
        <v>11.355795997106242</v>
      </c>
    </row>
    <row r="108" spans="2:8">
      <c r="B108" s="49">
        <v>11</v>
      </c>
      <c r="C108" s="65">
        <v>206</v>
      </c>
      <c r="D108" s="62">
        <f t="shared" si="13"/>
        <v>170.41379722808765</v>
      </c>
      <c r="E108" s="62">
        <f t="shared" si="14"/>
        <v>4.6617805158920502</v>
      </c>
      <c r="F108" s="62">
        <f t="shared" si="15"/>
        <v>161.95210869857652</v>
      </c>
      <c r="G108" s="63"/>
      <c r="H108" s="64">
        <f t="shared" si="16"/>
        <v>44.047891301423476</v>
      </c>
    </row>
    <row r="109" spans="2:8">
      <c r="B109" s="49">
        <v>12</v>
      </c>
      <c r="C109" s="65">
        <v>193</v>
      </c>
      <c r="D109" s="62">
        <f t="shared" si="13"/>
        <v>172.56401253414668</v>
      </c>
      <c r="E109" s="62">
        <f t="shared" si="14"/>
        <v>3.7827326924504963</v>
      </c>
      <c r="F109" s="62">
        <f t="shared" si="15"/>
        <v>175.07557774397969</v>
      </c>
      <c r="G109" s="63"/>
      <c r="H109" s="64">
        <f t="shared" si="16"/>
        <v>17.924422256020307</v>
      </c>
    </row>
    <row r="110" spans="2:8">
      <c r="B110" s="49">
        <v>13</v>
      </c>
      <c r="C110" s="65">
        <v>207</v>
      </c>
      <c r="D110" s="62">
        <f t="shared" si="13"/>
        <v>178.33595988127212</v>
      </c>
      <c r="E110" s="62">
        <f t="shared" si="14"/>
        <v>4.4789578215867243</v>
      </c>
      <c r="F110" s="62">
        <f t="shared" si="15"/>
        <v>176.34674522659719</v>
      </c>
      <c r="G110" s="63"/>
      <c r="H110" s="64">
        <f t="shared" si="16"/>
        <v>30.653254773402807</v>
      </c>
    </row>
    <row r="111" spans="2:8">
      <c r="B111" s="49">
        <v>14</v>
      </c>
      <c r="C111" s="65">
        <v>200</v>
      </c>
      <c r="D111" s="62">
        <f t="shared" si="13"/>
        <v>180.39275154476405</v>
      </c>
      <c r="E111" s="62">
        <f t="shared" si="14"/>
        <v>3.6311996662535484</v>
      </c>
      <c r="F111" s="62">
        <f t="shared" si="15"/>
        <v>182.81491770285885</v>
      </c>
      <c r="G111" s="63"/>
      <c r="H111" s="64">
        <f t="shared" si="16"/>
        <v>17.18508229714115</v>
      </c>
    </row>
    <row r="112" spans="2:8">
      <c r="B112" s="49">
        <v>15</v>
      </c>
      <c r="C112" s="65">
        <v>229</v>
      </c>
      <c r="D112" s="62">
        <f t="shared" si="13"/>
        <v>189.82116390888288</v>
      </c>
      <c r="E112" s="62">
        <f t="shared" si="14"/>
        <v>5.6602241105063964</v>
      </c>
      <c r="F112" s="62">
        <f t="shared" si="15"/>
        <v>184.02395121101759</v>
      </c>
      <c r="G112" s="63"/>
      <c r="H112" s="64">
        <f t="shared" si="16"/>
        <v>44.976048788982411</v>
      </c>
    </row>
    <row r="113" spans="2:8" ht="15.75" thickBot="1">
      <c r="B113" s="66">
        <v>16</v>
      </c>
      <c r="C113" s="67">
        <v>225</v>
      </c>
      <c r="D113" s="62">
        <f t="shared" si="13"/>
        <v>194.37070484878237</v>
      </c>
      <c r="E113" s="68">
        <f t="shared" si="14"/>
        <v>5.2714850007939784</v>
      </c>
      <c r="F113" s="62">
        <f t="shared" si="15"/>
        <v>195.48138801938927</v>
      </c>
      <c r="G113" s="69"/>
      <c r="H113" s="70">
        <f t="shared" si="16"/>
        <v>29.518611980610729</v>
      </c>
    </row>
    <row r="114" spans="2:8">
      <c r="B114" s="71"/>
      <c r="C114" s="71"/>
    </row>
    <row r="115" spans="2:8">
      <c r="H115" s="72">
        <f>+SUM(H99:H113)</f>
        <v>278.06067874636051</v>
      </c>
    </row>
    <row r="116" spans="2:8">
      <c r="B116" s="73"/>
      <c r="C116" t="s">
        <v>29</v>
      </c>
      <c r="F116" s="74" t="s">
        <v>30</v>
      </c>
      <c r="G116" s="75"/>
      <c r="H116" s="76">
        <f>+H115/15</f>
        <v>18.5373785830907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K31"/>
  <sheetViews>
    <sheetView zoomScale="70" zoomScaleNormal="70" workbookViewId="0"/>
  </sheetViews>
  <sheetFormatPr baseColWidth="10" defaultRowHeight="15"/>
  <cols>
    <col min="1" max="1" width="10.7109375" customWidth="1"/>
    <col min="2" max="2" width="9.140625" customWidth="1"/>
    <col min="3" max="3" width="8" customWidth="1"/>
    <col min="4" max="4" width="14.85546875" customWidth="1"/>
    <col min="5" max="5" width="16.28515625" customWidth="1"/>
    <col min="6" max="6" width="14.7109375" customWidth="1"/>
    <col min="7" max="7" width="13.85546875" customWidth="1"/>
    <col min="8" max="8" width="25" customWidth="1"/>
  </cols>
  <sheetData>
    <row r="3" spans="1:11" ht="72.75" customHeight="1" thickBot="1">
      <c r="A3" s="170" t="s">
        <v>81</v>
      </c>
      <c r="B3" s="170" t="s">
        <v>82</v>
      </c>
      <c r="C3" s="170" t="s">
        <v>83</v>
      </c>
      <c r="D3" s="171" t="s">
        <v>84</v>
      </c>
      <c r="E3" s="171" t="s">
        <v>85</v>
      </c>
      <c r="F3" s="171" t="s">
        <v>86</v>
      </c>
      <c r="G3" s="171" t="s">
        <v>87</v>
      </c>
      <c r="H3" s="171" t="s">
        <v>88</v>
      </c>
      <c r="I3" s="172" t="s">
        <v>89</v>
      </c>
      <c r="J3" s="172" t="s">
        <v>90</v>
      </c>
      <c r="K3" s="172" t="s">
        <v>91</v>
      </c>
    </row>
    <row r="4" spans="1:11">
      <c r="A4" s="173"/>
      <c r="B4" s="173"/>
      <c r="C4" s="173"/>
      <c r="D4" s="173"/>
      <c r="E4" s="174" t="s">
        <v>92</v>
      </c>
      <c r="F4" s="174" t="s">
        <v>93</v>
      </c>
      <c r="G4" s="175" t="s">
        <v>94</v>
      </c>
      <c r="H4" s="174"/>
      <c r="I4" s="176"/>
      <c r="J4" s="176"/>
      <c r="K4" s="176"/>
    </row>
    <row r="5" spans="1:11" ht="15.75" thickBot="1">
      <c r="A5" s="173"/>
      <c r="B5" s="173"/>
      <c r="C5" s="173"/>
      <c r="D5" s="173"/>
      <c r="E5" s="177">
        <v>0.1</v>
      </c>
      <c r="F5" s="177">
        <v>0.1</v>
      </c>
      <c r="G5" s="177">
        <v>0.1</v>
      </c>
      <c r="H5" s="174"/>
      <c r="I5" s="178"/>
      <c r="J5" s="178"/>
      <c r="K5" s="178"/>
    </row>
    <row r="6" spans="1:11">
      <c r="A6" s="179">
        <v>1997</v>
      </c>
      <c r="B6" s="180">
        <v>1</v>
      </c>
      <c r="C6" s="179">
        <v>1</v>
      </c>
      <c r="D6" s="181">
        <v>4</v>
      </c>
      <c r="E6" s="182"/>
      <c r="F6" s="182"/>
      <c r="G6" s="183">
        <f>D6/(SUM($D$6:$D$17)/COUNT($D$6:$D$17))</f>
        <v>0.48</v>
      </c>
      <c r="H6" s="184"/>
      <c r="I6" s="185">
        <f t="shared" ref="I6:I29" si="0">ABS(H6-D6)</f>
        <v>4</v>
      </c>
      <c r="J6" s="186">
        <f t="shared" ref="J6:J29" si="1">POWER(H6-D6,2)</f>
        <v>16</v>
      </c>
      <c r="K6" s="186">
        <f t="shared" ref="K6:K29" si="2">(H6-D6)</f>
        <v>-4</v>
      </c>
    </row>
    <row r="7" spans="1:11">
      <c r="A7" s="187"/>
      <c r="B7" s="188">
        <v>2</v>
      </c>
      <c r="C7" s="187">
        <f>C6+1</f>
        <v>2</v>
      </c>
      <c r="D7" s="189">
        <v>2</v>
      </c>
      <c r="E7" s="190"/>
      <c r="F7" s="191"/>
      <c r="G7" s="192">
        <f>D7/(SUM($D$6:$D$17)/COUNT($D$6:$D$17))</f>
        <v>0.24</v>
      </c>
      <c r="H7" s="193"/>
      <c r="I7" s="194">
        <f t="shared" si="0"/>
        <v>2</v>
      </c>
      <c r="J7" s="195">
        <f t="shared" si="1"/>
        <v>4</v>
      </c>
      <c r="K7" s="195">
        <f t="shared" si="2"/>
        <v>-2</v>
      </c>
    </row>
    <row r="8" spans="1:11">
      <c r="A8" s="187"/>
      <c r="B8" s="188">
        <v>3</v>
      </c>
      <c r="C8" s="187">
        <f t="shared" ref="C8:C29" si="3">C7+1</f>
        <v>3</v>
      </c>
      <c r="D8" s="189">
        <v>5</v>
      </c>
      <c r="E8" s="196"/>
      <c r="F8" s="196"/>
      <c r="G8" s="192">
        <f t="shared" ref="G8:G17" si="4">D8/(SUM($D$6:$D$17)/COUNT($D$6:$D$17))</f>
        <v>0.6</v>
      </c>
      <c r="H8" s="193"/>
      <c r="I8" s="194">
        <f t="shared" si="0"/>
        <v>5</v>
      </c>
      <c r="J8" s="195">
        <f t="shared" si="1"/>
        <v>25</v>
      </c>
      <c r="K8" s="195">
        <f t="shared" si="2"/>
        <v>-5</v>
      </c>
    </row>
    <row r="9" spans="1:11">
      <c r="A9" s="187"/>
      <c r="B9" s="188">
        <v>4</v>
      </c>
      <c r="C9" s="187">
        <f t="shared" si="3"/>
        <v>4</v>
      </c>
      <c r="D9" s="189">
        <v>8</v>
      </c>
      <c r="E9" s="196"/>
      <c r="F9" s="196"/>
      <c r="G9" s="192">
        <f t="shared" si="4"/>
        <v>0.96</v>
      </c>
      <c r="H9" s="193"/>
      <c r="I9" s="194">
        <f t="shared" si="0"/>
        <v>8</v>
      </c>
      <c r="J9" s="195">
        <f t="shared" si="1"/>
        <v>64</v>
      </c>
      <c r="K9" s="195">
        <f t="shared" si="2"/>
        <v>-8</v>
      </c>
    </row>
    <row r="10" spans="1:11">
      <c r="A10" s="187"/>
      <c r="B10" s="188">
        <v>5</v>
      </c>
      <c r="C10" s="187">
        <f t="shared" si="3"/>
        <v>5</v>
      </c>
      <c r="D10" s="189">
        <v>11</v>
      </c>
      <c r="E10" s="196"/>
      <c r="F10" s="196"/>
      <c r="G10" s="192">
        <f t="shared" si="4"/>
        <v>1.3199999999999998</v>
      </c>
      <c r="H10" s="193"/>
      <c r="I10" s="194">
        <f t="shared" si="0"/>
        <v>11</v>
      </c>
      <c r="J10" s="195">
        <f t="shared" si="1"/>
        <v>121</v>
      </c>
      <c r="K10" s="195">
        <f t="shared" si="2"/>
        <v>-11</v>
      </c>
    </row>
    <row r="11" spans="1:11">
      <c r="A11" s="187"/>
      <c r="B11" s="188">
        <v>6</v>
      </c>
      <c r="C11" s="187">
        <f t="shared" si="3"/>
        <v>6</v>
      </c>
      <c r="D11" s="189">
        <v>13</v>
      </c>
      <c r="E11" s="196"/>
      <c r="F11" s="196"/>
      <c r="G11" s="192">
        <f t="shared" si="4"/>
        <v>1.5599999999999998</v>
      </c>
      <c r="H11" s="193"/>
      <c r="I11" s="194">
        <f t="shared" si="0"/>
        <v>13</v>
      </c>
      <c r="J11" s="195">
        <f t="shared" si="1"/>
        <v>169</v>
      </c>
      <c r="K11" s="195">
        <f t="shared" si="2"/>
        <v>-13</v>
      </c>
    </row>
    <row r="12" spans="1:11">
      <c r="A12" s="187"/>
      <c r="B12" s="188">
        <v>7</v>
      </c>
      <c r="C12" s="187">
        <f t="shared" si="3"/>
        <v>7</v>
      </c>
      <c r="D12" s="189">
        <v>18</v>
      </c>
      <c r="E12" s="196"/>
      <c r="F12" s="196"/>
      <c r="G12" s="192">
        <f t="shared" si="4"/>
        <v>2.1599999999999997</v>
      </c>
      <c r="H12" s="193"/>
      <c r="I12" s="194">
        <f t="shared" si="0"/>
        <v>18</v>
      </c>
      <c r="J12" s="195">
        <f t="shared" si="1"/>
        <v>324</v>
      </c>
      <c r="K12" s="195">
        <f t="shared" si="2"/>
        <v>-18</v>
      </c>
    </row>
    <row r="13" spans="1:11">
      <c r="A13" s="187"/>
      <c r="B13" s="188">
        <v>8</v>
      </c>
      <c r="C13" s="187">
        <f t="shared" si="3"/>
        <v>8</v>
      </c>
      <c r="D13" s="189">
        <v>15</v>
      </c>
      <c r="E13" s="196"/>
      <c r="F13" s="196"/>
      <c r="G13" s="192">
        <f t="shared" si="4"/>
        <v>1.7999999999999998</v>
      </c>
      <c r="H13" s="193"/>
      <c r="I13" s="194">
        <f t="shared" si="0"/>
        <v>15</v>
      </c>
      <c r="J13" s="195">
        <f t="shared" si="1"/>
        <v>225</v>
      </c>
      <c r="K13" s="195">
        <f t="shared" si="2"/>
        <v>-15</v>
      </c>
    </row>
    <row r="14" spans="1:11">
      <c r="A14" s="197"/>
      <c r="B14" s="198">
        <v>9</v>
      </c>
      <c r="C14" s="187">
        <f t="shared" si="3"/>
        <v>9</v>
      </c>
      <c r="D14" s="189">
        <v>9</v>
      </c>
      <c r="E14" s="196"/>
      <c r="F14" s="196"/>
      <c r="G14" s="192">
        <f t="shared" si="4"/>
        <v>1.0799999999999998</v>
      </c>
      <c r="H14" s="199"/>
      <c r="I14" s="200">
        <f t="shared" si="0"/>
        <v>9</v>
      </c>
      <c r="J14" s="195">
        <f t="shared" si="1"/>
        <v>81</v>
      </c>
      <c r="K14" s="195">
        <f t="shared" si="2"/>
        <v>-9</v>
      </c>
    </row>
    <row r="15" spans="1:11">
      <c r="A15" s="187"/>
      <c r="B15" s="188">
        <v>10</v>
      </c>
      <c r="C15" s="187">
        <f t="shared" si="3"/>
        <v>10</v>
      </c>
      <c r="D15" s="189">
        <v>6</v>
      </c>
      <c r="E15" s="196"/>
      <c r="F15" s="196"/>
      <c r="G15" s="192">
        <f t="shared" si="4"/>
        <v>0.72</v>
      </c>
      <c r="H15" s="193"/>
      <c r="I15" s="194">
        <f t="shared" si="0"/>
        <v>6</v>
      </c>
      <c r="J15" s="195">
        <f t="shared" si="1"/>
        <v>36</v>
      </c>
      <c r="K15" s="195">
        <f t="shared" si="2"/>
        <v>-6</v>
      </c>
    </row>
    <row r="16" spans="1:11">
      <c r="A16" s="187"/>
      <c r="B16" s="188">
        <v>11</v>
      </c>
      <c r="C16" s="187">
        <f t="shared" si="3"/>
        <v>11</v>
      </c>
      <c r="D16" s="189">
        <v>5</v>
      </c>
      <c r="E16" s="196"/>
      <c r="F16" s="196"/>
      <c r="G16" s="192">
        <f t="shared" si="4"/>
        <v>0.6</v>
      </c>
      <c r="H16" s="193"/>
      <c r="I16" s="194">
        <f t="shared" si="0"/>
        <v>5</v>
      </c>
      <c r="J16" s="195">
        <f t="shared" si="1"/>
        <v>25</v>
      </c>
      <c r="K16" s="195">
        <f t="shared" si="2"/>
        <v>-5</v>
      </c>
    </row>
    <row r="17" spans="1:11" ht="15.75" thickBot="1">
      <c r="A17" s="197"/>
      <c r="B17" s="198">
        <v>12</v>
      </c>
      <c r="C17" s="201">
        <f t="shared" si="3"/>
        <v>12</v>
      </c>
      <c r="D17" s="202">
        <v>4</v>
      </c>
      <c r="E17" s="203">
        <f>SUM(D6:D17)/COUNT(D6:D17)</f>
        <v>8.3333333333333339</v>
      </c>
      <c r="F17" s="203">
        <v>0</v>
      </c>
      <c r="G17" s="204">
        <f t="shared" si="4"/>
        <v>0.48</v>
      </c>
      <c r="H17" s="205"/>
      <c r="I17" s="206">
        <f t="shared" si="0"/>
        <v>4</v>
      </c>
      <c r="J17" s="207">
        <f t="shared" si="1"/>
        <v>16</v>
      </c>
      <c r="K17" s="207">
        <f t="shared" si="2"/>
        <v>-4</v>
      </c>
    </row>
    <row r="18" spans="1:11">
      <c r="A18" s="179">
        <v>1998</v>
      </c>
      <c r="B18" s="179">
        <v>1</v>
      </c>
      <c r="C18" s="208">
        <f t="shared" si="3"/>
        <v>13</v>
      </c>
      <c r="D18" s="209">
        <v>5</v>
      </c>
      <c r="E18" s="210">
        <f t="shared" ref="E18:E29" si="5">$E$5*(D18/G6)+(1-$E$5)*(E17+F17)</f>
        <v>8.5416666666666679</v>
      </c>
      <c r="F18" s="211">
        <f t="shared" ref="F18:F29" si="6">$F$5*(E18-E17)+(1-$F$5)*F17</f>
        <v>2.0833333333333395E-2</v>
      </c>
      <c r="G18" s="212">
        <f>$G$5*D18/E18+(1-$G$5)*G6</f>
        <v>0.49053658536585365</v>
      </c>
      <c r="H18" s="213">
        <f t="shared" ref="H18:H29" si="7">(E17+F17)*G6</f>
        <v>4</v>
      </c>
      <c r="I18" s="214">
        <f t="shared" si="0"/>
        <v>1</v>
      </c>
      <c r="J18" s="214">
        <f t="shared" si="1"/>
        <v>1</v>
      </c>
      <c r="K18" s="214">
        <f t="shared" si="2"/>
        <v>-1</v>
      </c>
    </row>
    <row r="19" spans="1:11">
      <c r="A19" s="187"/>
      <c r="B19" s="187">
        <v>2</v>
      </c>
      <c r="C19" s="188">
        <f t="shared" si="3"/>
        <v>14</v>
      </c>
      <c r="D19" s="215">
        <v>4</v>
      </c>
      <c r="E19" s="190">
        <f t="shared" si="5"/>
        <v>9.3729166666666686</v>
      </c>
      <c r="F19" s="191">
        <f t="shared" si="6"/>
        <v>0.10187500000000013</v>
      </c>
      <c r="G19" s="216">
        <f t="shared" ref="G19:G29" si="8">$G$5*D19/E19+(1-$G$5)*G7</f>
        <v>0.25867615025561236</v>
      </c>
      <c r="H19" s="217">
        <f t="shared" si="7"/>
        <v>2.0550000000000002</v>
      </c>
      <c r="I19" s="195">
        <f t="shared" si="0"/>
        <v>1.9449999999999998</v>
      </c>
      <c r="J19" s="195">
        <f t="shared" si="1"/>
        <v>3.7830249999999994</v>
      </c>
      <c r="K19" s="195">
        <f t="shared" si="2"/>
        <v>-1.9449999999999998</v>
      </c>
    </row>
    <row r="20" spans="1:11">
      <c r="A20" s="187"/>
      <c r="B20" s="187">
        <v>3</v>
      </c>
      <c r="C20" s="188">
        <f t="shared" si="3"/>
        <v>15</v>
      </c>
      <c r="D20" s="215">
        <v>7</v>
      </c>
      <c r="E20" s="190">
        <f t="shared" si="5"/>
        <v>9.6939791666666686</v>
      </c>
      <c r="F20" s="191">
        <f t="shared" si="6"/>
        <v>0.12379375000000012</v>
      </c>
      <c r="G20" s="216">
        <f t="shared" si="8"/>
        <v>0.61220976938004912</v>
      </c>
      <c r="H20" s="217">
        <f t="shared" si="7"/>
        <v>5.6848750000000008</v>
      </c>
      <c r="I20" s="195">
        <f t="shared" si="0"/>
        <v>1.3151249999999992</v>
      </c>
      <c r="J20" s="195">
        <f t="shared" si="1"/>
        <v>1.729553765624998</v>
      </c>
      <c r="K20" s="195">
        <f t="shared" si="2"/>
        <v>-1.3151249999999992</v>
      </c>
    </row>
    <row r="21" spans="1:11">
      <c r="A21" s="187"/>
      <c r="B21" s="187">
        <v>4</v>
      </c>
      <c r="C21" s="188">
        <f t="shared" si="3"/>
        <v>16</v>
      </c>
      <c r="D21" s="215">
        <v>7</v>
      </c>
      <c r="E21" s="190">
        <f t="shared" si="5"/>
        <v>9.5651622916666685</v>
      </c>
      <c r="F21" s="191">
        <f t="shared" si="6"/>
        <v>9.8532687500000105E-2</v>
      </c>
      <c r="G21" s="216">
        <f t="shared" si="8"/>
        <v>0.93718223974201165</v>
      </c>
      <c r="H21" s="217">
        <f t="shared" si="7"/>
        <v>9.4250620000000023</v>
      </c>
      <c r="I21" s="195">
        <f t="shared" si="0"/>
        <v>2.4250620000000023</v>
      </c>
      <c r="J21" s="195">
        <f t="shared" si="1"/>
        <v>5.880925703844011</v>
      </c>
      <c r="K21" s="195">
        <f t="shared" si="2"/>
        <v>2.4250620000000023</v>
      </c>
    </row>
    <row r="22" spans="1:11">
      <c r="A22" s="187"/>
      <c r="B22" s="187">
        <v>5</v>
      </c>
      <c r="C22" s="188">
        <f t="shared" si="3"/>
        <v>17</v>
      </c>
      <c r="D22" s="215">
        <v>15</v>
      </c>
      <c r="E22" s="190">
        <f t="shared" si="5"/>
        <v>9.8336891176136394</v>
      </c>
      <c r="F22" s="191">
        <f t="shared" si="6"/>
        <v>0.11553210134469719</v>
      </c>
      <c r="G22" s="216">
        <f t="shared" si="8"/>
        <v>1.3405368538764633</v>
      </c>
      <c r="H22" s="217">
        <f t="shared" si="7"/>
        <v>12.756077372500002</v>
      </c>
      <c r="I22" s="195">
        <f t="shared" si="0"/>
        <v>2.2439226274999982</v>
      </c>
      <c r="J22" s="195">
        <f t="shared" si="1"/>
        <v>5.0351887582064956</v>
      </c>
      <c r="K22" s="195">
        <f t="shared" si="2"/>
        <v>-2.2439226274999982</v>
      </c>
    </row>
    <row r="23" spans="1:11">
      <c r="A23" s="187"/>
      <c r="B23" s="187">
        <v>6</v>
      </c>
      <c r="C23" s="188">
        <f t="shared" si="3"/>
        <v>18</v>
      </c>
      <c r="D23" s="215">
        <v>17</v>
      </c>
      <c r="E23" s="190">
        <f t="shared" si="5"/>
        <v>10.044042686806094</v>
      </c>
      <c r="F23" s="191">
        <f t="shared" si="6"/>
        <v>0.12501424812947293</v>
      </c>
      <c r="G23" s="216">
        <f t="shared" si="8"/>
        <v>1.5732545574535568</v>
      </c>
      <c r="H23" s="217">
        <f t="shared" si="7"/>
        <v>15.520785101575004</v>
      </c>
      <c r="I23" s="195">
        <f t="shared" si="0"/>
        <v>1.4792148984249955</v>
      </c>
      <c r="J23" s="195">
        <f t="shared" si="1"/>
        <v>2.1880767157224699</v>
      </c>
      <c r="K23" s="195">
        <f t="shared" si="2"/>
        <v>-1.4792148984249955</v>
      </c>
    </row>
    <row r="24" spans="1:11">
      <c r="A24" s="187"/>
      <c r="B24" s="187">
        <v>7</v>
      </c>
      <c r="C24" s="188">
        <f t="shared" si="3"/>
        <v>19</v>
      </c>
      <c r="D24" s="215">
        <v>24</v>
      </c>
      <c r="E24" s="190">
        <f t="shared" si="5"/>
        <v>10.26326235255312</v>
      </c>
      <c r="F24" s="191">
        <f t="shared" si="6"/>
        <v>0.13443478989122826</v>
      </c>
      <c r="G24" s="216">
        <f t="shared" si="8"/>
        <v>2.1778437737980036</v>
      </c>
      <c r="H24" s="217">
        <f t="shared" si="7"/>
        <v>21.965162979460821</v>
      </c>
      <c r="I24" s="195">
        <f t="shared" si="0"/>
        <v>2.0348370205391788</v>
      </c>
      <c r="J24" s="195">
        <f t="shared" si="1"/>
        <v>4.1405617001567627</v>
      </c>
      <c r="K24" s="195">
        <f t="shared" si="2"/>
        <v>-2.0348370205391788</v>
      </c>
    </row>
    <row r="25" spans="1:11">
      <c r="A25" s="187"/>
      <c r="B25" s="187">
        <v>8</v>
      </c>
      <c r="C25" s="188">
        <f t="shared" si="3"/>
        <v>20</v>
      </c>
      <c r="D25" s="215">
        <v>18</v>
      </c>
      <c r="E25" s="190">
        <f t="shared" si="5"/>
        <v>10.357927428199915</v>
      </c>
      <c r="F25" s="191">
        <f t="shared" si="6"/>
        <v>0.13045781846678489</v>
      </c>
      <c r="G25" s="216">
        <f t="shared" si="8"/>
        <v>1.7937799393244849</v>
      </c>
      <c r="H25" s="217">
        <f t="shared" si="7"/>
        <v>18.715854856399826</v>
      </c>
      <c r="I25" s="195">
        <f t="shared" si="0"/>
        <v>0.71585485639982593</v>
      </c>
      <c r="J25" s="195">
        <f t="shared" si="1"/>
        <v>0.51244817543121546</v>
      </c>
      <c r="K25" s="195">
        <f t="shared" si="2"/>
        <v>0.71585485639982593</v>
      </c>
    </row>
    <row r="26" spans="1:11">
      <c r="A26" s="197"/>
      <c r="B26" s="197">
        <v>9</v>
      </c>
      <c r="C26" s="188">
        <f t="shared" si="3"/>
        <v>21</v>
      </c>
      <c r="D26" s="215">
        <v>12</v>
      </c>
      <c r="E26" s="190">
        <f t="shared" si="5"/>
        <v>10.550657833111142</v>
      </c>
      <c r="F26" s="191">
        <f t="shared" si="6"/>
        <v>0.13668507711122913</v>
      </c>
      <c r="G26" s="216">
        <f t="shared" si="8"/>
        <v>1.0857369838906195</v>
      </c>
      <c r="H26" s="217">
        <f t="shared" si="7"/>
        <v>11.327456066400035</v>
      </c>
      <c r="I26" s="218">
        <f t="shared" si="0"/>
        <v>0.67254393359996456</v>
      </c>
      <c r="J26" s="195">
        <f t="shared" si="1"/>
        <v>0.45231534262211354</v>
      </c>
      <c r="K26" s="195">
        <f t="shared" si="2"/>
        <v>-0.67254393359996456</v>
      </c>
    </row>
    <row r="27" spans="1:11">
      <c r="A27" s="187"/>
      <c r="B27" s="187">
        <v>10</v>
      </c>
      <c r="C27" s="188">
        <f t="shared" si="3"/>
        <v>22</v>
      </c>
      <c r="D27" s="215">
        <v>7</v>
      </c>
      <c r="E27" s="190">
        <f t="shared" si="5"/>
        <v>10.590830841422356</v>
      </c>
      <c r="F27" s="191">
        <f t="shared" si="6"/>
        <v>0.12703387023122764</v>
      </c>
      <c r="G27" s="216">
        <f t="shared" si="8"/>
        <v>0.71409490893407468</v>
      </c>
      <c r="H27" s="217">
        <f t="shared" si="7"/>
        <v>7.6948868953601073</v>
      </c>
      <c r="I27" s="195">
        <f t="shared" si="0"/>
        <v>0.69488689536010728</v>
      </c>
      <c r="J27" s="195">
        <f t="shared" si="1"/>
        <v>0.48286779734320867</v>
      </c>
      <c r="K27" s="195">
        <f t="shared" si="2"/>
        <v>0.69488689536010728</v>
      </c>
    </row>
    <row r="28" spans="1:11">
      <c r="A28" s="187"/>
      <c r="B28" s="187">
        <v>11</v>
      </c>
      <c r="C28" s="188">
        <f t="shared" si="3"/>
        <v>23</v>
      </c>
      <c r="D28" s="215">
        <v>8</v>
      </c>
      <c r="E28" s="190">
        <f t="shared" si="5"/>
        <v>10.97941157382156</v>
      </c>
      <c r="F28" s="191">
        <f t="shared" si="6"/>
        <v>0.15318855644802526</v>
      </c>
      <c r="G28" s="216">
        <f t="shared" si="8"/>
        <v>0.61286364980683095</v>
      </c>
      <c r="H28" s="217">
        <f t="shared" si="7"/>
        <v>6.4307188269921509</v>
      </c>
      <c r="I28" s="195">
        <f t="shared" si="0"/>
        <v>1.5692811730078491</v>
      </c>
      <c r="J28" s="195">
        <f t="shared" si="1"/>
        <v>2.4626433999568906</v>
      </c>
      <c r="K28" s="195">
        <f t="shared" si="2"/>
        <v>-1.5692811730078491</v>
      </c>
    </row>
    <row r="29" spans="1:11" ht="15.75" thickBot="1">
      <c r="A29" s="197"/>
      <c r="B29" s="197">
        <v>12</v>
      </c>
      <c r="C29" s="188">
        <f t="shared" si="3"/>
        <v>24</v>
      </c>
      <c r="D29" s="219">
        <v>6</v>
      </c>
      <c r="E29" s="220">
        <f t="shared" si="5"/>
        <v>11.269340117242628</v>
      </c>
      <c r="F29" s="221">
        <f t="shared" si="6"/>
        <v>0.16686255514532955</v>
      </c>
      <c r="G29" s="222">
        <f t="shared" si="8"/>
        <v>0.48524180420129226</v>
      </c>
      <c r="H29" s="223">
        <f t="shared" si="7"/>
        <v>5.3436480625294012</v>
      </c>
      <c r="I29" s="218">
        <f t="shared" si="0"/>
        <v>0.65635193747059883</v>
      </c>
      <c r="J29" s="195">
        <f t="shared" si="1"/>
        <v>0.43079786582140889</v>
      </c>
      <c r="K29" s="195">
        <f t="shared" si="2"/>
        <v>-0.65635193747059883</v>
      </c>
    </row>
    <row r="30" spans="1:11" ht="15.75" thickBot="1">
      <c r="A30" s="224"/>
      <c r="B30" s="224"/>
      <c r="C30" s="225"/>
      <c r="D30" s="226"/>
      <c r="E30" s="227"/>
      <c r="F30" s="227"/>
      <c r="G30" s="228"/>
      <c r="H30" s="228" t="s">
        <v>95</v>
      </c>
      <c r="I30" s="229">
        <f>AVERAGE(I18:I29)</f>
        <v>1.3960066951918766</v>
      </c>
      <c r="J30" s="229">
        <f>AVERAGE(J18:J29)</f>
        <v>2.3415336853941313</v>
      </c>
      <c r="K30" s="229">
        <f>AVERAGE(K18:K29)</f>
        <v>-0.75670606989855393</v>
      </c>
    </row>
    <row r="31" spans="1:11">
      <c r="B31" s="230"/>
      <c r="C31" s="230"/>
      <c r="D31" s="230"/>
      <c r="E31" s="230"/>
      <c r="F31" s="230"/>
      <c r="G31" s="230"/>
      <c r="H31" s="230"/>
      <c r="I31" s="230"/>
      <c r="J31" s="230"/>
      <c r="K31" s="230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L93"/>
  <sheetViews>
    <sheetView zoomScale="70" zoomScaleNormal="70" workbookViewId="0">
      <selection activeCell="I7" sqref="I7"/>
    </sheetView>
  </sheetViews>
  <sheetFormatPr baseColWidth="10" defaultColWidth="8.85546875" defaultRowHeight="15"/>
  <cols>
    <col min="1" max="1" width="2.7109375" customWidth="1"/>
    <col min="16" max="16" width="7.5703125" customWidth="1"/>
    <col min="257" max="257" width="2.7109375" customWidth="1"/>
    <col min="272" max="272" width="7.5703125" customWidth="1"/>
    <col min="513" max="513" width="2.7109375" customWidth="1"/>
    <col min="528" max="528" width="7.5703125" customWidth="1"/>
    <col min="769" max="769" width="2.7109375" customWidth="1"/>
    <col min="784" max="784" width="7.5703125" customWidth="1"/>
    <col min="1025" max="1025" width="2.7109375" customWidth="1"/>
    <col min="1040" max="1040" width="7.5703125" customWidth="1"/>
    <col min="1281" max="1281" width="2.7109375" customWidth="1"/>
    <col min="1296" max="1296" width="7.5703125" customWidth="1"/>
    <col min="1537" max="1537" width="2.7109375" customWidth="1"/>
    <col min="1552" max="1552" width="7.5703125" customWidth="1"/>
    <col min="1793" max="1793" width="2.7109375" customWidth="1"/>
    <col min="1808" max="1808" width="7.5703125" customWidth="1"/>
    <col min="2049" max="2049" width="2.7109375" customWidth="1"/>
    <col min="2064" max="2064" width="7.5703125" customWidth="1"/>
    <col min="2305" max="2305" width="2.7109375" customWidth="1"/>
    <col min="2320" max="2320" width="7.5703125" customWidth="1"/>
    <col min="2561" max="2561" width="2.7109375" customWidth="1"/>
    <col min="2576" max="2576" width="7.5703125" customWidth="1"/>
    <col min="2817" max="2817" width="2.7109375" customWidth="1"/>
    <col min="2832" max="2832" width="7.5703125" customWidth="1"/>
    <col min="3073" max="3073" width="2.7109375" customWidth="1"/>
    <col min="3088" max="3088" width="7.5703125" customWidth="1"/>
    <col min="3329" max="3329" width="2.7109375" customWidth="1"/>
    <col min="3344" max="3344" width="7.5703125" customWidth="1"/>
    <col min="3585" max="3585" width="2.7109375" customWidth="1"/>
    <col min="3600" max="3600" width="7.5703125" customWidth="1"/>
    <col min="3841" max="3841" width="2.7109375" customWidth="1"/>
    <col min="3856" max="3856" width="7.5703125" customWidth="1"/>
    <col min="4097" max="4097" width="2.7109375" customWidth="1"/>
    <col min="4112" max="4112" width="7.5703125" customWidth="1"/>
    <col min="4353" max="4353" width="2.7109375" customWidth="1"/>
    <col min="4368" max="4368" width="7.5703125" customWidth="1"/>
    <col min="4609" max="4609" width="2.7109375" customWidth="1"/>
    <col min="4624" max="4624" width="7.5703125" customWidth="1"/>
    <col min="4865" max="4865" width="2.7109375" customWidth="1"/>
    <col min="4880" max="4880" width="7.5703125" customWidth="1"/>
    <col min="5121" max="5121" width="2.7109375" customWidth="1"/>
    <col min="5136" max="5136" width="7.5703125" customWidth="1"/>
    <col min="5377" max="5377" width="2.7109375" customWidth="1"/>
    <col min="5392" max="5392" width="7.5703125" customWidth="1"/>
    <col min="5633" max="5633" width="2.7109375" customWidth="1"/>
    <col min="5648" max="5648" width="7.5703125" customWidth="1"/>
    <col min="5889" max="5889" width="2.7109375" customWidth="1"/>
    <col min="5904" max="5904" width="7.5703125" customWidth="1"/>
    <col min="6145" max="6145" width="2.7109375" customWidth="1"/>
    <col min="6160" max="6160" width="7.5703125" customWidth="1"/>
    <col min="6401" max="6401" width="2.7109375" customWidth="1"/>
    <col min="6416" max="6416" width="7.5703125" customWidth="1"/>
    <col min="6657" max="6657" width="2.7109375" customWidth="1"/>
    <col min="6672" max="6672" width="7.5703125" customWidth="1"/>
    <col min="6913" max="6913" width="2.7109375" customWidth="1"/>
    <col min="6928" max="6928" width="7.5703125" customWidth="1"/>
    <col min="7169" max="7169" width="2.7109375" customWidth="1"/>
    <col min="7184" max="7184" width="7.5703125" customWidth="1"/>
    <col min="7425" max="7425" width="2.7109375" customWidth="1"/>
    <col min="7440" max="7440" width="7.5703125" customWidth="1"/>
    <col min="7681" max="7681" width="2.7109375" customWidth="1"/>
    <col min="7696" max="7696" width="7.5703125" customWidth="1"/>
    <col min="7937" max="7937" width="2.7109375" customWidth="1"/>
    <col min="7952" max="7952" width="7.5703125" customWidth="1"/>
    <col min="8193" max="8193" width="2.7109375" customWidth="1"/>
    <col min="8208" max="8208" width="7.5703125" customWidth="1"/>
    <col min="8449" max="8449" width="2.7109375" customWidth="1"/>
    <col min="8464" max="8464" width="7.5703125" customWidth="1"/>
    <col min="8705" max="8705" width="2.7109375" customWidth="1"/>
    <col min="8720" max="8720" width="7.5703125" customWidth="1"/>
    <col min="8961" max="8961" width="2.7109375" customWidth="1"/>
    <col min="8976" max="8976" width="7.5703125" customWidth="1"/>
    <col min="9217" max="9217" width="2.7109375" customWidth="1"/>
    <col min="9232" max="9232" width="7.5703125" customWidth="1"/>
    <col min="9473" max="9473" width="2.7109375" customWidth="1"/>
    <col min="9488" max="9488" width="7.5703125" customWidth="1"/>
    <col min="9729" max="9729" width="2.7109375" customWidth="1"/>
    <col min="9744" max="9744" width="7.5703125" customWidth="1"/>
    <col min="9985" max="9985" width="2.7109375" customWidth="1"/>
    <col min="10000" max="10000" width="7.5703125" customWidth="1"/>
    <col min="10241" max="10241" width="2.7109375" customWidth="1"/>
    <col min="10256" max="10256" width="7.5703125" customWidth="1"/>
    <col min="10497" max="10497" width="2.7109375" customWidth="1"/>
    <col min="10512" max="10512" width="7.5703125" customWidth="1"/>
    <col min="10753" max="10753" width="2.7109375" customWidth="1"/>
    <col min="10768" max="10768" width="7.5703125" customWidth="1"/>
    <col min="11009" max="11009" width="2.7109375" customWidth="1"/>
    <col min="11024" max="11024" width="7.5703125" customWidth="1"/>
    <col min="11265" max="11265" width="2.7109375" customWidth="1"/>
    <col min="11280" max="11280" width="7.5703125" customWidth="1"/>
    <col min="11521" max="11521" width="2.7109375" customWidth="1"/>
    <col min="11536" max="11536" width="7.5703125" customWidth="1"/>
    <col min="11777" max="11777" width="2.7109375" customWidth="1"/>
    <col min="11792" max="11792" width="7.5703125" customWidth="1"/>
    <col min="12033" max="12033" width="2.7109375" customWidth="1"/>
    <col min="12048" max="12048" width="7.5703125" customWidth="1"/>
    <col min="12289" max="12289" width="2.7109375" customWidth="1"/>
    <col min="12304" max="12304" width="7.5703125" customWidth="1"/>
    <col min="12545" max="12545" width="2.7109375" customWidth="1"/>
    <col min="12560" max="12560" width="7.5703125" customWidth="1"/>
    <col min="12801" max="12801" width="2.7109375" customWidth="1"/>
    <col min="12816" max="12816" width="7.5703125" customWidth="1"/>
    <col min="13057" max="13057" width="2.7109375" customWidth="1"/>
    <col min="13072" max="13072" width="7.5703125" customWidth="1"/>
    <col min="13313" max="13313" width="2.7109375" customWidth="1"/>
    <col min="13328" max="13328" width="7.5703125" customWidth="1"/>
    <col min="13569" max="13569" width="2.7109375" customWidth="1"/>
    <col min="13584" max="13584" width="7.5703125" customWidth="1"/>
    <col min="13825" max="13825" width="2.7109375" customWidth="1"/>
    <col min="13840" max="13840" width="7.5703125" customWidth="1"/>
    <col min="14081" max="14081" width="2.7109375" customWidth="1"/>
    <col min="14096" max="14096" width="7.5703125" customWidth="1"/>
    <col min="14337" max="14337" width="2.7109375" customWidth="1"/>
    <col min="14352" max="14352" width="7.5703125" customWidth="1"/>
    <col min="14593" max="14593" width="2.7109375" customWidth="1"/>
    <col min="14608" max="14608" width="7.5703125" customWidth="1"/>
    <col min="14849" max="14849" width="2.7109375" customWidth="1"/>
    <col min="14864" max="14864" width="7.5703125" customWidth="1"/>
    <col min="15105" max="15105" width="2.7109375" customWidth="1"/>
    <col min="15120" max="15120" width="7.5703125" customWidth="1"/>
    <col min="15361" max="15361" width="2.7109375" customWidth="1"/>
    <col min="15376" max="15376" width="7.5703125" customWidth="1"/>
    <col min="15617" max="15617" width="2.7109375" customWidth="1"/>
    <col min="15632" max="15632" width="7.5703125" customWidth="1"/>
    <col min="15873" max="15873" width="2.7109375" customWidth="1"/>
    <col min="15888" max="15888" width="7.5703125" customWidth="1"/>
    <col min="16129" max="16129" width="2.7109375" customWidth="1"/>
    <col min="16144" max="16144" width="7.5703125" customWidth="1"/>
  </cols>
  <sheetData>
    <row r="4" spans="1:9" ht="15.75">
      <c r="B4" s="1" t="s">
        <v>31</v>
      </c>
    </row>
    <row r="5" spans="1:9" ht="15.75">
      <c r="B5" s="1"/>
    </row>
    <row r="6" spans="1:9" ht="15.75">
      <c r="B6" s="1"/>
    </row>
    <row r="7" spans="1:9">
      <c r="B7" s="77"/>
      <c r="C7" s="78"/>
      <c r="D7" s="28" t="s">
        <v>32</v>
      </c>
      <c r="E7" s="78"/>
      <c r="F7" s="28"/>
      <c r="G7" s="78"/>
      <c r="I7" s="78"/>
    </row>
    <row r="8" spans="1:9">
      <c r="A8" s="79"/>
      <c r="B8" s="8" t="s">
        <v>33</v>
      </c>
      <c r="C8" s="9" t="s">
        <v>34</v>
      </c>
      <c r="D8" s="58" t="s">
        <v>35</v>
      </c>
      <c r="E8" s="9"/>
      <c r="F8" s="58" t="s">
        <v>36</v>
      </c>
      <c r="G8" s="9" t="s">
        <v>37</v>
      </c>
      <c r="H8" s="79"/>
      <c r="I8" s="31" t="s">
        <v>38</v>
      </c>
    </row>
    <row r="9" spans="1:9">
      <c r="A9" s="79"/>
      <c r="B9" s="10"/>
      <c r="C9" s="10"/>
      <c r="D9" s="10"/>
      <c r="E9" s="10"/>
      <c r="F9" s="10"/>
      <c r="G9" s="10"/>
      <c r="H9" s="79"/>
    </row>
    <row r="10" spans="1:9">
      <c r="A10" s="79"/>
      <c r="B10" s="12">
        <v>1997</v>
      </c>
      <c r="C10" s="12">
        <v>1</v>
      </c>
      <c r="D10" s="12">
        <v>1000</v>
      </c>
      <c r="E10" s="12"/>
      <c r="F10" s="21">
        <f t="shared" ref="F10:F21" si="0">+POWER(C10,2)</f>
        <v>1</v>
      </c>
      <c r="G10" s="21">
        <f t="shared" ref="G10:G19" si="1">+C10*D10</f>
        <v>1000</v>
      </c>
      <c r="H10" s="79"/>
      <c r="I10" s="80">
        <f t="shared" ref="I10:I21" si="2">+$F$27+$C$27*C10</f>
        <v>1129.0909090909092</v>
      </c>
    </row>
    <row r="11" spans="1:9">
      <c r="A11" s="79"/>
      <c r="B11" s="12">
        <v>1998</v>
      </c>
      <c r="C11" s="12">
        <v>2</v>
      </c>
      <c r="D11" s="12">
        <v>1300</v>
      </c>
      <c r="E11" s="12"/>
      <c r="F11" s="21">
        <f t="shared" si="0"/>
        <v>4</v>
      </c>
      <c r="G11" s="21">
        <f t="shared" si="1"/>
        <v>2600</v>
      </c>
      <c r="H11" s="79"/>
      <c r="I11" s="80">
        <f t="shared" si="2"/>
        <v>1344.848484848485</v>
      </c>
    </row>
    <row r="12" spans="1:9">
      <c r="A12" s="79"/>
      <c r="B12" s="12">
        <v>1999</v>
      </c>
      <c r="C12" s="12">
        <v>3</v>
      </c>
      <c r="D12" s="12">
        <v>1800</v>
      </c>
      <c r="E12" s="12"/>
      <c r="F12" s="21">
        <f t="shared" si="0"/>
        <v>9</v>
      </c>
      <c r="G12" s="21">
        <f t="shared" si="1"/>
        <v>5400</v>
      </c>
      <c r="H12" s="79"/>
      <c r="I12" s="80">
        <f t="shared" si="2"/>
        <v>1560.6060606060607</v>
      </c>
    </row>
    <row r="13" spans="1:9">
      <c r="A13" s="79"/>
      <c r="B13" s="12">
        <v>2000</v>
      </c>
      <c r="C13" s="12">
        <v>4</v>
      </c>
      <c r="D13" s="12">
        <v>2000</v>
      </c>
      <c r="E13" s="12"/>
      <c r="F13" s="21">
        <f t="shared" si="0"/>
        <v>16</v>
      </c>
      <c r="G13" s="21">
        <f t="shared" si="1"/>
        <v>8000</v>
      </c>
      <c r="H13" s="79"/>
      <c r="I13" s="80">
        <f t="shared" si="2"/>
        <v>1776.3636363636365</v>
      </c>
    </row>
    <row r="14" spans="1:9">
      <c r="A14" s="79"/>
      <c r="B14" s="12">
        <v>2001</v>
      </c>
      <c r="C14" s="12">
        <v>5</v>
      </c>
      <c r="D14" s="12">
        <v>2000</v>
      </c>
      <c r="E14" s="12"/>
      <c r="F14" s="21">
        <f t="shared" si="0"/>
        <v>25</v>
      </c>
      <c r="G14" s="21">
        <f t="shared" si="1"/>
        <v>10000</v>
      </c>
      <c r="H14" s="79"/>
      <c r="I14" s="80">
        <f t="shared" si="2"/>
        <v>1992.1212121212122</v>
      </c>
    </row>
    <row r="15" spans="1:9">
      <c r="A15" s="79"/>
      <c r="B15" s="12">
        <v>2002</v>
      </c>
      <c r="C15" s="12">
        <v>6</v>
      </c>
      <c r="D15" s="12">
        <v>2000</v>
      </c>
      <c r="E15" s="12"/>
      <c r="F15" s="21">
        <f t="shared" si="0"/>
        <v>36</v>
      </c>
      <c r="G15" s="21">
        <f t="shared" si="1"/>
        <v>12000</v>
      </c>
      <c r="H15" s="79"/>
      <c r="I15" s="80">
        <f t="shared" si="2"/>
        <v>2207.878787878788</v>
      </c>
    </row>
    <row r="16" spans="1:9">
      <c r="A16" s="79"/>
      <c r="B16" s="12">
        <v>2003</v>
      </c>
      <c r="C16" s="12">
        <v>7</v>
      </c>
      <c r="D16" s="12">
        <v>2200</v>
      </c>
      <c r="E16" s="12"/>
      <c r="F16" s="21">
        <f t="shared" si="0"/>
        <v>49</v>
      </c>
      <c r="G16" s="21">
        <f t="shared" si="1"/>
        <v>15400</v>
      </c>
      <c r="H16" s="79"/>
      <c r="I16" s="80">
        <f t="shared" si="2"/>
        <v>2423.636363636364</v>
      </c>
    </row>
    <row r="17" spans="1:9">
      <c r="A17" s="79"/>
      <c r="B17" s="12">
        <v>2004</v>
      </c>
      <c r="C17" s="12">
        <v>8</v>
      </c>
      <c r="D17" s="12">
        <v>2600</v>
      </c>
      <c r="E17" s="12"/>
      <c r="F17" s="21">
        <f t="shared" si="0"/>
        <v>64</v>
      </c>
      <c r="G17" s="21">
        <f t="shared" si="1"/>
        <v>20800</v>
      </c>
      <c r="H17" s="79"/>
      <c r="I17" s="80">
        <f t="shared" si="2"/>
        <v>2639.3939393939395</v>
      </c>
    </row>
    <row r="18" spans="1:9">
      <c r="A18" s="79"/>
      <c r="B18" s="12">
        <v>2005</v>
      </c>
      <c r="C18" s="12">
        <v>9</v>
      </c>
      <c r="D18" s="12">
        <v>2900</v>
      </c>
      <c r="E18" s="12"/>
      <c r="F18" s="21">
        <f t="shared" si="0"/>
        <v>81</v>
      </c>
      <c r="G18" s="21">
        <f t="shared" si="1"/>
        <v>26100</v>
      </c>
      <c r="H18" s="79"/>
      <c r="I18" s="80">
        <f t="shared" si="2"/>
        <v>2855.151515151515</v>
      </c>
    </row>
    <row r="19" spans="1:9" ht="15.75" thickBot="1">
      <c r="A19" s="79"/>
      <c r="B19" s="12">
        <v>2006</v>
      </c>
      <c r="C19" s="12">
        <v>10</v>
      </c>
      <c r="D19" s="12">
        <v>3200</v>
      </c>
      <c r="E19" s="12"/>
      <c r="F19" s="21">
        <f t="shared" si="0"/>
        <v>100</v>
      </c>
      <c r="G19" s="21">
        <f t="shared" si="1"/>
        <v>32000</v>
      </c>
      <c r="H19" s="79"/>
      <c r="I19" s="80">
        <f t="shared" si="2"/>
        <v>3070.909090909091</v>
      </c>
    </row>
    <row r="20" spans="1:9">
      <c r="A20" s="79"/>
      <c r="B20" s="81">
        <v>2007</v>
      </c>
      <c r="C20" s="12">
        <v>11</v>
      </c>
      <c r="D20" s="12"/>
      <c r="E20" s="12"/>
      <c r="F20" s="81">
        <f t="shared" si="0"/>
        <v>121</v>
      </c>
      <c r="G20" s="81"/>
      <c r="H20" s="79"/>
      <c r="I20" s="82">
        <f t="shared" si="2"/>
        <v>3286.6666666666665</v>
      </c>
    </row>
    <row r="21" spans="1:9" ht="15.75" thickBot="1">
      <c r="A21" s="79"/>
      <c r="B21" s="81">
        <v>2008</v>
      </c>
      <c r="C21" s="12">
        <v>12</v>
      </c>
      <c r="D21" s="12"/>
      <c r="E21" s="12"/>
      <c r="F21" s="81">
        <f t="shared" si="0"/>
        <v>144</v>
      </c>
      <c r="G21" s="81"/>
      <c r="H21" s="79"/>
      <c r="I21" s="83">
        <f t="shared" si="2"/>
        <v>3502.4242424242425</v>
      </c>
    </row>
    <row r="22" spans="1:9">
      <c r="C22" s="79"/>
      <c r="D22" s="79"/>
      <c r="E22" s="79"/>
      <c r="F22" s="79"/>
      <c r="G22" s="79"/>
      <c r="H22" s="79"/>
    </row>
    <row r="23" spans="1:9">
      <c r="B23" s="84" t="s">
        <v>39</v>
      </c>
      <c r="C23" s="85">
        <f>SUM(C10:C19)</f>
        <v>55</v>
      </c>
      <c r="D23" s="86">
        <f>SUM(D10:D19)</f>
        <v>21000</v>
      </c>
      <c r="E23" s="87"/>
      <c r="F23" s="21">
        <f>SUM(F10:F19)</f>
        <v>385</v>
      </c>
      <c r="G23" s="21">
        <f>SUM(G10:G19)</f>
        <v>133300</v>
      </c>
    </row>
    <row r="24" spans="1:9">
      <c r="B24" s="88"/>
      <c r="C24" s="89"/>
      <c r="D24" s="89"/>
      <c r="E24" s="89"/>
      <c r="F24" s="89"/>
      <c r="G24" s="90"/>
    </row>
    <row r="25" spans="1:9">
      <c r="B25" s="91" t="s">
        <v>40</v>
      </c>
      <c r="C25" s="85">
        <f>+C23/10</f>
        <v>5.5</v>
      </c>
      <c r="D25" s="86">
        <f>+D23/10</f>
        <v>2100</v>
      </c>
      <c r="E25" s="92"/>
      <c r="F25" s="92"/>
      <c r="G25" s="93"/>
    </row>
    <row r="26" spans="1:9" ht="15.75" thickBot="1"/>
    <row r="27" spans="1:9" ht="15.75" thickBot="1">
      <c r="B27" s="94" t="s">
        <v>41</v>
      </c>
      <c r="C27" s="95">
        <f>+(G23-10*C25*D25)/(F23-10*POWER(C25,2))</f>
        <v>215.75757575757575</v>
      </c>
      <c r="D27" s="96"/>
      <c r="E27" s="97" t="s">
        <v>42</v>
      </c>
      <c r="F27" s="98">
        <f>+D25-C27*C25</f>
        <v>913.33333333333348</v>
      </c>
      <c r="G27" s="99"/>
    </row>
    <row r="33" spans="2:8" ht="15.75">
      <c r="B33" s="1" t="s">
        <v>43</v>
      </c>
    </row>
    <row r="37" spans="2:8" ht="15.75">
      <c r="B37" s="1" t="s">
        <v>44</v>
      </c>
      <c r="C37" s="100"/>
      <c r="D37" s="100"/>
      <c r="E37" s="100"/>
      <c r="F37" s="100"/>
    </row>
    <row r="39" spans="2:8" ht="15.75">
      <c r="B39" s="101" t="s">
        <v>45</v>
      </c>
    </row>
    <row r="40" spans="2:8" ht="15.75">
      <c r="B40" s="101"/>
    </row>
    <row r="41" spans="2:8" ht="15.75">
      <c r="B41" s="102" t="s">
        <v>46</v>
      </c>
    </row>
    <row r="42" spans="2:8" ht="16.5" thickBot="1">
      <c r="B42" s="101"/>
    </row>
    <row r="43" spans="2:8" ht="15.75" thickBot="1">
      <c r="B43" s="103"/>
      <c r="C43" s="104" t="s">
        <v>47</v>
      </c>
      <c r="D43" s="105" t="s">
        <v>48</v>
      </c>
      <c r="E43" s="105" t="s">
        <v>49</v>
      </c>
      <c r="F43" s="106" t="s">
        <v>50</v>
      </c>
      <c r="G43" s="107" t="s">
        <v>51</v>
      </c>
    </row>
    <row r="44" spans="2:8">
      <c r="B44" s="49">
        <v>1999</v>
      </c>
      <c r="C44" s="108">
        <v>520</v>
      </c>
      <c r="D44" s="21">
        <v>730</v>
      </c>
      <c r="E44" s="21">
        <v>820</v>
      </c>
      <c r="F44" s="109">
        <v>530</v>
      </c>
      <c r="G44" s="110">
        <f>SUM(C44:F44)</f>
        <v>2600</v>
      </c>
    </row>
    <row r="45" spans="2:8">
      <c r="B45" s="49">
        <v>2000</v>
      </c>
      <c r="C45" s="108">
        <v>590</v>
      </c>
      <c r="D45" s="21">
        <v>810</v>
      </c>
      <c r="E45" s="21">
        <v>900</v>
      </c>
      <c r="F45" s="109">
        <v>600</v>
      </c>
      <c r="G45" s="111">
        <f>SUM(C45:F45)</f>
        <v>2900</v>
      </c>
    </row>
    <row r="46" spans="2:8" ht="15.75" thickBot="1">
      <c r="B46" s="66">
        <v>2001</v>
      </c>
      <c r="C46" s="112">
        <v>650</v>
      </c>
      <c r="D46" s="113">
        <v>900</v>
      </c>
      <c r="E46" s="113">
        <v>1000</v>
      </c>
      <c r="F46" s="114">
        <v>650</v>
      </c>
      <c r="G46" s="115">
        <f>SUM(C46:F46)</f>
        <v>3200</v>
      </c>
    </row>
    <row r="47" spans="2:8">
      <c r="B47" s="79"/>
      <c r="C47" s="10">
        <f>SUM(C44:C46)</f>
        <v>1760</v>
      </c>
      <c r="D47" s="10">
        <f>SUM(D44:D46)</f>
        <v>2440</v>
      </c>
      <c r="E47" s="10">
        <f>SUM(E44:E46)</f>
        <v>2720</v>
      </c>
      <c r="F47" s="10">
        <f>SUM(F44:F46)</f>
        <v>1780</v>
      </c>
      <c r="G47" s="10">
        <f>SUM(G44:G46)</f>
        <v>8700</v>
      </c>
      <c r="H47" t="s">
        <v>52</v>
      </c>
    </row>
    <row r="48" spans="2:8">
      <c r="B48" s="79"/>
      <c r="C48" s="62">
        <f>+C47/3</f>
        <v>586.66666666666663</v>
      </c>
      <c r="D48" s="62">
        <f>+D47/3</f>
        <v>813.33333333333337</v>
      </c>
      <c r="E48" s="62">
        <f>+E47/3</f>
        <v>906.66666666666663</v>
      </c>
      <c r="F48" s="62">
        <f>+F47/3</f>
        <v>593.33333333333337</v>
      </c>
      <c r="G48" s="62">
        <f>+G47/12</f>
        <v>725</v>
      </c>
      <c r="H48" t="s">
        <v>53</v>
      </c>
    </row>
    <row r="49" spans="2:12" ht="15.75" thickBot="1">
      <c r="B49" s="79"/>
      <c r="C49" s="79"/>
      <c r="D49" s="79"/>
      <c r="E49" s="79"/>
      <c r="F49" s="79"/>
      <c r="G49" s="79"/>
    </row>
    <row r="50" spans="2:12" ht="15.75" thickBot="1">
      <c r="B50" s="79"/>
      <c r="C50" s="116">
        <f>+C48/$G$48</f>
        <v>0.80919540229885056</v>
      </c>
      <c r="D50" s="117">
        <f>+D48/$G$48</f>
        <v>1.1218390804597702</v>
      </c>
      <c r="E50" s="117">
        <f>+E48/$G$48</f>
        <v>1.2505747126436781</v>
      </c>
      <c r="F50" s="118">
        <f>+F48/$G$48</f>
        <v>0.81839080459770119</v>
      </c>
      <c r="G50" s="119"/>
      <c r="H50" s="120" t="s">
        <v>54</v>
      </c>
      <c r="I50" s="121"/>
    </row>
    <row r="51" spans="2:12">
      <c r="B51" s="79"/>
      <c r="C51" s="79"/>
      <c r="D51" s="79"/>
      <c r="E51" s="79"/>
      <c r="F51" s="79"/>
      <c r="G51" s="79"/>
    </row>
    <row r="52" spans="2:12">
      <c r="B52" s="79"/>
      <c r="C52" s="79"/>
      <c r="D52" s="79"/>
      <c r="E52" s="79"/>
      <c r="F52" s="79"/>
      <c r="G52" s="79"/>
      <c r="H52" t="s">
        <v>55</v>
      </c>
    </row>
    <row r="53" spans="2:12" ht="15.75">
      <c r="B53" s="122" t="s">
        <v>56</v>
      </c>
      <c r="C53" s="79"/>
      <c r="D53" s="79"/>
      <c r="E53" s="79"/>
      <c r="F53" s="79"/>
      <c r="G53" s="79"/>
    </row>
    <row r="54" spans="2:12" ht="15.75" thickBot="1">
      <c r="B54" s="79"/>
      <c r="C54" s="79"/>
      <c r="D54" s="79"/>
      <c r="E54" s="79"/>
      <c r="F54" s="79"/>
      <c r="G54" s="79"/>
    </row>
    <row r="55" spans="2:12">
      <c r="B55" s="103"/>
      <c r="C55" s="104" t="s">
        <v>47</v>
      </c>
      <c r="D55" s="105" t="s">
        <v>48</v>
      </c>
      <c r="E55" s="105" t="s">
        <v>49</v>
      </c>
      <c r="F55" s="106" t="s">
        <v>50</v>
      </c>
      <c r="G55" s="79"/>
    </row>
    <row r="56" spans="2:12">
      <c r="B56" s="123">
        <v>1999</v>
      </c>
      <c r="C56" s="124">
        <f t="shared" ref="C56:F58" si="3">+C44/C$50</f>
        <v>642.61363636363637</v>
      </c>
      <c r="D56" s="124">
        <f t="shared" si="3"/>
        <v>650.71721311475403</v>
      </c>
      <c r="E56" s="124">
        <f t="shared" si="3"/>
        <v>655.69852941176475</v>
      </c>
      <c r="F56" s="125">
        <f t="shared" si="3"/>
        <v>647.61235955056179</v>
      </c>
      <c r="G56" s="79"/>
    </row>
    <row r="57" spans="2:12">
      <c r="B57" s="123">
        <v>2000</v>
      </c>
      <c r="C57" s="124">
        <f t="shared" si="3"/>
        <v>729.11931818181824</v>
      </c>
      <c r="D57" s="124">
        <f t="shared" si="3"/>
        <v>722.02868852459005</v>
      </c>
      <c r="E57" s="124">
        <f t="shared" si="3"/>
        <v>719.66911764705878</v>
      </c>
      <c r="F57" s="125">
        <f t="shared" si="3"/>
        <v>733.14606741573027</v>
      </c>
      <c r="G57" s="79"/>
    </row>
    <row r="58" spans="2:12" ht="15.75" thickBot="1">
      <c r="B58" s="126">
        <v>2001</v>
      </c>
      <c r="C58" s="127">
        <f t="shared" si="3"/>
        <v>803.2670454545455</v>
      </c>
      <c r="D58" s="127">
        <f t="shared" si="3"/>
        <v>802.25409836065569</v>
      </c>
      <c r="E58" s="127">
        <f t="shared" si="3"/>
        <v>799.63235294117646</v>
      </c>
      <c r="F58" s="128">
        <f t="shared" si="3"/>
        <v>794.24157303370782</v>
      </c>
      <c r="G58" s="79"/>
      <c r="H58" t="s">
        <v>57</v>
      </c>
    </row>
    <row r="59" spans="2:12">
      <c r="B59" s="79"/>
      <c r="C59" s="79"/>
      <c r="D59" s="79"/>
      <c r="E59" s="79"/>
      <c r="F59" s="79"/>
      <c r="G59" s="79"/>
    </row>
    <row r="60" spans="2:12">
      <c r="B60" s="79"/>
      <c r="C60" s="79"/>
      <c r="D60" s="79"/>
      <c r="E60" s="79"/>
      <c r="F60" s="79"/>
      <c r="G60" s="79"/>
      <c r="L60" s="79"/>
    </row>
    <row r="61" spans="2:12" ht="15.75">
      <c r="B61" s="122" t="s">
        <v>58</v>
      </c>
      <c r="C61" s="79"/>
      <c r="D61" s="79"/>
      <c r="E61" s="79"/>
      <c r="F61" s="79"/>
      <c r="G61" s="79"/>
    </row>
    <row r="62" spans="2:12" ht="16.5" thickBot="1">
      <c r="B62" s="122"/>
      <c r="C62" s="79"/>
      <c r="D62" s="79"/>
      <c r="E62" s="79"/>
      <c r="F62" s="79"/>
      <c r="G62" s="79"/>
    </row>
    <row r="63" spans="2:12" ht="16.5" thickBot="1">
      <c r="B63" s="129"/>
      <c r="C63" s="130" t="s">
        <v>34</v>
      </c>
      <c r="D63" s="131" t="s">
        <v>35</v>
      </c>
      <c r="E63" s="79"/>
      <c r="F63" s="79" t="s">
        <v>59</v>
      </c>
      <c r="G63" s="79"/>
    </row>
    <row r="64" spans="2:12">
      <c r="B64" s="132" t="s">
        <v>60</v>
      </c>
      <c r="C64" s="10">
        <v>1</v>
      </c>
      <c r="D64" s="133">
        <f>+C56</f>
        <v>642.61363636363637</v>
      </c>
      <c r="E64" s="79"/>
      <c r="F64" s="134">
        <f t="shared" ref="F64:F79" si="4">+$F$81+$C$81*C64</f>
        <v>632.29999999999995</v>
      </c>
      <c r="G64" s="79"/>
    </row>
    <row r="65" spans="2:7">
      <c r="B65" s="65" t="s">
        <v>61</v>
      </c>
      <c r="C65" s="12">
        <v>2</v>
      </c>
      <c r="D65" s="135">
        <f>+D56</f>
        <v>650.71721311475403</v>
      </c>
      <c r="E65" s="79"/>
      <c r="F65" s="134">
        <f t="shared" si="4"/>
        <v>649.19999999999993</v>
      </c>
      <c r="G65" s="79"/>
    </row>
    <row r="66" spans="2:7">
      <c r="B66" s="65" t="s">
        <v>62</v>
      </c>
      <c r="C66" s="12">
        <v>3</v>
      </c>
      <c r="D66" s="135">
        <f>+E56</f>
        <v>655.69852941176475</v>
      </c>
      <c r="E66" s="79"/>
      <c r="F66" s="134">
        <f t="shared" si="4"/>
        <v>666.1</v>
      </c>
      <c r="G66" s="79"/>
    </row>
    <row r="67" spans="2:7">
      <c r="B67" s="65" t="s">
        <v>63</v>
      </c>
      <c r="C67" s="12">
        <v>4</v>
      </c>
      <c r="D67" s="135">
        <f>+F56</f>
        <v>647.61235955056179</v>
      </c>
      <c r="E67" s="79"/>
      <c r="F67" s="134">
        <f t="shared" si="4"/>
        <v>683</v>
      </c>
      <c r="G67" s="79"/>
    </row>
    <row r="68" spans="2:7">
      <c r="B68" s="65" t="s">
        <v>64</v>
      </c>
      <c r="C68" s="12">
        <v>5</v>
      </c>
      <c r="D68" s="135">
        <f>+C57</f>
        <v>729.11931818181824</v>
      </c>
      <c r="E68" s="79"/>
      <c r="F68" s="134">
        <f t="shared" si="4"/>
        <v>699.9</v>
      </c>
      <c r="G68" s="79"/>
    </row>
    <row r="69" spans="2:7">
      <c r="B69" s="65" t="s">
        <v>65</v>
      </c>
      <c r="C69" s="12">
        <v>6</v>
      </c>
      <c r="D69" s="135">
        <f>+D57</f>
        <v>722.02868852459005</v>
      </c>
      <c r="E69" s="79"/>
      <c r="F69" s="134">
        <f t="shared" si="4"/>
        <v>716.8</v>
      </c>
      <c r="G69" s="79"/>
    </row>
    <row r="70" spans="2:7">
      <c r="B70" s="65" t="s">
        <v>66</v>
      </c>
      <c r="C70" s="12">
        <v>7</v>
      </c>
      <c r="D70" s="135">
        <f>+E57</f>
        <v>719.66911764705878</v>
      </c>
      <c r="E70" s="79"/>
      <c r="F70" s="134">
        <f t="shared" si="4"/>
        <v>733.69999999999993</v>
      </c>
    </row>
    <row r="71" spans="2:7">
      <c r="B71" s="65" t="s">
        <v>67</v>
      </c>
      <c r="C71" s="12">
        <v>8</v>
      </c>
      <c r="D71" s="135">
        <f>+F57</f>
        <v>733.14606741573027</v>
      </c>
      <c r="E71" s="79"/>
      <c r="F71" s="134">
        <f t="shared" si="4"/>
        <v>750.59999999999991</v>
      </c>
    </row>
    <row r="72" spans="2:7">
      <c r="B72" s="65" t="s">
        <v>68</v>
      </c>
      <c r="C72" s="12">
        <v>9</v>
      </c>
      <c r="D72" s="135">
        <f>+C58</f>
        <v>803.2670454545455</v>
      </c>
      <c r="E72" s="79"/>
      <c r="F72" s="134">
        <f t="shared" si="4"/>
        <v>767.5</v>
      </c>
    </row>
    <row r="73" spans="2:7">
      <c r="B73" s="65" t="s">
        <v>69</v>
      </c>
      <c r="C73" s="12">
        <v>10</v>
      </c>
      <c r="D73" s="135">
        <f>+D58</f>
        <v>802.25409836065569</v>
      </c>
      <c r="E73" s="79"/>
      <c r="F73" s="134">
        <f t="shared" si="4"/>
        <v>784.4</v>
      </c>
    </row>
    <row r="74" spans="2:7">
      <c r="B74" s="65" t="s">
        <v>70</v>
      </c>
      <c r="C74" s="12">
        <v>11</v>
      </c>
      <c r="D74" s="135">
        <f>+E58</f>
        <v>799.63235294117646</v>
      </c>
      <c r="E74" s="79"/>
      <c r="F74" s="134">
        <f t="shared" si="4"/>
        <v>801.3</v>
      </c>
    </row>
    <row r="75" spans="2:7" ht="15.75" thickBot="1">
      <c r="B75" s="67" t="s">
        <v>71</v>
      </c>
      <c r="C75" s="136">
        <v>12</v>
      </c>
      <c r="D75" s="137">
        <f>+F58</f>
        <v>794.24157303370782</v>
      </c>
      <c r="E75" s="79"/>
      <c r="F75" s="134">
        <f t="shared" si="4"/>
        <v>818.19999999999993</v>
      </c>
    </row>
    <row r="76" spans="2:7">
      <c r="B76" s="138" t="s">
        <v>72</v>
      </c>
      <c r="C76" s="138">
        <v>13</v>
      </c>
      <c r="F76" s="139">
        <f t="shared" si="4"/>
        <v>835.09999999999991</v>
      </c>
    </row>
    <row r="77" spans="2:7">
      <c r="B77" s="140" t="s">
        <v>73</v>
      </c>
      <c r="C77" s="140">
        <v>14</v>
      </c>
      <c r="F77" s="141">
        <f t="shared" si="4"/>
        <v>852</v>
      </c>
    </row>
    <row r="78" spans="2:7">
      <c r="B78" s="140" t="s">
        <v>74</v>
      </c>
      <c r="C78" s="140">
        <v>15</v>
      </c>
      <c r="F78" s="141">
        <f t="shared" si="4"/>
        <v>868.9</v>
      </c>
    </row>
    <row r="79" spans="2:7" ht="15.75" thickBot="1">
      <c r="B79" s="142" t="s">
        <v>75</v>
      </c>
      <c r="C79" s="142">
        <v>16</v>
      </c>
      <c r="F79" s="143">
        <f t="shared" si="4"/>
        <v>885.8</v>
      </c>
    </row>
    <row r="80" spans="2:7" ht="15.75" thickBot="1"/>
    <row r="81" spans="2:7" ht="15.75" thickBot="1">
      <c r="B81" s="144" t="s">
        <v>41</v>
      </c>
      <c r="C81" s="145">
        <v>16.899999999999999</v>
      </c>
      <c r="D81" s="120"/>
      <c r="E81" s="146" t="s">
        <v>42</v>
      </c>
      <c r="F81" s="147">
        <v>615.4</v>
      </c>
    </row>
    <row r="86" spans="2:7" ht="15.75">
      <c r="B86" s="102" t="s">
        <v>76</v>
      </c>
    </row>
    <row r="87" spans="2:7" ht="16.5" thickBot="1">
      <c r="B87" s="102"/>
    </row>
    <row r="88" spans="2:7">
      <c r="B88" s="148"/>
      <c r="C88" s="149" t="s">
        <v>77</v>
      </c>
      <c r="D88" s="150" t="s">
        <v>77</v>
      </c>
      <c r="E88" s="151" t="s">
        <v>77</v>
      </c>
      <c r="F88" s="152"/>
      <c r="G88" s="153"/>
    </row>
    <row r="89" spans="2:7" ht="15.75" thickBot="1">
      <c r="B89" s="154"/>
      <c r="C89" s="155" t="s">
        <v>78</v>
      </c>
      <c r="D89" s="156" t="s">
        <v>79</v>
      </c>
      <c r="E89" s="157" t="s">
        <v>80</v>
      </c>
      <c r="F89" s="158"/>
      <c r="G89" s="153"/>
    </row>
    <row r="90" spans="2:7">
      <c r="B90" s="159" t="s">
        <v>72</v>
      </c>
      <c r="C90" s="160">
        <f>+C50</f>
        <v>0.80919540229885056</v>
      </c>
      <c r="D90" s="161">
        <v>835.1</v>
      </c>
      <c r="E90" s="162">
        <f>+C90*D90</f>
        <v>675.75908045977008</v>
      </c>
      <c r="F90" s="163"/>
      <c r="G90" s="153"/>
    </row>
    <row r="91" spans="2:7">
      <c r="B91" s="159" t="s">
        <v>73</v>
      </c>
      <c r="C91" s="160">
        <f>+D50</f>
        <v>1.1218390804597702</v>
      </c>
      <c r="D91" s="161">
        <v>852</v>
      </c>
      <c r="E91" s="164">
        <f>+C91*D91</f>
        <v>955.80689655172421</v>
      </c>
      <c r="F91" s="163"/>
      <c r="G91" s="153"/>
    </row>
    <row r="92" spans="2:7">
      <c r="B92" s="159" t="s">
        <v>74</v>
      </c>
      <c r="C92" s="160">
        <f>+E50</f>
        <v>1.2505747126436781</v>
      </c>
      <c r="D92" s="161">
        <v>868.9</v>
      </c>
      <c r="E92" s="164">
        <f>+C92*D92</f>
        <v>1086.624367816092</v>
      </c>
      <c r="F92" s="163"/>
      <c r="G92" s="153"/>
    </row>
    <row r="93" spans="2:7" ht="15.75" thickBot="1">
      <c r="B93" s="165" t="s">
        <v>75</v>
      </c>
      <c r="C93" s="166">
        <f>+F50</f>
        <v>0.81839080459770119</v>
      </c>
      <c r="D93" s="167">
        <v>885.8</v>
      </c>
      <c r="E93" s="168">
        <f>+C93*D93</f>
        <v>724.93057471264365</v>
      </c>
      <c r="F93" s="169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0"/>
  <sheetViews>
    <sheetView tabSelected="1" topLeftCell="A28" workbookViewId="0">
      <selection activeCell="A56" sqref="A56"/>
    </sheetView>
  </sheetViews>
  <sheetFormatPr baseColWidth="10" defaultRowHeight="15"/>
  <cols>
    <col min="2" max="2" width="8.42578125" customWidth="1"/>
    <col min="3" max="3" width="12.28515625" bestFit="1" customWidth="1"/>
    <col min="4" max="7" width="17.5703125" bestFit="1" customWidth="1"/>
    <col min="8" max="8" width="37.85546875" bestFit="1" customWidth="1"/>
  </cols>
  <sheetData>
    <row r="1" spans="1:8">
      <c r="A1" t="s">
        <v>102</v>
      </c>
    </row>
    <row r="2" spans="1:8">
      <c r="A2" t="s">
        <v>101</v>
      </c>
    </row>
    <row r="3" spans="1:8" ht="15.75">
      <c r="B3" s="1" t="s">
        <v>0</v>
      </c>
    </row>
    <row r="4" spans="1:8">
      <c r="B4" s="2"/>
      <c r="C4" s="3"/>
      <c r="D4" s="3"/>
      <c r="E4" s="4"/>
      <c r="F4" s="4" t="s">
        <v>1</v>
      </c>
      <c r="G4" s="4"/>
      <c r="H4" s="5"/>
    </row>
    <row r="5" spans="1:8">
      <c r="B5" s="6"/>
      <c r="C5" s="7" t="s">
        <v>2</v>
      </c>
      <c r="D5" s="7" t="s">
        <v>3</v>
      </c>
      <c r="E5" s="7" t="s">
        <v>96</v>
      </c>
      <c r="F5" s="7" t="s">
        <v>3</v>
      </c>
      <c r="G5" s="7"/>
      <c r="H5" s="6"/>
    </row>
    <row r="6" spans="1:8">
      <c r="B6" s="6" t="s">
        <v>4</v>
      </c>
      <c r="C6" s="8" t="s">
        <v>5</v>
      </c>
      <c r="D6" s="8" t="s">
        <v>6</v>
      </c>
      <c r="E6" s="8" t="s">
        <v>6</v>
      </c>
      <c r="F6" s="8" t="s">
        <v>7</v>
      </c>
      <c r="G6" s="8" t="s">
        <v>8</v>
      </c>
      <c r="H6" s="9" t="s">
        <v>97</v>
      </c>
    </row>
    <row r="7" spans="1:8">
      <c r="B7" s="6"/>
      <c r="C7" s="10"/>
      <c r="D7" s="11"/>
      <c r="E7" s="11"/>
      <c r="F7" s="11"/>
      <c r="G7" s="11"/>
      <c r="H7" s="11"/>
    </row>
    <row r="8" spans="1:8">
      <c r="B8" s="6"/>
      <c r="C8" s="12"/>
      <c r="D8" s="13"/>
      <c r="E8" s="13"/>
      <c r="F8" s="13"/>
      <c r="G8" s="13"/>
      <c r="H8" s="13"/>
    </row>
    <row r="9" spans="1:8">
      <c r="B9" s="6"/>
      <c r="C9" s="12"/>
      <c r="D9" s="13"/>
      <c r="E9" s="13"/>
      <c r="F9" s="13"/>
      <c r="G9" s="13"/>
      <c r="H9" s="13"/>
    </row>
    <row r="10" spans="1:8">
      <c r="B10" s="6"/>
      <c r="C10" s="12"/>
      <c r="D10" s="13"/>
      <c r="E10" s="13"/>
      <c r="F10" s="13"/>
      <c r="G10" s="13"/>
      <c r="H10" s="13"/>
    </row>
    <row r="11" spans="1:8">
      <c r="B11" s="6"/>
      <c r="C11" s="12"/>
      <c r="D11" s="13"/>
      <c r="E11" s="13"/>
      <c r="F11" s="13"/>
      <c r="G11" s="13"/>
      <c r="H11" s="13"/>
    </row>
    <row r="12" spans="1:8">
      <c r="B12" s="6">
        <v>1</v>
      </c>
      <c r="C12" s="12">
        <v>10</v>
      </c>
      <c r="D12" s="13"/>
      <c r="E12" s="13"/>
      <c r="F12" s="13"/>
      <c r="G12" s="13"/>
      <c r="H12" s="13"/>
    </row>
    <row r="13" spans="1:8">
      <c r="B13" s="6">
        <v>2</v>
      </c>
      <c r="C13" s="12">
        <v>12</v>
      </c>
      <c r="D13" s="13"/>
      <c r="E13" s="13"/>
      <c r="F13" s="13"/>
      <c r="G13" s="13"/>
      <c r="H13" s="13"/>
    </row>
    <row r="14" spans="1:8">
      <c r="B14" s="6">
        <v>3</v>
      </c>
      <c r="C14" s="12">
        <v>13</v>
      </c>
      <c r="D14" s="13"/>
      <c r="E14" s="13"/>
      <c r="F14" s="13"/>
      <c r="G14" s="13"/>
      <c r="H14" s="13"/>
    </row>
    <row r="15" spans="1:8">
      <c r="B15" s="6">
        <v>4</v>
      </c>
      <c r="C15" s="12">
        <v>16</v>
      </c>
      <c r="D15" s="13">
        <f>+SUM(C12:C14)/3</f>
        <v>11.666666666666666</v>
      </c>
      <c r="E15" s="13">
        <f>+SUM((1/6)*C12,(1/3)*C13, (1/2)*C14)</f>
        <v>12.166666666666666</v>
      </c>
      <c r="F15" s="13"/>
      <c r="G15" s="13"/>
      <c r="H15" s="13"/>
    </row>
    <row r="16" spans="1:8">
      <c r="B16" s="6">
        <v>5</v>
      </c>
      <c r="C16" s="12">
        <v>19</v>
      </c>
      <c r="D16" s="13">
        <f t="shared" ref="D16:D22" si="0">+SUM(C13:C15)/3</f>
        <v>13.666666666666666</v>
      </c>
      <c r="E16" s="13">
        <f t="shared" ref="E16:E22" si="1">+SUM((1/6)*C13,(1/3)*C14, (1/2)*C15)</f>
        <v>14.333333333333332</v>
      </c>
      <c r="F16" s="13"/>
      <c r="G16" s="13"/>
      <c r="H16" s="13"/>
    </row>
    <row r="17" spans="2:9">
      <c r="B17" s="6">
        <v>6</v>
      </c>
      <c r="C17" s="12">
        <v>23</v>
      </c>
      <c r="D17" s="13">
        <f t="shared" si="0"/>
        <v>16</v>
      </c>
      <c r="E17" s="13">
        <f t="shared" si="1"/>
        <v>17</v>
      </c>
      <c r="F17" s="13">
        <f>+SUM(C12:C16)/5</f>
        <v>14</v>
      </c>
      <c r="G17" s="13"/>
      <c r="H17" s="13"/>
    </row>
    <row r="18" spans="2:9">
      <c r="B18" s="6">
        <v>7</v>
      </c>
      <c r="C18" s="12">
        <v>26</v>
      </c>
      <c r="D18" s="13">
        <f t="shared" si="0"/>
        <v>19.333333333333332</v>
      </c>
      <c r="E18" s="13">
        <f t="shared" si="1"/>
        <v>20.5</v>
      </c>
      <c r="F18" s="13">
        <f t="shared" ref="F18:F22" si="2">+SUM(C13:C17)/5</f>
        <v>16.600000000000001</v>
      </c>
      <c r="G18" s="13"/>
      <c r="H18" s="13"/>
    </row>
    <row r="19" spans="2:9">
      <c r="B19" s="6">
        <v>8</v>
      </c>
      <c r="C19" s="12">
        <v>30</v>
      </c>
      <c r="D19" s="13">
        <f t="shared" si="0"/>
        <v>22.666666666666668</v>
      </c>
      <c r="E19" s="13">
        <f t="shared" si="1"/>
        <v>23.833333333333332</v>
      </c>
      <c r="F19" s="13">
        <f t="shared" si="2"/>
        <v>19.399999999999999</v>
      </c>
      <c r="G19" s="13">
        <f t="shared" ref="G19:G23" si="3">+SUM(C12:C18)/7</f>
        <v>17</v>
      </c>
      <c r="H19" s="13"/>
    </row>
    <row r="20" spans="2:9">
      <c r="B20" s="6">
        <v>9</v>
      </c>
      <c r="C20" s="12">
        <v>28</v>
      </c>
      <c r="D20" s="13">
        <f t="shared" si="0"/>
        <v>26.333333333333332</v>
      </c>
      <c r="E20" s="13">
        <f t="shared" si="1"/>
        <v>27.5</v>
      </c>
      <c r="F20" s="13">
        <f t="shared" si="2"/>
        <v>22.8</v>
      </c>
      <c r="G20" s="13">
        <f t="shared" si="3"/>
        <v>19.857142857142858</v>
      </c>
      <c r="H20" s="13"/>
    </row>
    <row r="21" spans="2:9">
      <c r="B21" s="6">
        <v>10</v>
      </c>
      <c r="C21" s="12">
        <v>18</v>
      </c>
      <c r="D21" s="13">
        <f t="shared" si="0"/>
        <v>28</v>
      </c>
      <c r="E21" s="13">
        <f t="shared" si="1"/>
        <v>28.333333333333332</v>
      </c>
      <c r="F21" s="13">
        <f t="shared" si="2"/>
        <v>25.2</v>
      </c>
      <c r="G21" s="13">
        <f t="shared" si="3"/>
        <v>22.142857142857142</v>
      </c>
      <c r="H21" s="13">
        <f t="shared" ref="H21:H23" si="4">+SUM(C12:C20)/9</f>
        <v>19.666666666666668</v>
      </c>
    </row>
    <row r="22" spans="2:9">
      <c r="B22" s="6">
        <v>11</v>
      </c>
      <c r="C22" s="12">
        <v>16</v>
      </c>
      <c r="D22" s="13">
        <f t="shared" si="0"/>
        <v>25.333333333333332</v>
      </c>
      <c r="E22" s="13">
        <f t="shared" si="1"/>
        <v>23.333333333333332</v>
      </c>
      <c r="F22" s="13">
        <f t="shared" si="2"/>
        <v>25</v>
      </c>
      <c r="G22" s="13">
        <f t="shared" si="3"/>
        <v>22.857142857142858</v>
      </c>
      <c r="H22" s="13">
        <f t="shared" si="4"/>
        <v>20.555555555555557</v>
      </c>
    </row>
    <row r="23" spans="2:9">
      <c r="B23" s="9">
        <v>12</v>
      </c>
      <c r="C23" s="12">
        <v>14</v>
      </c>
      <c r="D23" s="13">
        <f>+SUM(C20:C22)/3</f>
        <v>20.666666666666668</v>
      </c>
      <c r="E23" s="13">
        <f>+SUM((1/6)*C20,(1/3)*C21, (1/2)*C22)</f>
        <v>18.666666666666664</v>
      </c>
      <c r="F23" s="13">
        <f>+SUM(C18:C22)/5</f>
        <v>23.6</v>
      </c>
      <c r="G23" s="13">
        <f t="shared" si="3"/>
        <v>22.857142857142858</v>
      </c>
      <c r="H23" s="13">
        <f t="shared" si="4"/>
        <v>21</v>
      </c>
    </row>
    <row r="26" spans="2:9">
      <c r="B26" s="230"/>
      <c r="C26" s="230"/>
      <c r="D26" s="230"/>
      <c r="E26" s="230"/>
      <c r="F26" s="230"/>
      <c r="G26" s="230"/>
      <c r="H26" s="230"/>
      <c r="I26" s="230"/>
    </row>
    <row r="27" spans="2:9">
      <c r="B27" t="s">
        <v>98</v>
      </c>
      <c r="C27" s="230"/>
      <c r="D27" s="230"/>
      <c r="E27" s="230"/>
      <c r="F27" s="230"/>
      <c r="G27" s="230"/>
      <c r="H27" s="230"/>
      <c r="I27" s="230"/>
    </row>
    <row r="28" spans="2:9">
      <c r="B28" t="s">
        <v>99</v>
      </c>
      <c r="C28" s="71"/>
      <c r="D28" s="71"/>
      <c r="E28" s="71"/>
      <c r="F28" s="71"/>
      <c r="G28" s="71"/>
      <c r="H28" s="71"/>
      <c r="I28" s="230"/>
    </row>
    <row r="29" spans="2:9">
      <c r="B29" s="71"/>
      <c r="C29" s="71"/>
      <c r="D29" s="231"/>
      <c r="E29" s="231"/>
      <c r="F29" s="231"/>
      <c r="G29" s="231"/>
      <c r="H29" s="231"/>
      <c r="I29" s="230"/>
    </row>
    <row r="30" spans="2:9">
      <c r="B30" s="71"/>
      <c r="C30" s="71"/>
      <c r="D30" s="71"/>
      <c r="E30" s="71"/>
      <c r="F30" s="71"/>
      <c r="G30" s="71"/>
      <c r="H30" s="71"/>
      <c r="I30" s="230"/>
    </row>
    <row r="31" spans="2:9">
      <c r="B31" s="71"/>
      <c r="C31" s="71"/>
      <c r="D31" s="232"/>
      <c r="E31" s="232"/>
      <c r="F31" s="232"/>
      <c r="G31" s="232"/>
      <c r="H31" s="232"/>
      <c r="I31" s="230"/>
    </row>
    <row r="34" spans="1:9">
      <c r="A34" t="s">
        <v>103</v>
      </c>
    </row>
    <row r="38" spans="1:9">
      <c r="B38" s="2"/>
      <c r="C38" s="16"/>
      <c r="D38" s="4" t="s">
        <v>1</v>
      </c>
      <c r="E38" s="5"/>
      <c r="F38" s="4"/>
      <c r="G38" s="5"/>
      <c r="H38" s="4" t="s">
        <v>1</v>
      </c>
      <c r="I38" s="17"/>
    </row>
    <row r="39" spans="1:9">
      <c r="B39" s="6"/>
      <c r="C39" s="7" t="s">
        <v>105</v>
      </c>
      <c r="D39" s="14" t="s">
        <v>10</v>
      </c>
      <c r="E39" s="18" t="s">
        <v>11</v>
      </c>
      <c r="F39" s="19"/>
      <c r="G39" s="18"/>
      <c r="H39" s="19" t="s">
        <v>10</v>
      </c>
      <c r="I39" s="18" t="s">
        <v>11</v>
      </c>
    </row>
    <row r="40" spans="1:9">
      <c r="B40" s="6" t="s">
        <v>104</v>
      </c>
      <c r="C40" s="8" t="s">
        <v>106</v>
      </c>
      <c r="D40" s="9">
        <v>0.1</v>
      </c>
      <c r="E40" s="20" t="s">
        <v>12</v>
      </c>
      <c r="F40" s="9"/>
      <c r="G40" s="20"/>
      <c r="H40" s="9">
        <v>0.5</v>
      </c>
      <c r="I40" s="20" t="s">
        <v>12</v>
      </c>
    </row>
    <row r="41" spans="1:9">
      <c r="B41" s="6">
        <v>1</v>
      </c>
      <c r="C41" s="12">
        <v>180</v>
      </c>
      <c r="D41" s="22">
        <v>175</v>
      </c>
      <c r="E41" s="11">
        <f t="shared" ref="E41:E48" si="5">+ABS($C41-D41)</f>
        <v>5</v>
      </c>
      <c r="F41" s="22"/>
      <c r="G41" s="11"/>
      <c r="H41" s="22">
        <v>175</v>
      </c>
      <c r="I41" s="11">
        <f t="shared" ref="I41:I48" si="6">+ABS($C41-H41)</f>
        <v>5</v>
      </c>
    </row>
    <row r="42" spans="1:9">
      <c r="B42" s="6">
        <v>2</v>
      </c>
      <c r="C42" s="12">
        <v>168</v>
      </c>
      <c r="D42" s="13">
        <f>+$D$52*C41+(1-$D$52)*D41</f>
        <v>175</v>
      </c>
      <c r="E42" s="11">
        <f t="shared" si="5"/>
        <v>7</v>
      </c>
      <c r="F42" s="13"/>
      <c r="G42" s="11"/>
      <c r="H42" s="13">
        <f>+$H$52*C41+(1-$H$52)*H41</f>
        <v>175</v>
      </c>
      <c r="I42" s="11">
        <f t="shared" si="6"/>
        <v>7</v>
      </c>
    </row>
    <row r="43" spans="1:9">
      <c r="B43" s="6">
        <v>3</v>
      </c>
      <c r="C43" s="12">
        <v>159</v>
      </c>
      <c r="D43" s="13">
        <f t="shared" ref="D43:D48" si="7">+$D$52*C42+(1-$D$52)*D42</f>
        <v>175</v>
      </c>
      <c r="E43" s="11">
        <f t="shared" si="5"/>
        <v>16</v>
      </c>
      <c r="F43" s="13"/>
      <c r="G43" s="11"/>
      <c r="H43" s="13">
        <f t="shared" ref="H43:H48" si="8">+$H$52*C42+(1-$H$52)*H42</f>
        <v>175</v>
      </c>
      <c r="I43" s="11">
        <f t="shared" si="6"/>
        <v>16</v>
      </c>
    </row>
    <row r="44" spans="1:9">
      <c r="B44" s="6">
        <v>4</v>
      </c>
      <c r="C44" s="12">
        <v>175</v>
      </c>
      <c r="D44" s="13">
        <f t="shared" si="7"/>
        <v>175</v>
      </c>
      <c r="E44" s="11">
        <f t="shared" si="5"/>
        <v>0</v>
      </c>
      <c r="F44" s="13"/>
      <c r="G44" s="11"/>
      <c r="H44" s="13">
        <f t="shared" si="8"/>
        <v>175</v>
      </c>
      <c r="I44" s="11">
        <f t="shared" si="6"/>
        <v>0</v>
      </c>
    </row>
    <row r="45" spans="1:9">
      <c r="B45" s="6">
        <v>5</v>
      </c>
      <c r="C45" s="12">
        <v>190</v>
      </c>
      <c r="D45" s="13">
        <f t="shared" si="7"/>
        <v>175</v>
      </c>
      <c r="E45" s="11">
        <f t="shared" si="5"/>
        <v>15</v>
      </c>
      <c r="F45" s="13"/>
      <c r="G45" s="11"/>
      <c r="H45" s="13">
        <f t="shared" si="8"/>
        <v>175</v>
      </c>
      <c r="I45" s="11">
        <f t="shared" si="6"/>
        <v>15</v>
      </c>
    </row>
    <row r="46" spans="1:9">
      <c r="B46" s="6">
        <v>6</v>
      </c>
      <c r="C46" s="12">
        <v>205</v>
      </c>
      <c r="D46" s="13">
        <f t="shared" si="7"/>
        <v>175</v>
      </c>
      <c r="E46" s="11">
        <f t="shared" si="5"/>
        <v>30</v>
      </c>
      <c r="F46" s="13"/>
      <c r="G46" s="11"/>
      <c r="H46" s="13">
        <f t="shared" si="8"/>
        <v>175</v>
      </c>
      <c r="I46" s="11">
        <f t="shared" si="6"/>
        <v>30</v>
      </c>
    </row>
    <row r="47" spans="1:9">
      <c r="B47" s="6">
        <v>7</v>
      </c>
      <c r="C47" s="12">
        <v>180</v>
      </c>
      <c r="D47" s="13">
        <f t="shared" si="7"/>
        <v>175</v>
      </c>
      <c r="E47" s="11">
        <f t="shared" si="5"/>
        <v>5</v>
      </c>
      <c r="F47" s="13"/>
      <c r="G47" s="11"/>
      <c r="H47" s="13">
        <f t="shared" si="8"/>
        <v>175</v>
      </c>
      <c r="I47" s="11">
        <f t="shared" si="6"/>
        <v>5</v>
      </c>
    </row>
    <row r="48" spans="1:9">
      <c r="B48" s="6">
        <v>8</v>
      </c>
      <c r="C48" s="12">
        <v>182</v>
      </c>
      <c r="D48" s="13">
        <f t="shared" si="7"/>
        <v>175</v>
      </c>
      <c r="E48" s="11">
        <f t="shared" si="5"/>
        <v>7</v>
      </c>
      <c r="F48" s="13"/>
      <c r="G48" s="11"/>
      <c r="H48" s="13">
        <f t="shared" si="8"/>
        <v>175</v>
      </c>
      <c r="I48" s="11">
        <f t="shared" si="6"/>
        <v>7</v>
      </c>
    </row>
    <row r="49" spans="2:9">
      <c r="B49" s="6"/>
      <c r="C49" s="12"/>
      <c r="D49" s="13"/>
      <c r="E49" s="11"/>
      <c r="F49" s="13"/>
      <c r="G49" s="11"/>
      <c r="H49" s="13"/>
      <c r="I49" s="11"/>
    </row>
    <row r="50" spans="2:9">
      <c r="B50" s="9"/>
      <c r="C50" s="12"/>
      <c r="D50" s="13"/>
      <c r="E50" s="11"/>
      <c r="F50" s="13"/>
      <c r="G50" s="11"/>
      <c r="H50" s="13"/>
      <c r="I50" s="11"/>
    </row>
    <row r="52" spans="2:9">
      <c r="B52" s="23" t="s">
        <v>100</v>
      </c>
      <c r="C52" s="23"/>
      <c r="D52" s="23"/>
      <c r="E52" s="24">
        <f>+SUM(E41:E50)/8</f>
        <v>10.625</v>
      </c>
      <c r="F52" s="25"/>
      <c r="G52" s="24"/>
      <c r="H52" s="25"/>
      <c r="I52" s="24">
        <f>+SUM(I41:I50)/8</f>
        <v>10.625</v>
      </c>
    </row>
    <row r="53" spans="2:9">
      <c r="B53" s="23"/>
      <c r="C53" s="23"/>
      <c r="D53" s="23"/>
      <c r="E53" s="26"/>
      <c r="F53" s="25"/>
      <c r="G53" s="26"/>
      <c r="H53" s="25"/>
      <c r="I53" s="26"/>
    </row>
    <row r="57" spans="2:9" ht="15.75">
      <c r="B57" s="1"/>
    </row>
    <row r="58" spans="2:9">
      <c r="B58" t="s">
        <v>107</v>
      </c>
      <c r="C58" s="230"/>
      <c r="D58" s="230"/>
      <c r="E58" s="230"/>
      <c r="F58" s="230"/>
      <c r="G58" s="230"/>
    </row>
    <row r="59" spans="2:9" ht="15.75">
      <c r="B59" s="233"/>
      <c r="C59" s="230"/>
      <c r="D59" s="71"/>
      <c r="E59" s="71"/>
      <c r="F59" s="71"/>
      <c r="G59" s="230"/>
    </row>
    <row r="60" spans="2:9" ht="15.75">
      <c r="B60" s="233"/>
      <c r="C60" s="231"/>
      <c r="D60" s="231"/>
      <c r="E60" s="231"/>
      <c r="F60" s="231"/>
      <c r="G60" s="23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ExpSmoothing</vt:lpstr>
      <vt:lpstr>Winters</vt:lpstr>
      <vt:lpstr>LinRegression</vt:lpstr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Raimond Wüst</dc:creator>
  <cp:lastModifiedBy>Nicolas</cp:lastModifiedBy>
  <dcterms:created xsi:type="dcterms:W3CDTF">2017-04-08T08:28:27Z</dcterms:created>
  <dcterms:modified xsi:type="dcterms:W3CDTF">2017-06-14T06:16:56Z</dcterms:modified>
</cp:coreProperties>
</file>