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A70B355-2A2F-084D-8796-37C9FC78B661}" xr6:coauthVersionLast="47" xr6:coauthVersionMax="47" xr10:uidLastSave="{00000000-0000-0000-0000-000000000000}"/>
  <bookViews>
    <workbookView xWindow="3420" yWindow="2600" windowWidth="30240" windowHeight="16320" xr2:uid="{00000000-000D-0000-FFFF-FFFF00000000}"/>
  </bookViews>
  <sheets>
    <sheet name="graphite" sheetId="1" r:id="rId1"/>
  </sheets>
  <definedNames>
    <definedName name="_xlnm._FilterDatabase" localSheetId="0" hidden="1">graphite!$A$1:$H$101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83" i="1" l="1"/>
  <c r="B81" i="1"/>
  <c r="B119" i="1"/>
  <c r="B118" i="1"/>
  <c r="B117" i="1"/>
  <c r="B116" i="1"/>
  <c r="B115" i="1"/>
  <c r="B114" i="1"/>
  <c r="B113" i="1"/>
  <c r="B148" i="1"/>
  <c r="B147" i="1"/>
  <c r="B181" i="1"/>
  <c r="B21" i="1"/>
  <c r="B134" i="1"/>
  <c r="B133" i="1"/>
  <c r="B132" i="1"/>
  <c r="B14" i="1"/>
  <c r="B15" i="1"/>
  <c r="B16" i="1"/>
  <c r="B17" i="1"/>
  <c r="B18" i="1"/>
  <c r="B19" i="1"/>
  <c r="B20" i="1"/>
  <c r="B22" i="1"/>
  <c r="B23" i="1"/>
  <c r="B35" i="1"/>
  <c r="B36" i="1"/>
  <c r="B37" i="1"/>
  <c r="B38" i="1"/>
  <c r="B39" i="1"/>
  <c r="B40" i="1"/>
  <c r="B41" i="1"/>
  <c r="B42" i="1"/>
  <c r="B43" i="1"/>
  <c r="B44" i="1"/>
  <c r="B45" i="1"/>
  <c r="B46" i="1"/>
  <c r="B47" i="1"/>
  <c r="B59" i="1"/>
  <c r="B60" i="1"/>
  <c r="B61" i="1"/>
  <c r="B73" i="1"/>
  <c r="B74" i="1"/>
  <c r="B75" i="1"/>
  <c r="B76" i="1"/>
  <c r="B83" i="1" s="1"/>
  <c r="B77" i="1"/>
  <c r="B78" i="1"/>
  <c r="B79" i="1"/>
  <c r="B80" i="1"/>
  <c r="B82" i="1"/>
  <c r="B95" i="1"/>
  <c r="B96" i="1"/>
  <c r="B97" i="1"/>
  <c r="B98" i="1"/>
  <c r="B99" i="1"/>
  <c r="B100" i="1"/>
  <c r="B101" i="1"/>
</calcChain>
</file>

<file path=xl/sharedStrings.xml><?xml version="1.0" encoding="utf-8"?>
<sst xmlns="http://schemas.openxmlformats.org/spreadsheetml/2006/main" count="650" uniqueCount="148">
  <si>
    <t>Activity</t>
  </si>
  <si>
    <t>comment</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</si>
  <si>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</si>
  <si>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</si>
  <si>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</si>
  <si>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</si>
  <si>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</si>
  <si>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</si>
  <si>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</si>
  <si>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</si>
  <si>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</si>
  <si>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</si>
  <si>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</si>
  <si>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</si>
  <si>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</si>
  <si>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</si>
  <si>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</si>
  <si>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</si>
  <si>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</si>
  <si>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</si>
  <si>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</si>
  <si>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</si>
  <si>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</si>
  <si>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</si>
  <si>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megajoule</t>
  </si>
  <si>
    <t>heat, district or industrial, natural gas</t>
  </si>
  <si>
    <t>categories</t>
  </si>
  <si>
    <t>Carbon dioxide, fossil</t>
  </si>
  <si>
    <t>air</t>
  </si>
  <si>
    <t>biosphere</t>
  </si>
  <si>
    <t>Water</t>
  </si>
  <si>
    <t>cubic meter</t>
  </si>
  <si>
    <t>CN</t>
  </si>
  <si>
    <t>market for wastewater, average</t>
  </si>
  <si>
    <t>wastewater, average</t>
  </si>
  <si>
    <t>Europe without Switzerland</t>
  </si>
  <si>
    <t>market for hydrochloric acid, without water, in 30% solution state</t>
  </si>
  <si>
    <t>hydrochloric acid, without water, in 30% solution state</t>
  </si>
  <si>
    <t>market for nitrogen, liquid</t>
  </si>
  <si>
    <t>nitrogen, liquid</t>
  </si>
  <si>
    <t>Nitrogen</t>
  </si>
  <si>
    <t>database</t>
  </si>
  <si>
    <t>natural graphite, coated</t>
  </si>
  <si>
    <t>Engels P, Cerdas F, Dettmer T, Frey C, Hentschel J, Herrmann C, et al. Life cycle assessment of natural graphite production for lithium-ion battery anodes based on industrial primary data. J Clean Prod 2022;336:130474. https://doi.org/10.1016/J.JCLEPRO.2022.130474.</t>
  </si>
  <si>
    <t>pitch supply (750 km)</t>
  </si>
  <si>
    <t>graphite sent from plant (1780 km)</t>
  </si>
  <si>
    <t>4550 kWh/t</t>
  </si>
  <si>
    <t>market for diesel, burned in building machine</t>
  </si>
  <si>
    <t>diesel, burned in building machine</t>
  </si>
  <si>
    <t>0.249 kg/t, for forklift</t>
  </si>
  <si>
    <t>1.5 kg/t</t>
  </si>
  <si>
    <t>graphite purification</t>
  </si>
  <si>
    <t>graphite, purified</t>
  </si>
  <si>
    <t>1010 purified graphite/t</t>
  </si>
  <si>
    <t>market for pitch</t>
  </si>
  <si>
    <t>pitch</t>
  </si>
  <si>
    <t>50 kg pitch oil/t</t>
  </si>
  <si>
    <t>64.407 kg CO2/t</t>
  </si>
  <si>
    <t>1.5 kg N/t</t>
  </si>
  <si>
    <t>305 kWh/t</t>
  </si>
  <si>
    <t>market for natural gas, high pressure</t>
  </si>
  <si>
    <t>natural gas, high pressure</t>
  </si>
  <si>
    <t>1050 MJ/t, 38.3 MJ/m3</t>
  </si>
  <si>
    <t>hydrogen fluoride production</t>
  </si>
  <si>
    <t>hydrogen fluoride</t>
  </si>
  <si>
    <t>180 kg/t. Original "hydrofluoric acid". Used "hydrogen fluoride" as proxy.</t>
  </si>
  <si>
    <t>200 kg/t</t>
  </si>
  <si>
    <t>market for nitric acid, without water, in 50% solution state</t>
  </si>
  <si>
    <t>nitric acid, without water, in 50% solution state</t>
  </si>
  <si>
    <t>100 kg/t</t>
  </si>
  <si>
    <t>25 m3/t</t>
  </si>
  <si>
    <t>market for lime</t>
  </si>
  <si>
    <t>lime</t>
  </si>
  <si>
    <t>400 kg/t</t>
  </si>
  <si>
    <t>transport o fhydrogen fluoride to plant</t>
  </si>
  <si>
    <t>natural graphite spheronization</t>
  </si>
  <si>
    <t>graphite, spherical</t>
  </si>
  <si>
    <t>320.145 kg, as steam to air</t>
  </si>
  <si>
    <t>2100 kWh/t</t>
  </si>
  <si>
    <t>0.415 kg/t, for forklift</t>
  </si>
  <si>
    <t>natural graphite concentration</t>
  </si>
  <si>
    <t>graphite ore, concentrated</t>
  </si>
  <si>
    <t>2220 kg/t</t>
  </si>
  <si>
    <t>506 kWh/t</t>
  </si>
  <si>
    <t>0.996 kg/t, for bulldozer</t>
  </si>
  <si>
    <t>market for hard coal</t>
  </si>
  <si>
    <t>hard coal</t>
  </si>
  <si>
    <t>50 kg/t, for drying the concentrate</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</si>
  <si>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</si>
  <si>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</si>
  <si>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</si>
  <si>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</si>
  <si>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</si>
  <si>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</si>
  <si>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</si>
  <si>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</si>
  <si>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</si>
  <si>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</si>
  <si>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</si>
  <si>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8.7 kWh/t</t>
  </si>
  <si>
    <t>2.241 kg diesel/t, 43.4 MJ/kg</t>
  </si>
  <si>
    <t>market for explosive, tovex</t>
  </si>
  <si>
    <t>explosive, tovex</t>
  </si>
  <si>
    <t>0.248 kg/t. Originally, "ammonium nitrate" is used.</t>
  </si>
  <si>
    <t>From diesel</t>
  </si>
  <si>
    <t>From explosives</t>
  </si>
  <si>
    <t>Nitrogen oxides</t>
  </si>
  <si>
    <t>Particulates, &gt; 10 um</t>
  </si>
  <si>
    <t>Originally, it says "Graphite dust"</t>
  </si>
  <si>
    <t>natural resource::in ground</t>
  </si>
  <si>
    <t>market for transport, freight, sea, bulk carrier for dry goods</t>
  </si>
  <si>
    <t>transport, freight, sea, bulk carrier for dry goods</t>
  </si>
  <si>
    <t>Surovtseva, D, Crossin, E, Pell, R, Stamford, L. Toward a life cycle inventory for graphite production. J Ind Ecol. 2022; 26: 964– 979. https://doi.org/10.1111/jiec.13234. Coal is a common precursor for the tar pitch which is used for the preparation of graphitization precursor and also for coating of the final spherical graphite. Relevant data include coal mining, coking to produce tar and distillation of tar to produce pitch. It is understood that the distillation of tar to pitch is generally integrated with the coal coking, and the authors were not able to identify a reputable source containing dedicated dataset for distillation. Allocation is based on physical yield of tar pitch.</t>
  </si>
  <si>
    <t>tar pitch</t>
  </si>
  <si>
    <t>Surovtseva, D, Crossin, E, Pell, R, Stamford, L. Toward a life cycle inventory for graphite production. J Ind Ecol. 2022; 26: 964– 979. https://doi.org/10.1111/jiec.13234</t>
  </si>
  <si>
    <t>washed coal. Probably does not include the washing here.</t>
  </si>
  <si>
    <t>ca. 3% of energy input from electricity</t>
  </si>
  <si>
    <t>ca. 97% of energy input for coking gas. Used a German one.</t>
  </si>
  <si>
    <t>coking</t>
  </si>
  <si>
    <t>coal gas</t>
  </si>
  <si>
    <t>Carbon monoxide, fossil</t>
  </si>
  <si>
    <t>Methane, fossil</t>
  </si>
  <si>
    <t>crude oil extraction</t>
  </si>
  <si>
    <t>crude oil</t>
  </si>
  <si>
    <t>diesel, burned in diesel-electric generating set, 18.5kW</t>
  </si>
  <si>
    <t>heat production, natural gas, at industrial furnace &gt;100kW</t>
  </si>
  <si>
    <t>needle coke production</t>
  </si>
  <si>
    <t>Surovtseva, D, Crossin, E, Pell, R, Stamford, L. Toward a life cycle inventory for graphite production. J Ind Ecol. 2022; 26: 964– 979. https://doi.org/10.1111/jiec.13234. Green coke is further calcined to produce needle coke, and in this work composition of calcined coke was calculated based on compositions of green coke and volatiles. Relevant dataset covers operation of calcination unit / plant.</t>
  </si>
  <si>
    <t>needle coke</t>
  </si>
  <si>
    <t>graphite precursor production</t>
  </si>
  <si>
    <t>Surovtseva, D, Crossin, E, Pell, R, Stamford, L. Toward a life cycle inventory for graphite production. J Ind Ecol. 2022; 26: 964– 979. https://doi.org/10.1111/jiec.13234. Calcined coke is then mixed with tar pitch, baked to reduce volatiles and graphitized. Emissions from baking and graphitization are calculated as 0.4% and 2% mass loss in the respective processes. Transportation from calcining plant to graphitization plant is omitted. Crushing of needle coke and mixing of pitch with needle coke is not included.</t>
  </si>
  <si>
    <t>grahite precursor</t>
  </si>
  <si>
    <t>synthetic graphite production</t>
  </si>
  <si>
    <t>Surovtseva, D, Crossin, E, Pell, R, Stamford, L. Toward a life cycle inventory for graphite production. J Ind Ecol. 2022; 26: 964– 979. https://doi.org/10.1111/jiec.13234. The graphite is &gt; 99.9% pure and is in powder form, further purification is not required. However, micronization, shaping, and coating are required to upgrade to battery-grade</t>
  </si>
  <si>
    <t>synthetic graphite, 99% pure</t>
  </si>
  <si>
    <t>natural graphite production, coated</t>
  </si>
  <si>
    <t>12500 km shipping for natural graphite</t>
  </si>
  <si>
    <t>27500 km shipping for synthetic graphite</t>
  </si>
  <si>
    <t>Oil, crude, in ground</t>
  </si>
  <si>
    <t>graphite</t>
  </si>
  <si>
    <t>coal coking, for coal tar pitch production</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</si>
  <si>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</si>
  <si>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Purification process for natural graphite. Source: Engels P, Cerdas F, Dettmer T, Frey C, Hentschel J, Herrmann C, et al. Life cycle assessment of natural graphite production for lithium-ion battery anodes based on industrial primary data. J Clean Prod 2022;336:130474. https://doi.org/10.1016/J.JCLEPRO.2022.130474.</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</si>
  <si>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</si>
  <si>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</si>
  <si>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market for petroleum coke</t>
  </si>
  <si>
    <t>petroleum coke</t>
  </si>
  <si>
    <t>Surovtseva, D, Crossin, E, Pell, R, Stamford, L. Toward a life cycle inventory for graphite production. J Ind Ecol. 2022; 26: 964– 979. https://doi.org/10.1111/jiec.13234
Note that the input of green coke from the original publication has been replaced by an input of petroleum coke, as it seemed incorrect and unllocated with other products co-produced with green coke.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</si>
</sst>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1" fillId="0" borderId="0"/>
    <xf numFmtId="9" fontId="1" fillId="0" borderId="0" applyFont="0" applyFill="0" applyBorder="0" applyAlignment="0" applyProtection="0"/>
  </cellStyleXfs>
  <cellXfs count="12">
    <xf numFmtId="0" fontId="0" fillId="0" borderId="0" xfId="0"/>
    <xf numFmtId="0" fontId="2" fillId="0" borderId="0" xfId="0" applyFont="1"/>
    <xf numFmtId="0" fontId="3" fillId="2" borderId="0" xfId="0" applyFont="1" applyFill="1"/>
    <xf numFmtId="0" fontId="0" fillId="2" borderId="0" xfId="0" applyFill="1"/>
    <xf numFmtId="0" fontId="2" fillId="2" borderId="0" xfId="0" applyFont="1" applyFill="1"/>
    <xf numFmtId="11" fontId="0" fillId="2" borderId="0" xfId="0" applyNumberFormat="1" applyFill="1"/>
    <xf numFmtId="0" fontId="3" fillId="3" borderId="0" xfId="0" applyFont="1" applyFill="1"/>
    <xf numFmtId="0" fontId="0" fillId="3" borderId="0" xfId="0" applyFill="1"/>
    <xf numFmtId="0" fontId="2" fillId="3" borderId="0" xfId="0" applyFont="1" applyFill="1"/>
    <xf numFmtId="165" fontId="0" fillId="3" borderId="0" xfId="0" applyNumberFormat="1" applyFill="1"/>
    <xf numFmtId="11" fontId="0" fillId="3" borderId="0" xfId="0" applyNumberFormat="1" applyFill="1"/>
    <xf numFmtId="164" fontId="0" fillId="3" borderId="0" xfId="0" applyNumberFormat="1" applyFill="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3"/>
  <sheetViews>
    <sheetView tabSelected="1" workbookViewId="0">
      <selection activeCell="A18" sqref="A18"/>
    </sheetView>
  </sheetViews>
  <sheetFormatPr baseColWidth="10" defaultColWidth="8.83203125" defaultRowHeight="15" x14ac:dyDescent="0.2"/>
  <cols>
    <col min="1" max="1" width="46.5" customWidth="1"/>
    <col min="2" max="2" width="12.6640625" bestFit="1" customWidth="1"/>
    <col min="6" max="6" width="11.5" bestFit="1" customWidth="1"/>
    <col min="7" max="7" width="21.83203125" customWidth="1"/>
  </cols>
  <sheetData>
    <row r="1" spans="1:8" x14ac:dyDescent="0.2">
      <c r="A1" s="1" t="s">
        <v>41</v>
      </c>
      <c r="B1" t="s">
        <v>139</v>
      </c>
    </row>
    <row r="2" spans="1:8" x14ac:dyDescent="0.2">
      <c r="A2" s="1"/>
    </row>
    <row r="4" spans="1:8" s="3" customFormat="1" ht="16" x14ac:dyDescent="0.2">
      <c r="A4" s="2" t="s">
        <v>0</v>
      </c>
      <c r="B4" s="2" t="s">
        <v>135</v>
      </c>
    </row>
    <row r="5" spans="1:8" s="3" customFormat="1" x14ac:dyDescent="0.2">
      <c r="A5" s="3" t="s">
        <v>1</v>
      </c>
      <c r="B5" s="3" t="s">
        <v>141</v>
      </c>
    </row>
    <row r="6" spans="1:8" s="3" customFormat="1" x14ac:dyDescent="0.2">
      <c r="A6" s="3" t="s">
        <v>2</v>
      </c>
      <c r="B6" s="3" t="s">
        <v>32</v>
      </c>
    </row>
    <row r="7" spans="1:8" s="3" customFormat="1" x14ac:dyDescent="0.2">
      <c r="A7" s="3" t="s">
        <v>4</v>
      </c>
      <c r="B7" s="3">
        <v>1</v>
      </c>
    </row>
    <row r="8" spans="1:8" s="3" customFormat="1" x14ac:dyDescent="0.2">
      <c r="A8" s="3" t="s">
        <v>5</v>
      </c>
      <c r="B8" s="3" t="s">
        <v>42</v>
      </c>
    </row>
    <row r="9" spans="1:8" s="3" customFormat="1" x14ac:dyDescent="0.2">
      <c r="A9" s="3" t="s">
        <v>6</v>
      </c>
      <c r="B9" s="3" t="s">
        <v>7</v>
      </c>
    </row>
    <row r="10" spans="1:8" s="3" customFormat="1" x14ac:dyDescent="0.2">
      <c r="A10" s="3" t="s">
        <v>8</v>
      </c>
      <c r="B10" s="3" t="s">
        <v>43</v>
      </c>
    </row>
    <row r="11" spans="1:8" s="3" customFormat="1" x14ac:dyDescent="0.2">
      <c r="A11" s="4" t="s">
        <v>9</v>
      </c>
    </row>
    <row r="12" spans="1:8" s="4" customFormat="1" x14ac:dyDescent="0.2">
      <c r="A12" s="4" t="s">
        <v>10</v>
      </c>
      <c r="B12" s="4" t="s">
        <v>11</v>
      </c>
      <c r="C12" s="4" t="s">
        <v>6</v>
      </c>
      <c r="D12" s="4" t="s">
        <v>26</v>
      </c>
      <c r="E12" s="4" t="s">
        <v>2</v>
      </c>
      <c r="F12" s="4" t="s">
        <v>12</v>
      </c>
      <c r="G12" s="4" t="s">
        <v>5</v>
      </c>
      <c r="H12" s="4" t="s">
        <v>1</v>
      </c>
    </row>
    <row r="13" spans="1:8" s="3" customFormat="1" x14ac:dyDescent="0.2">
      <c r="A13" s="3" t="s">
        <v>135</v>
      </c>
      <c r="B13" s="3">
        <v>1</v>
      </c>
      <c r="C13" s="3" t="s">
        <v>7</v>
      </c>
      <c r="E13" s="3" t="s">
        <v>32</v>
      </c>
      <c r="F13" s="3" t="s">
        <v>13</v>
      </c>
      <c r="G13" s="3" t="s">
        <v>42</v>
      </c>
    </row>
    <row r="14" spans="1:8" s="3" customFormat="1" x14ac:dyDescent="0.2">
      <c r="A14" s="3" t="s">
        <v>22</v>
      </c>
      <c r="B14" s="3">
        <f>750/1000</f>
        <v>0.75</v>
      </c>
      <c r="C14" s="3" t="s">
        <v>21</v>
      </c>
      <c r="E14" s="3" t="s">
        <v>16</v>
      </c>
      <c r="F14" s="3" t="s">
        <v>14</v>
      </c>
      <c r="G14" s="3" t="s">
        <v>23</v>
      </c>
      <c r="H14" s="3" t="s">
        <v>44</v>
      </c>
    </row>
    <row r="15" spans="1:8" s="3" customFormat="1" x14ac:dyDescent="0.2">
      <c r="A15" s="3" t="s">
        <v>22</v>
      </c>
      <c r="B15" s="3">
        <f>1780/1000</f>
        <v>1.78</v>
      </c>
      <c r="C15" s="3" t="s">
        <v>21</v>
      </c>
      <c r="E15" s="3" t="s">
        <v>16</v>
      </c>
      <c r="F15" s="3" t="s">
        <v>14</v>
      </c>
      <c r="G15" s="3" t="s">
        <v>23</v>
      </c>
      <c r="H15" s="3" t="s">
        <v>45</v>
      </c>
    </row>
    <row r="16" spans="1:8" s="3" customFormat="1" x14ac:dyDescent="0.2">
      <c r="A16" s="3" t="s">
        <v>18</v>
      </c>
      <c r="B16" s="3">
        <f>4550/1000</f>
        <v>4.55</v>
      </c>
      <c r="C16" s="3" t="s">
        <v>19</v>
      </c>
      <c r="E16" s="3" t="s">
        <v>32</v>
      </c>
      <c r="F16" s="3" t="s">
        <v>14</v>
      </c>
      <c r="G16" s="3" t="s">
        <v>20</v>
      </c>
      <c r="H16" s="3" t="s">
        <v>46</v>
      </c>
    </row>
    <row r="17" spans="1:8" s="3" customFormat="1" x14ac:dyDescent="0.2">
      <c r="A17" s="3" t="s">
        <v>47</v>
      </c>
      <c r="B17" s="3">
        <f>0.249/1000*43.4</f>
        <v>1.08066E-2</v>
      </c>
      <c r="C17" s="3" t="s">
        <v>24</v>
      </c>
      <c r="E17" s="3" t="s">
        <v>3</v>
      </c>
      <c r="F17" s="3" t="s">
        <v>14</v>
      </c>
      <c r="G17" s="3" t="s">
        <v>48</v>
      </c>
      <c r="H17" s="3" t="s">
        <v>49</v>
      </c>
    </row>
    <row r="18" spans="1:8" s="3" customFormat="1" x14ac:dyDescent="0.2">
      <c r="A18" s="3" t="s">
        <v>38</v>
      </c>
      <c r="B18" s="3">
        <f>1.5/1000</f>
        <v>1.5E-3</v>
      </c>
      <c r="C18" s="3" t="s">
        <v>7</v>
      </c>
      <c r="E18" s="3" t="s">
        <v>16</v>
      </c>
      <c r="F18" s="3" t="s">
        <v>14</v>
      </c>
      <c r="G18" s="3" t="s">
        <v>39</v>
      </c>
      <c r="H18" s="3" t="s">
        <v>50</v>
      </c>
    </row>
    <row r="19" spans="1:8" s="3" customFormat="1" x14ac:dyDescent="0.2">
      <c r="A19" s="3" t="s">
        <v>51</v>
      </c>
      <c r="B19" s="5">
        <f>1010/1000</f>
        <v>1.01</v>
      </c>
      <c r="C19" s="3" t="s">
        <v>7</v>
      </c>
      <c r="E19" s="3" t="s">
        <v>32</v>
      </c>
      <c r="F19" s="3" t="s">
        <v>14</v>
      </c>
      <c r="G19" s="3" t="s">
        <v>52</v>
      </c>
      <c r="H19" s="3" t="s">
        <v>53</v>
      </c>
    </row>
    <row r="20" spans="1:8" s="3" customFormat="1" x14ac:dyDescent="0.2">
      <c r="A20" s="3" t="s">
        <v>54</v>
      </c>
      <c r="B20" s="3">
        <f>50/1000</f>
        <v>0.05</v>
      </c>
      <c r="C20" s="3" t="s">
        <v>7</v>
      </c>
      <c r="E20" s="3" t="s">
        <v>35</v>
      </c>
      <c r="F20" s="3" t="s">
        <v>14</v>
      </c>
      <c r="G20" s="3" t="s">
        <v>55</v>
      </c>
      <c r="H20" s="3" t="s">
        <v>56</v>
      </c>
    </row>
    <row r="21" spans="1:8" x14ac:dyDescent="0.2">
      <c r="A21" t="s">
        <v>110</v>
      </c>
      <c r="B21">
        <f>0.8*12500*0.001</f>
        <v>10</v>
      </c>
      <c r="C21" t="s">
        <v>21</v>
      </c>
      <c r="E21" t="s">
        <v>3</v>
      </c>
      <c r="F21" t="s">
        <v>14</v>
      </c>
      <c r="G21" t="s">
        <v>111</v>
      </c>
      <c r="H21" t="s">
        <v>136</v>
      </c>
    </row>
    <row r="22" spans="1:8" s="3" customFormat="1" x14ac:dyDescent="0.2">
      <c r="A22" s="3" t="s">
        <v>27</v>
      </c>
      <c r="B22" s="3">
        <f>62.407/1000</f>
        <v>6.2406999999999997E-2</v>
      </c>
      <c r="C22" s="3" t="s">
        <v>7</v>
      </c>
      <c r="D22" s="3" t="s">
        <v>28</v>
      </c>
      <c r="F22" s="3" t="s">
        <v>29</v>
      </c>
      <c r="H22" s="3" t="s">
        <v>57</v>
      </c>
    </row>
    <row r="23" spans="1:8" s="3" customFormat="1" x14ac:dyDescent="0.2">
      <c r="A23" s="3" t="s">
        <v>40</v>
      </c>
      <c r="B23" s="3">
        <f>1.5/1000</f>
        <v>1.5E-3</v>
      </c>
      <c r="C23" s="3" t="s">
        <v>7</v>
      </c>
      <c r="D23" s="3" t="s">
        <v>28</v>
      </c>
      <c r="F23" s="3" t="s">
        <v>29</v>
      </c>
      <c r="H23" s="3" t="s">
        <v>58</v>
      </c>
    </row>
    <row r="24" spans="1:8" s="3" customFormat="1" x14ac:dyDescent="0.2"/>
    <row r="25" spans="1:8" s="3" customFormat="1" ht="16" x14ac:dyDescent="0.2">
      <c r="A25" s="2" t="s">
        <v>0</v>
      </c>
      <c r="B25" s="2" t="s">
        <v>51</v>
      </c>
    </row>
    <row r="26" spans="1:8" s="3" customFormat="1" x14ac:dyDescent="0.2">
      <c r="A26" s="3" t="s">
        <v>1</v>
      </c>
      <c r="B26" s="3" t="s">
        <v>142</v>
      </c>
    </row>
    <row r="27" spans="1:8" s="3" customFormat="1" x14ac:dyDescent="0.2">
      <c r="A27" s="3" t="s">
        <v>2</v>
      </c>
      <c r="B27" s="3" t="s">
        <v>32</v>
      </c>
    </row>
    <row r="28" spans="1:8" s="3" customFormat="1" x14ac:dyDescent="0.2">
      <c r="A28" s="3" t="s">
        <v>4</v>
      </c>
      <c r="B28" s="3">
        <v>1</v>
      </c>
    </row>
    <row r="29" spans="1:8" s="3" customFormat="1" x14ac:dyDescent="0.2">
      <c r="A29" s="3" t="s">
        <v>5</v>
      </c>
      <c r="B29" s="3" t="s">
        <v>52</v>
      </c>
    </row>
    <row r="30" spans="1:8" s="3" customFormat="1" x14ac:dyDescent="0.2">
      <c r="A30" s="3" t="s">
        <v>6</v>
      </c>
      <c r="B30" s="3" t="s">
        <v>7</v>
      </c>
    </row>
    <row r="31" spans="1:8" s="3" customFormat="1" x14ac:dyDescent="0.2">
      <c r="A31" s="3" t="s">
        <v>8</v>
      </c>
      <c r="B31" s="3" t="s">
        <v>43</v>
      </c>
    </row>
    <row r="32" spans="1:8" s="3" customFormat="1" x14ac:dyDescent="0.2">
      <c r="A32" s="4" t="s">
        <v>9</v>
      </c>
    </row>
    <row r="33" spans="1:8" s="4" customFormat="1" x14ac:dyDescent="0.2">
      <c r="A33" s="4" t="s">
        <v>10</v>
      </c>
      <c r="B33" s="4" t="s">
        <v>11</v>
      </c>
      <c r="C33" s="4" t="s">
        <v>6</v>
      </c>
      <c r="D33" s="4" t="s">
        <v>26</v>
      </c>
      <c r="E33" s="4" t="s">
        <v>2</v>
      </c>
      <c r="F33" s="4" t="s">
        <v>12</v>
      </c>
      <c r="G33" s="4" t="s">
        <v>5</v>
      </c>
      <c r="H33" s="4" t="s">
        <v>1</v>
      </c>
    </row>
    <row r="34" spans="1:8" s="3" customFormat="1" x14ac:dyDescent="0.2">
      <c r="A34" s="3" t="s">
        <v>51</v>
      </c>
      <c r="B34" s="3">
        <v>1</v>
      </c>
      <c r="C34" s="3" t="s">
        <v>7</v>
      </c>
      <c r="E34" s="3" t="s">
        <v>32</v>
      </c>
      <c r="F34" s="3" t="s">
        <v>13</v>
      </c>
      <c r="G34" s="3" t="s">
        <v>52</v>
      </c>
    </row>
    <row r="35" spans="1:8" s="3" customFormat="1" x14ac:dyDescent="0.2">
      <c r="A35" s="3" t="s">
        <v>18</v>
      </c>
      <c r="B35" s="3">
        <f>305/1000</f>
        <v>0.30499999999999999</v>
      </c>
      <c r="C35" s="3" t="s">
        <v>19</v>
      </c>
      <c r="E35" s="3" t="s">
        <v>32</v>
      </c>
      <c r="F35" s="3" t="s">
        <v>14</v>
      </c>
      <c r="G35" s="3" t="s">
        <v>20</v>
      </c>
      <c r="H35" s="3" t="s">
        <v>59</v>
      </c>
    </row>
    <row r="36" spans="1:8" s="3" customFormat="1" x14ac:dyDescent="0.2">
      <c r="A36" s="3" t="s">
        <v>47</v>
      </c>
      <c r="B36" s="3">
        <f>0.249/1000*43.4</f>
        <v>1.08066E-2</v>
      </c>
      <c r="C36" s="3" t="s">
        <v>24</v>
      </c>
      <c r="E36" s="3" t="s">
        <v>3</v>
      </c>
      <c r="F36" s="3" t="s">
        <v>14</v>
      </c>
      <c r="G36" s="3" t="s">
        <v>48</v>
      </c>
      <c r="H36" s="3" t="s">
        <v>49</v>
      </c>
    </row>
    <row r="37" spans="1:8" s="3" customFormat="1" x14ac:dyDescent="0.2">
      <c r="A37" s="3" t="s">
        <v>60</v>
      </c>
      <c r="B37" s="3">
        <f>1050/1000/38.3</f>
        <v>2.7415143603133161E-2</v>
      </c>
      <c r="C37" s="3" t="s">
        <v>31</v>
      </c>
      <c r="E37" s="3" t="s">
        <v>16</v>
      </c>
      <c r="F37" s="3" t="s">
        <v>14</v>
      </c>
      <c r="G37" s="3" t="s">
        <v>61</v>
      </c>
      <c r="H37" s="3" t="s">
        <v>62</v>
      </c>
    </row>
    <row r="38" spans="1:8" s="3" customFormat="1" x14ac:dyDescent="0.2">
      <c r="A38" s="3" t="s">
        <v>63</v>
      </c>
      <c r="B38" s="3">
        <f>180/1000</f>
        <v>0.18</v>
      </c>
      <c r="C38" s="3" t="s">
        <v>7</v>
      </c>
      <c r="E38" s="3" t="s">
        <v>16</v>
      </c>
      <c r="F38" s="3" t="s">
        <v>14</v>
      </c>
      <c r="G38" s="3" t="s">
        <v>64</v>
      </c>
      <c r="H38" s="3" t="s">
        <v>65</v>
      </c>
    </row>
    <row r="39" spans="1:8" s="3" customFormat="1" x14ac:dyDescent="0.2">
      <c r="A39" s="3" t="s">
        <v>36</v>
      </c>
      <c r="B39" s="3">
        <f>200/1000</f>
        <v>0.2</v>
      </c>
      <c r="C39" s="3" t="s">
        <v>7</v>
      </c>
      <c r="E39" s="3" t="s">
        <v>16</v>
      </c>
      <c r="F39" s="3" t="s">
        <v>14</v>
      </c>
      <c r="G39" s="3" t="s">
        <v>37</v>
      </c>
      <c r="H39" s="3" t="s">
        <v>66</v>
      </c>
    </row>
    <row r="40" spans="1:8" s="3" customFormat="1" x14ac:dyDescent="0.2">
      <c r="A40" s="3" t="s">
        <v>67</v>
      </c>
      <c r="B40" s="3">
        <f>100/1000</f>
        <v>0.1</v>
      </c>
      <c r="C40" s="3" t="s">
        <v>7</v>
      </c>
      <c r="E40" s="3" t="s">
        <v>32</v>
      </c>
      <c r="F40" s="3" t="s">
        <v>14</v>
      </c>
      <c r="G40" s="3" t="s">
        <v>68</v>
      </c>
      <c r="H40" s="3" t="s">
        <v>69</v>
      </c>
    </row>
    <row r="41" spans="1:8" s="3" customFormat="1" x14ac:dyDescent="0.2">
      <c r="A41" s="3" t="s">
        <v>15</v>
      </c>
      <c r="B41" s="3">
        <f>25*1000/1000</f>
        <v>25</v>
      </c>
      <c r="C41" s="3" t="s">
        <v>7</v>
      </c>
      <c r="E41" s="3" t="s">
        <v>16</v>
      </c>
      <c r="F41" s="3" t="s">
        <v>14</v>
      </c>
      <c r="G41" s="3" t="s">
        <v>17</v>
      </c>
      <c r="H41" s="3" t="s">
        <v>70</v>
      </c>
    </row>
    <row r="42" spans="1:8" s="3" customFormat="1" x14ac:dyDescent="0.2">
      <c r="A42" s="3" t="s">
        <v>71</v>
      </c>
      <c r="B42" s="3">
        <f>400/1000</f>
        <v>0.4</v>
      </c>
      <c r="C42" s="3" t="s">
        <v>7</v>
      </c>
      <c r="E42" s="3" t="s">
        <v>16</v>
      </c>
      <c r="F42" s="3" t="s">
        <v>14</v>
      </c>
      <c r="G42" s="3" t="s">
        <v>72</v>
      </c>
      <c r="H42" s="3" t="s">
        <v>73</v>
      </c>
    </row>
    <row r="43" spans="1:8" s="3" customFormat="1" x14ac:dyDescent="0.2">
      <c r="A43" s="3" t="s">
        <v>22</v>
      </c>
      <c r="B43" s="3">
        <f>350/1000</f>
        <v>0.35</v>
      </c>
      <c r="C43" s="3" t="s">
        <v>21</v>
      </c>
      <c r="E43" s="3" t="s">
        <v>16</v>
      </c>
      <c r="F43" s="3" t="s">
        <v>14</v>
      </c>
      <c r="G43" s="3" t="s">
        <v>23</v>
      </c>
      <c r="H43" s="3" t="s">
        <v>74</v>
      </c>
    </row>
    <row r="44" spans="1:8" s="3" customFormat="1" x14ac:dyDescent="0.2">
      <c r="A44" s="3" t="s">
        <v>75</v>
      </c>
      <c r="B44" s="3">
        <f>1130/1000</f>
        <v>1.1299999999999999</v>
      </c>
      <c r="C44" s="3" t="s">
        <v>7</v>
      </c>
      <c r="E44" s="3" t="s">
        <v>32</v>
      </c>
      <c r="F44" s="3" t="s">
        <v>14</v>
      </c>
      <c r="G44" s="3" t="s">
        <v>76</v>
      </c>
    </row>
    <row r="45" spans="1:8" s="3" customFormat="1" x14ac:dyDescent="0.2">
      <c r="A45" s="3" t="s">
        <v>27</v>
      </c>
      <c r="B45" s="3">
        <f>57.75/1000</f>
        <v>5.7750000000000003E-2</v>
      </c>
      <c r="C45" s="3" t="s">
        <v>7</v>
      </c>
      <c r="D45" s="3" t="s">
        <v>28</v>
      </c>
      <c r="F45" s="3" t="s">
        <v>29</v>
      </c>
      <c r="H45" s="3" t="s">
        <v>57</v>
      </c>
    </row>
    <row r="46" spans="1:8" s="3" customFormat="1" x14ac:dyDescent="0.2">
      <c r="A46" s="3" t="s">
        <v>30</v>
      </c>
      <c r="B46" s="3">
        <f>320.145/1000/1000</f>
        <v>3.2014499999999998E-4</v>
      </c>
      <c r="C46" s="3" t="s">
        <v>31</v>
      </c>
      <c r="D46" s="3" t="s">
        <v>28</v>
      </c>
      <c r="F46" s="3" t="s">
        <v>29</v>
      </c>
      <c r="H46" s="3" t="s">
        <v>77</v>
      </c>
    </row>
    <row r="47" spans="1:8" s="3" customFormat="1" x14ac:dyDescent="0.2">
      <c r="A47" s="3" t="s">
        <v>33</v>
      </c>
      <c r="B47" s="3">
        <f>-24.773/1000</f>
        <v>-2.4773E-2</v>
      </c>
      <c r="C47" s="3" t="s">
        <v>31</v>
      </c>
      <c r="E47" s="3" t="s">
        <v>16</v>
      </c>
      <c r="F47" s="3" t="s">
        <v>14</v>
      </c>
      <c r="G47" s="3" t="s">
        <v>34</v>
      </c>
    </row>
    <row r="48" spans="1:8" s="3" customFormat="1" x14ac:dyDescent="0.2"/>
    <row r="49" spans="1:8" s="3" customFormat="1" ht="16" x14ac:dyDescent="0.2">
      <c r="A49" s="2" t="s">
        <v>0</v>
      </c>
      <c r="B49" s="2" t="s">
        <v>75</v>
      </c>
    </row>
    <row r="50" spans="1:8" s="3" customFormat="1" x14ac:dyDescent="0.2">
      <c r="A50" s="3" t="s">
        <v>1</v>
      </c>
      <c r="B50" s="3" t="s">
        <v>142</v>
      </c>
    </row>
    <row r="51" spans="1:8" s="3" customFormat="1" x14ac:dyDescent="0.2">
      <c r="A51" s="3" t="s">
        <v>2</v>
      </c>
      <c r="B51" s="3" t="s">
        <v>32</v>
      </c>
    </row>
    <row r="52" spans="1:8" s="3" customFormat="1" x14ac:dyDescent="0.2">
      <c r="A52" s="3" t="s">
        <v>4</v>
      </c>
      <c r="B52" s="3">
        <v>1</v>
      </c>
    </row>
    <row r="53" spans="1:8" s="3" customFormat="1" x14ac:dyDescent="0.2">
      <c r="A53" s="3" t="s">
        <v>5</v>
      </c>
      <c r="B53" s="3" t="s">
        <v>76</v>
      </c>
    </row>
    <row r="54" spans="1:8" s="3" customFormat="1" x14ac:dyDescent="0.2">
      <c r="A54" s="3" t="s">
        <v>6</v>
      </c>
      <c r="B54" s="3" t="s">
        <v>7</v>
      </c>
    </row>
    <row r="55" spans="1:8" s="3" customFormat="1" x14ac:dyDescent="0.2">
      <c r="A55" s="3" t="s">
        <v>8</v>
      </c>
      <c r="B55" s="3" t="s">
        <v>43</v>
      </c>
    </row>
    <row r="56" spans="1:8" s="3" customFormat="1" x14ac:dyDescent="0.2">
      <c r="A56" s="4" t="s">
        <v>9</v>
      </c>
    </row>
    <row r="57" spans="1:8" s="4" customFormat="1" x14ac:dyDescent="0.2">
      <c r="A57" s="4" t="s">
        <v>10</v>
      </c>
      <c r="B57" s="4" t="s">
        <v>11</v>
      </c>
      <c r="C57" s="4" t="s">
        <v>6</v>
      </c>
      <c r="D57" s="4" t="s">
        <v>26</v>
      </c>
      <c r="E57" s="4" t="s">
        <v>2</v>
      </c>
      <c r="F57" s="4" t="s">
        <v>12</v>
      </c>
      <c r="G57" s="4" t="s">
        <v>5</v>
      </c>
      <c r="H57" s="4" t="s">
        <v>1</v>
      </c>
    </row>
    <row r="58" spans="1:8" s="3" customFormat="1" x14ac:dyDescent="0.2">
      <c r="A58" s="3" t="s">
        <v>75</v>
      </c>
      <c r="B58" s="3">
        <v>1</v>
      </c>
      <c r="C58" s="3" t="s">
        <v>7</v>
      </c>
      <c r="E58" s="3" t="s">
        <v>32</v>
      </c>
      <c r="F58" s="3" t="s">
        <v>13</v>
      </c>
      <c r="G58" s="3" t="s">
        <v>76</v>
      </c>
    </row>
    <row r="59" spans="1:8" s="3" customFormat="1" x14ac:dyDescent="0.2">
      <c r="A59" s="3" t="s">
        <v>18</v>
      </c>
      <c r="B59" s="3">
        <f>2100/1000</f>
        <v>2.1</v>
      </c>
      <c r="C59" s="3" t="s">
        <v>19</v>
      </c>
      <c r="E59" s="3" t="s">
        <v>32</v>
      </c>
      <c r="F59" s="3" t="s">
        <v>14</v>
      </c>
      <c r="G59" s="3" t="s">
        <v>20</v>
      </c>
      <c r="H59" s="3" t="s">
        <v>78</v>
      </c>
    </row>
    <row r="60" spans="1:8" s="3" customFormat="1" x14ac:dyDescent="0.2">
      <c r="A60" s="3" t="s">
        <v>47</v>
      </c>
      <c r="B60" s="3">
        <f>0.415/1000*43.4</f>
        <v>1.8010999999999999E-2</v>
      </c>
      <c r="C60" s="3" t="s">
        <v>24</v>
      </c>
      <c r="E60" s="3" t="s">
        <v>3</v>
      </c>
      <c r="F60" s="3" t="s">
        <v>14</v>
      </c>
      <c r="G60" s="3" t="s">
        <v>48</v>
      </c>
      <c r="H60" s="3" t="s">
        <v>79</v>
      </c>
    </row>
    <row r="61" spans="1:8" s="3" customFormat="1" x14ac:dyDescent="0.2">
      <c r="A61" s="3" t="s">
        <v>80</v>
      </c>
      <c r="B61" s="3">
        <f>2220/1000</f>
        <v>2.2200000000000002</v>
      </c>
      <c r="C61" s="3" t="s">
        <v>7</v>
      </c>
      <c r="E61" s="3" t="s">
        <v>32</v>
      </c>
      <c r="F61" s="3" t="s">
        <v>14</v>
      </c>
      <c r="G61" s="3" t="s">
        <v>81</v>
      </c>
      <c r="H61" s="3" t="s">
        <v>82</v>
      </c>
    </row>
    <row r="62" spans="1:8" s="3" customFormat="1" x14ac:dyDescent="0.2"/>
    <row r="63" spans="1:8" s="3" customFormat="1" ht="16" x14ac:dyDescent="0.2">
      <c r="A63" s="2" t="s">
        <v>0</v>
      </c>
      <c r="B63" s="2" t="s">
        <v>80</v>
      </c>
    </row>
    <row r="64" spans="1:8" s="3" customFormat="1" x14ac:dyDescent="0.2">
      <c r="A64" s="3" t="s">
        <v>1</v>
      </c>
      <c r="B64" s="3" t="s">
        <v>143</v>
      </c>
    </row>
    <row r="65" spans="1:8" s="3" customFormat="1" x14ac:dyDescent="0.2">
      <c r="A65" s="3" t="s">
        <v>2</v>
      </c>
      <c r="B65" s="3" t="s">
        <v>32</v>
      </c>
    </row>
    <row r="66" spans="1:8" s="3" customFormat="1" x14ac:dyDescent="0.2">
      <c r="A66" s="3" t="s">
        <v>4</v>
      </c>
      <c r="B66" s="3">
        <v>1</v>
      </c>
    </row>
    <row r="67" spans="1:8" s="3" customFormat="1" x14ac:dyDescent="0.2">
      <c r="A67" s="3" t="s">
        <v>5</v>
      </c>
      <c r="B67" s="3" t="s">
        <v>81</v>
      </c>
    </row>
    <row r="68" spans="1:8" s="3" customFormat="1" x14ac:dyDescent="0.2">
      <c r="A68" s="3" t="s">
        <v>6</v>
      </c>
      <c r="B68" s="3" t="s">
        <v>7</v>
      </c>
    </row>
    <row r="69" spans="1:8" s="3" customFormat="1" x14ac:dyDescent="0.2">
      <c r="A69" s="3" t="s">
        <v>8</v>
      </c>
      <c r="B69" s="3" t="s">
        <v>43</v>
      </c>
    </row>
    <row r="70" spans="1:8" s="3" customFormat="1" x14ac:dyDescent="0.2">
      <c r="A70" s="4" t="s">
        <v>9</v>
      </c>
    </row>
    <row r="71" spans="1:8" s="4" customFormat="1" x14ac:dyDescent="0.2">
      <c r="A71" s="4" t="s">
        <v>10</v>
      </c>
      <c r="B71" s="4" t="s">
        <v>11</v>
      </c>
      <c r="C71" s="4" t="s">
        <v>6</v>
      </c>
      <c r="D71" s="4" t="s">
        <v>26</v>
      </c>
      <c r="E71" s="4" t="s">
        <v>2</v>
      </c>
      <c r="F71" s="4" t="s">
        <v>12</v>
      </c>
      <c r="G71" s="4" t="s">
        <v>5</v>
      </c>
      <c r="H71" s="4" t="s">
        <v>1</v>
      </c>
    </row>
    <row r="72" spans="1:8" s="3" customFormat="1" x14ac:dyDescent="0.2">
      <c r="A72" s="3" t="s">
        <v>80</v>
      </c>
      <c r="B72" s="3">
        <v>1</v>
      </c>
      <c r="C72" s="3" t="s">
        <v>7</v>
      </c>
      <c r="E72" s="3" t="s">
        <v>32</v>
      </c>
      <c r="F72" s="3" t="s">
        <v>13</v>
      </c>
      <c r="G72" s="3" t="s">
        <v>81</v>
      </c>
    </row>
    <row r="73" spans="1:8" s="3" customFormat="1" x14ac:dyDescent="0.2">
      <c r="A73" s="3" t="s">
        <v>18</v>
      </c>
      <c r="B73" s="3">
        <f>506/1000</f>
        <v>0.50600000000000001</v>
      </c>
      <c r="C73" s="3" t="s">
        <v>19</v>
      </c>
      <c r="E73" s="3" t="s">
        <v>32</v>
      </c>
      <c r="F73" s="3" t="s">
        <v>14</v>
      </c>
      <c r="G73" s="3" t="s">
        <v>20</v>
      </c>
      <c r="H73" s="3" t="s">
        <v>83</v>
      </c>
    </row>
    <row r="74" spans="1:8" s="3" customFormat="1" x14ac:dyDescent="0.2">
      <c r="A74" s="3" t="s">
        <v>47</v>
      </c>
      <c r="B74" s="3">
        <f>0.996*43.4/1000</f>
        <v>4.3226399999999998E-2</v>
      </c>
      <c r="C74" s="3" t="s">
        <v>24</v>
      </c>
      <c r="E74" s="3" t="s">
        <v>3</v>
      </c>
      <c r="F74" s="3" t="s">
        <v>14</v>
      </c>
      <c r="G74" s="3" t="s">
        <v>48</v>
      </c>
      <c r="H74" s="3" t="s">
        <v>84</v>
      </c>
    </row>
    <row r="75" spans="1:8" s="3" customFormat="1" x14ac:dyDescent="0.2">
      <c r="A75" s="3" t="s">
        <v>85</v>
      </c>
      <c r="B75" s="3">
        <f>50/1000</f>
        <v>0.05</v>
      </c>
      <c r="C75" s="3" t="s">
        <v>7</v>
      </c>
      <c r="E75" s="3" t="s">
        <v>32</v>
      </c>
      <c r="F75" s="3" t="s">
        <v>14</v>
      </c>
      <c r="G75" s="3" t="s">
        <v>86</v>
      </c>
      <c r="H75" s="3" t="s">
        <v>87</v>
      </c>
    </row>
    <row r="76" spans="1:8" s="3" customFormat="1" x14ac:dyDescent="0.2">
      <c r="A76" s="3" t="s">
        <v>88</v>
      </c>
      <c r="B76" s="3">
        <f>9590/1000</f>
        <v>9.59</v>
      </c>
      <c r="C76" s="3" t="s">
        <v>7</v>
      </c>
      <c r="E76" s="3" t="s">
        <v>32</v>
      </c>
      <c r="F76" s="3" t="s">
        <v>14</v>
      </c>
      <c r="G76" s="3" t="s">
        <v>89</v>
      </c>
      <c r="H76" s="3" t="s">
        <v>90</v>
      </c>
    </row>
    <row r="77" spans="1:8" s="3" customFormat="1" x14ac:dyDescent="0.2">
      <c r="A77" s="3" t="s">
        <v>91</v>
      </c>
      <c r="B77" s="3">
        <f>1.551/1000</f>
        <v>1.5509999999999999E-3</v>
      </c>
      <c r="C77" s="3" t="s">
        <v>7</v>
      </c>
      <c r="E77" s="3" t="s">
        <v>16</v>
      </c>
      <c r="F77" s="3" t="s">
        <v>14</v>
      </c>
      <c r="G77" s="3" t="s">
        <v>92</v>
      </c>
      <c r="H77" s="3" t="s">
        <v>93</v>
      </c>
    </row>
    <row r="78" spans="1:8" s="3" customFormat="1" x14ac:dyDescent="0.2">
      <c r="A78" s="3" t="s">
        <v>15</v>
      </c>
      <c r="B78" s="3">
        <f>22.027*1000/1000</f>
        <v>22.027000000000001</v>
      </c>
      <c r="C78" s="3" t="s">
        <v>7</v>
      </c>
      <c r="E78" s="3" t="s">
        <v>16</v>
      </c>
      <c r="F78" s="3" t="s">
        <v>14</v>
      </c>
      <c r="G78" s="3" t="s">
        <v>17</v>
      </c>
      <c r="H78" s="3" t="s">
        <v>94</v>
      </c>
    </row>
    <row r="79" spans="1:8" s="3" customFormat="1" x14ac:dyDescent="0.2">
      <c r="A79" s="3" t="s">
        <v>27</v>
      </c>
      <c r="B79" s="3">
        <f>183.33/1000</f>
        <v>0.18333000000000002</v>
      </c>
      <c r="C79" s="3" t="s">
        <v>7</v>
      </c>
      <c r="D79" s="3" t="s">
        <v>28</v>
      </c>
      <c r="F79" s="3" t="s">
        <v>29</v>
      </c>
      <c r="H79" s="3" t="s">
        <v>57</v>
      </c>
    </row>
    <row r="80" spans="1:8" s="3" customFormat="1" x14ac:dyDescent="0.2">
      <c r="A80" s="3" t="s">
        <v>30</v>
      </c>
      <c r="B80" s="3">
        <f>320.145/1000</f>
        <v>0.32014499999999996</v>
      </c>
      <c r="C80" s="3" t="s">
        <v>31</v>
      </c>
      <c r="D80" s="3" t="s">
        <v>28</v>
      </c>
      <c r="F80" s="3" t="s">
        <v>29</v>
      </c>
      <c r="H80" s="3" t="s">
        <v>77</v>
      </c>
    </row>
    <row r="81" spans="1:8" s="3" customFormat="1" x14ac:dyDescent="0.2">
      <c r="A81" s="3" t="s">
        <v>33</v>
      </c>
      <c r="B81" s="3">
        <f>-21.707/1000</f>
        <v>-2.1707000000000001E-2</v>
      </c>
      <c r="C81" s="3" t="s">
        <v>31</v>
      </c>
      <c r="E81" s="3" t="s">
        <v>16</v>
      </c>
      <c r="F81" s="3" t="s">
        <v>14</v>
      </c>
      <c r="G81" s="3" t="s">
        <v>34</v>
      </c>
      <c r="H81" s="3" t="s">
        <v>95</v>
      </c>
    </row>
    <row r="82" spans="1:8" s="3" customFormat="1" x14ac:dyDescent="0.2">
      <c r="A82" s="3" t="s">
        <v>96</v>
      </c>
      <c r="B82" s="3">
        <f>-8596/1000</f>
        <v>-8.5960000000000001</v>
      </c>
      <c r="C82" s="3" t="s">
        <v>7</v>
      </c>
      <c r="E82" s="3" t="s">
        <v>3</v>
      </c>
      <c r="F82" s="3" t="s">
        <v>14</v>
      </c>
      <c r="G82" s="3" t="s">
        <v>97</v>
      </c>
    </row>
    <row r="83" spans="1:8" s="3" customFormat="1" x14ac:dyDescent="0.2">
      <c r="A83" s="3" t="s">
        <v>22</v>
      </c>
      <c r="B83" s="3">
        <f>(2*B76)/1000</f>
        <v>1.9179999999999999E-2</v>
      </c>
      <c r="C83" s="3" t="s">
        <v>21</v>
      </c>
      <c r="E83" s="3" t="s">
        <v>16</v>
      </c>
      <c r="F83" s="3" t="s">
        <v>14</v>
      </c>
      <c r="G83" s="3" t="s">
        <v>23</v>
      </c>
      <c r="H83" s="3" t="s">
        <v>98</v>
      </c>
    </row>
    <row r="84" spans="1:8" s="3" customFormat="1" x14ac:dyDescent="0.2"/>
    <row r="85" spans="1:8" s="3" customFormat="1" ht="16" x14ac:dyDescent="0.2">
      <c r="A85" s="2" t="s">
        <v>0</v>
      </c>
      <c r="B85" s="2" t="s">
        <v>88</v>
      </c>
    </row>
    <row r="86" spans="1:8" s="3" customFormat="1" x14ac:dyDescent="0.2">
      <c r="A86" s="3" t="s">
        <v>1</v>
      </c>
      <c r="B86" s="3" t="s">
        <v>144</v>
      </c>
    </row>
    <row r="87" spans="1:8" s="3" customFormat="1" x14ac:dyDescent="0.2">
      <c r="A87" s="3" t="s">
        <v>2</v>
      </c>
      <c r="B87" s="3" t="s">
        <v>32</v>
      </c>
    </row>
    <row r="88" spans="1:8" s="3" customFormat="1" x14ac:dyDescent="0.2">
      <c r="A88" s="3" t="s">
        <v>4</v>
      </c>
      <c r="B88" s="3">
        <v>1</v>
      </c>
    </row>
    <row r="89" spans="1:8" s="3" customFormat="1" x14ac:dyDescent="0.2">
      <c r="A89" s="3" t="s">
        <v>5</v>
      </c>
      <c r="B89" s="3" t="s">
        <v>89</v>
      </c>
    </row>
    <row r="90" spans="1:8" s="3" customFormat="1" x14ac:dyDescent="0.2">
      <c r="A90" s="3" t="s">
        <v>6</v>
      </c>
      <c r="B90" s="3" t="s">
        <v>7</v>
      </c>
    </row>
    <row r="91" spans="1:8" s="3" customFormat="1" x14ac:dyDescent="0.2">
      <c r="A91" s="3" t="s">
        <v>8</v>
      </c>
      <c r="B91" s="3" t="s">
        <v>43</v>
      </c>
    </row>
    <row r="92" spans="1:8" s="3" customFormat="1" x14ac:dyDescent="0.2">
      <c r="A92" s="4" t="s">
        <v>9</v>
      </c>
    </row>
    <row r="93" spans="1:8" s="4" customFormat="1" x14ac:dyDescent="0.2">
      <c r="A93" s="4" t="s">
        <v>10</v>
      </c>
      <c r="B93" s="4" t="s">
        <v>11</v>
      </c>
      <c r="C93" s="4" t="s">
        <v>6</v>
      </c>
      <c r="D93" s="4" t="s">
        <v>26</v>
      </c>
      <c r="E93" s="4" t="s">
        <v>2</v>
      </c>
      <c r="F93" s="4" t="s">
        <v>12</v>
      </c>
      <c r="G93" s="4" t="s">
        <v>5</v>
      </c>
      <c r="H93" s="4" t="s">
        <v>1</v>
      </c>
    </row>
    <row r="94" spans="1:8" s="3" customFormat="1" x14ac:dyDescent="0.2">
      <c r="A94" s="3" t="s">
        <v>88</v>
      </c>
      <c r="B94" s="3">
        <v>1</v>
      </c>
      <c r="C94" s="3" t="s">
        <v>7</v>
      </c>
      <c r="E94" s="3" t="s">
        <v>32</v>
      </c>
      <c r="F94" s="3" t="s">
        <v>13</v>
      </c>
      <c r="G94" s="3" t="s">
        <v>89</v>
      </c>
    </row>
    <row r="95" spans="1:8" s="3" customFormat="1" x14ac:dyDescent="0.2">
      <c r="A95" s="3" t="s">
        <v>18</v>
      </c>
      <c r="B95" s="3">
        <f>8.7/1000</f>
        <v>8.6999999999999994E-3</v>
      </c>
      <c r="C95" s="3" t="s">
        <v>19</v>
      </c>
      <c r="E95" s="3" t="s">
        <v>32</v>
      </c>
      <c r="F95" s="3" t="s">
        <v>14</v>
      </c>
      <c r="G95" s="3" t="s">
        <v>20</v>
      </c>
      <c r="H95" s="3" t="s">
        <v>99</v>
      </c>
    </row>
    <row r="96" spans="1:8" s="3" customFormat="1" x14ac:dyDescent="0.2">
      <c r="A96" s="3" t="s">
        <v>47</v>
      </c>
      <c r="B96" s="3">
        <f>2.241*43.4/1000</f>
        <v>9.7259399999999996E-2</v>
      </c>
      <c r="C96" s="3" t="s">
        <v>24</v>
      </c>
      <c r="E96" s="3" t="s">
        <v>3</v>
      </c>
      <c r="F96" s="3" t="s">
        <v>14</v>
      </c>
      <c r="G96" s="3" t="s">
        <v>48</v>
      </c>
      <c r="H96" s="3" t="s">
        <v>100</v>
      </c>
    </row>
    <row r="97" spans="1:8" s="3" customFormat="1" x14ac:dyDescent="0.2">
      <c r="A97" s="3" t="s">
        <v>101</v>
      </c>
      <c r="B97" s="3">
        <f>0.248/1000</f>
        <v>2.4800000000000001E-4</v>
      </c>
      <c r="C97" s="3" t="s">
        <v>7</v>
      </c>
      <c r="E97" s="3" t="s">
        <v>3</v>
      </c>
      <c r="F97" s="3" t="s">
        <v>14</v>
      </c>
      <c r="G97" s="3" t="s">
        <v>102</v>
      </c>
      <c r="H97" s="3" t="s">
        <v>103</v>
      </c>
    </row>
    <row r="98" spans="1:8" s="3" customFormat="1" x14ac:dyDescent="0.2">
      <c r="A98" s="3" t="s">
        <v>27</v>
      </c>
      <c r="B98" s="3">
        <f>0.04/1000</f>
        <v>4.0000000000000003E-5</v>
      </c>
      <c r="C98" s="3" t="s">
        <v>7</v>
      </c>
      <c r="D98" s="3" t="s">
        <v>28</v>
      </c>
      <c r="F98" s="3" t="s">
        <v>29</v>
      </c>
      <c r="H98" s="3" t="s">
        <v>104</v>
      </c>
    </row>
    <row r="99" spans="1:8" s="3" customFormat="1" x14ac:dyDescent="0.2">
      <c r="A99" s="3" t="s">
        <v>30</v>
      </c>
      <c r="B99" s="3">
        <f>0.113/1000/1000</f>
        <v>1.1300000000000001E-7</v>
      </c>
      <c r="C99" s="3" t="s">
        <v>31</v>
      </c>
      <c r="D99" s="3" t="s">
        <v>28</v>
      </c>
      <c r="F99" s="3" t="s">
        <v>29</v>
      </c>
      <c r="H99" s="3" t="s">
        <v>105</v>
      </c>
    </row>
    <row r="100" spans="1:8" s="3" customFormat="1" x14ac:dyDescent="0.2">
      <c r="A100" s="3" t="s">
        <v>106</v>
      </c>
      <c r="B100" s="3">
        <f>0.138/1000</f>
        <v>1.3800000000000002E-4</v>
      </c>
      <c r="C100" s="3" t="s">
        <v>7</v>
      </c>
      <c r="D100" s="3" t="s">
        <v>28</v>
      </c>
      <c r="F100" s="3" t="s">
        <v>29</v>
      </c>
      <c r="H100" s="3" t="s">
        <v>105</v>
      </c>
    </row>
    <row r="101" spans="1:8" s="3" customFormat="1" x14ac:dyDescent="0.2">
      <c r="A101" s="3" t="s">
        <v>107</v>
      </c>
      <c r="B101" s="3">
        <f>5/1000</f>
        <v>5.0000000000000001E-3</v>
      </c>
      <c r="C101" s="3" t="s">
        <v>7</v>
      </c>
      <c r="D101" s="3" t="s">
        <v>28</v>
      </c>
      <c r="F101" s="3" t="s">
        <v>29</v>
      </c>
      <c r="H101" s="3" t="s">
        <v>108</v>
      </c>
    </row>
    <row r="103" spans="1:8" s="7" customFormat="1" ht="16" x14ac:dyDescent="0.2">
      <c r="A103" s="6" t="s">
        <v>0</v>
      </c>
      <c r="B103" s="6" t="s">
        <v>140</v>
      </c>
    </row>
    <row r="104" spans="1:8" s="7" customFormat="1" x14ac:dyDescent="0.2">
      <c r="A104" s="7" t="s">
        <v>1</v>
      </c>
      <c r="B104" s="7" t="s">
        <v>112</v>
      </c>
    </row>
    <row r="105" spans="1:8" s="7" customFormat="1" x14ac:dyDescent="0.2">
      <c r="A105" s="7" t="s">
        <v>2</v>
      </c>
      <c r="B105" s="7" t="s">
        <v>32</v>
      </c>
    </row>
    <row r="106" spans="1:8" s="7" customFormat="1" x14ac:dyDescent="0.2">
      <c r="A106" s="7" t="s">
        <v>4</v>
      </c>
      <c r="B106" s="7">
        <v>1</v>
      </c>
    </row>
    <row r="107" spans="1:8" s="7" customFormat="1" x14ac:dyDescent="0.2">
      <c r="A107" s="7" t="s">
        <v>5</v>
      </c>
      <c r="B107" s="7" t="s">
        <v>113</v>
      </c>
    </row>
    <row r="108" spans="1:8" s="7" customFormat="1" x14ac:dyDescent="0.2">
      <c r="A108" s="7" t="s">
        <v>6</v>
      </c>
      <c r="B108" s="7" t="s">
        <v>7</v>
      </c>
    </row>
    <row r="109" spans="1:8" s="7" customFormat="1" x14ac:dyDescent="0.2">
      <c r="A109" s="7" t="s">
        <v>8</v>
      </c>
      <c r="B109" s="7" t="s">
        <v>114</v>
      </c>
    </row>
    <row r="110" spans="1:8" s="7" customFormat="1" x14ac:dyDescent="0.2">
      <c r="A110" s="8" t="s">
        <v>9</v>
      </c>
    </row>
    <row r="111" spans="1:8" s="8" customFormat="1" x14ac:dyDescent="0.2">
      <c r="A111" s="8" t="s">
        <v>10</v>
      </c>
      <c r="B111" s="8" t="s">
        <v>11</v>
      </c>
      <c r="C111" s="8" t="s">
        <v>6</v>
      </c>
      <c r="D111" s="8" t="s">
        <v>26</v>
      </c>
      <c r="E111" s="8" t="s">
        <v>2</v>
      </c>
      <c r="F111" s="8" t="s">
        <v>12</v>
      </c>
      <c r="G111" s="8" t="s">
        <v>5</v>
      </c>
      <c r="H111" s="8" t="s">
        <v>1</v>
      </c>
    </row>
    <row r="112" spans="1:8" s="7" customFormat="1" x14ac:dyDescent="0.2">
      <c r="A112" s="7" t="s">
        <v>140</v>
      </c>
      <c r="B112" s="7">
        <v>1</v>
      </c>
      <c r="C112" s="7" t="s">
        <v>7</v>
      </c>
      <c r="E112" s="7" t="s">
        <v>32</v>
      </c>
      <c r="F112" s="7" t="s">
        <v>13</v>
      </c>
      <c r="G112" s="7" t="s">
        <v>113</v>
      </c>
      <c r="H112" s="7" t="s">
        <v>115</v>
      </c>
    </row>
    <row r="113" spans="1:8" s="7" customFormat="1" x14ac:dyDescent="0.2">
      <c r="A113" s="7" t="s">
        <v>85</v>
      </c>
      <c r="B113" s="9">
        <f>1000/24</f>
        <v>41.666666666666664</v>
      </c>
      <c r="C113" s="7" t="s">
        <v>7</v>
      </c>
      <c r="E113" s="7" t="s">
        <v>32</v>
      </c>
      <c r="F113" s="7" t="s">
        <v>14</v>
      </c>
      <c r="G113" s="7" t="s">
        <v>86</v>
      </c>
      <c r="H113" s="7" t="s">
        <v>116</v>
      </c>
    </row>
    <row r="114" spans="1:8" s="7" customFormat="1" x14ac:dyDescent="0.2">
      <c r="A114" s="7" t="s">
        <v>18</v>
      </c>
      <c r="B114" s="9">
        <f>(4200/3.6*0.03)/24</f>
        <v>1.4583333333333333</v>
      </c>
      <c r="C114" s="7" t="s">
        <v>19</v>
      </c>
      <c r="E114" s="7" t="s">
        <v>32</v>
      </c>
      <c r="F114" s="7" t="s">
        <v>14</v>
      </c>
      <c r="G114" s="7" t="s">
        <v>20</v>
      </c>
      <c r="H114" s="7" t="s">
        <v>117</v>
      </c>
    </row>
    <row r="115" spans="1:8" s="7" customFormat="1" x14ac:dyDescent="0.2">
      <c r="A115" s="7" t="s">
        <v>118</v>
      </c>
      <c r="B115" s="9">
        <f>(4200*0.97)/24</f>
        <v>169.75</v>
      </c>
      <c r="C115" s="7" t="s">
        <v>24</v>
      </c>
      <c r="E115" s="7" t="s">
        <v>16</v>
      </c>
      <c r="F115" s="7" t="s">
        <v>14</v>
      </c>
      <c r="G115" s="7" t="s">
        <v>119</v>
      </c>
    </row>
    <row r="116" spans="1:8" s="7" customFormat="1" x14ac:dyDescent="0.2">
      <c r="A116" s="7" t="s">
        <v>27</v>
      </c>
      <c r="B116" s="9">
        <f>300/24</f>
        <v>12.5</v>
      </c>
      <c r="C116" s="7" t="s">
        <v>7</v>
      </c>
      <c r="D116" s="7" t="s">
        <v>28</v>
      </c>
      <c r="F116" s="7" t="s">
        <v>29</v>
      </c>
    </row>
    <row r="117" spans="1:8" s="7" customFormat="1" x14ac:dyDescent="0.2">
      <c r="A117" s="7" t="s">
        <v>120</v>
      </c>
      <c r="B117" s="10">
        <f>AVERAGE(0.025,0.846)/24</f>
        <v>1.8145833333333333E-2</v>
      </c>
      <c r="C117" s="7" t="s">
        <v>7</v>
      </c>
      <c r="D117" s="7" t="s">
        <v>28</v>
      </c>
      <c r="F117" s="7" t="s">
        <v>29</v>
      </c>
    </row>
    <row r="118" spans="1:8" s="7" customFormat="1" x14ac:dyDescent="0.2">
      <c r="A118" s="7" t="s">
        <v>121</v>
      </c>
      <c r="B118" s="10">
        <f>AVERAGE(0.022,0.155)/24</f>
        <v>3.6874999999999998E-3</v>
      </c>
      <c r="C118" s="7" t="s">
        <v>7</v>
      </c>
      <c r="D118" s="7" t="s">
        <v>28</v>
      </c>
      <c r="F118" s="7" t="s">
        <v>29</v>
      </c>
    </row>
    <row r="119" spans="1:8" s="7" customFormat="1" x14ac:dyDescent="0.2">
      <c r="A119" s="7" t="s">
        <v>106</v>
      </c>
      <c r="B119" s="10">
        <f>AVERAGE(0.026,0.821)/24</f>
        <v>1.7645833333333333E-2</v>
      </c>
      <c r="C119" s="7" t="s">
        <v>7</v>
      </c>
      <c r="D119" s="7" t="s">
        <v>28</v>
      </c>
      <c r="F119" s="7" t="s">
        <v>29</v>
      </c>
    </row>
    <row r="120" spans="1:8" s="7" customFormat="1" x14ac:dyDescent="0.2"/>
    <row r="121" spans="1:8" s="7" customFormat="1" ht="16" x14ac:dyDescent="0.2">
      <c r="A121" s="6" t="s">
        <v>0</v>
      </c>
      <c r="B121" s="6" t="s">
        <v>122</v>
      </c>
    </row>
    <row r="122" spans="1:8" s="7" customFormat="1" x14ac:dyDescent="0.2">
      <c r="A122" s="7" t="s">
        <v>1</v>
      </c>
      <c r="B122" s="7" t="s">
        <v>114</v>
      </c>
    </row>
    <row r="123" spans="1:8" s="7" customFormat="1" x14ac:dyDescent="0.2">
      <c r="A123" s="7" t="s">
        <v>2</v>
      </c>
      <c r="B123" s="7" t="s">
        <v>32</v>
      </c>
    </row>
    <row r="124" spans="1:8" s="7" customFormat="1" x14ac:dyDescent="0.2">
      <c r="A124" s="7" t="s">
        <v>4</v>
      </c>
      <c r="B124" s="7">
        <v>1</v>
      </c>
    </row>
    <row r="125" spans="1:8" s="7" customFormat="1" x14ac:dyDescent="0.2">
      <c r="A125" s="7" t="s">
        <v>5</v>
      </c>
      <c r="B125" s="7" t="s">
        <v>123</v>
      </c>
    </row>
    <row r="126" spans="1:8" s="7" customFormat="1" x14ac:dyDescent="0.2">
      <c r="A126" s="7" t="s">
        <v>6</v>
      </c>
      <c r="B126" s="7" t="s">
        <v>7</v>
      </c>
    </row>
    <row r="127" spans="1:8" s="7" customFormat="1" x14ac:dyDescent="0.2">
      <c r="A127" s="7" t="s">
        <v>8</v>
      </c>
      <c r="B127" s="7" t="s">
        <v>114</v>
      </c>
    </row>
    <row r="128" spans="1:8" s="7" customFormat="1" x14ac:dyDescent="0.2">
      <c r="A128" s="8" t="s">
        <v>9</v>
      </c>
    </row>
    <row r="129" spans="1:8" s="8" customFormat="1" x14ac:dyDescent="0.2">
      <c r="A129" s="8" t="s">
        <v>10</v>
      </c>
      <c r="B129" s="8" t="s">
        <v>11</v>
      </c>
      <c r="C129" s="8" t="s">
        <v>6</v>
      </c>
      <c r="D129" s="8" t="s">
        <v>26</v>
      </c>
      <c r="E129" s="8" t="s">
        <v>2</v>
      </c>
      <c r="F129" s="8" t="s">
        <v>12</v>
      </c>
      <c r="G129" s="8" t="s">
        <v>5</v>
      </c>
      <c r="H129" s="8" t="s">
        <v>1</v>
      </c>
    </row>
    <row r="130" spans="1:8" s="7" customFormat="1" x14ac:dyDescent="0.2">
      <c r="A130" s="7" t="s">
        <v>122</v>
      </c>
      <c r="B130" s="7">
        <v>1</v>
      </c>
      <c r="C130" s="7" t="s">
        <v>7</v>
      </c>
      <c r="E130" s="7" t="s">
        <v>32</v>
      </c>
      <c r="F130" s="7" t="s">
        <v>13</v>
      </c>
      <c r="G130" s="7" t="s">
        <v>123</v>
      </c>
    </row>
    <row r="131" spans="1:8" s="7" customFormat="1" x14ac:dyDescent="0.2">
      <c r="A131" s="7" t="s">
        <v>138</v>
      </c>
      <c r="B131" s="7">
        <v>1</v>
      </c>
      <c r="C131" s="7" t="s">
        <v>7</v>
      </c>
      <c r="D131" s="7" t="s">
        <v>109</v>
      </c>
      <c r="F131" s="7" t="s">
        <v>29</v>
      </c>
    </row>
    <row r="132" spans="1:8" s="7" customFormat="1" x14ac:dyDescent="0.2">
      <c r="A132" s="7" t="s">
        <v>18</v>
      </c>
      <c r="B132" s="7">
        <f>0.937*0.085</f>
        <v>7.9645000000000007E-2</v>
      </c>
      <c r="C132" s="7" t="s">
        <v>19</v>
      </c>
      <c r="E132" s="7" t="s">
        <v>32</v>
      </c>
      <c r="F132" s="7" t="s">
        <v>14</v>
      </c>
      <c r="G132" s="7" t="s">
        <v>20</v>
      </c>
    </row>
    <row r="133" spans="1:8" s="7" customFormat="1" x14ac:dyDescent="0.2">
      <c r="A133" s="7" t="s">
        <v>124</v>
      </c>
      <c r="B133" s="7">
        <f>0.937*3.6*0.07</f>
        <v>0.23612400000000003</v>
      </c>
      <c r="C133" s="7" t="s">
        <v>24</v>
      </c>
      <c r="E133" s="7" t="s">
        <v>3</v>
      </c>
      <c r="F133" s="7" t="s">
        <v>14</v>
      </c>
      <c r="G133" s="7" t="s">
        <v>124</v>
      </c>
    </row>
    <row r="134" spans="1:8" s="7" customFormat="1" x14ac:dyDescent="0.2">
      <c r="A134" s="7" t="s">
        <v>125</v>
      </c>
      <c r="B134" s="7">
        <f>0.937*3.6*0.845</f>
        <v>2.8503540000000003</v>
      </c>
      <c r="C134" s="7" t="s">
        <v>24</v>
      </c>
      <c r="E134" s="7" t="s">
        <v>16</v>
      </c>
      <c r="F134" s="7" t="s">
        <v>14</v>
      </c>
      <c r="G134" s="7" t="s">
        <v>25</v>
      </c>
    </row>
    <row r="135" spans="1:8" s="7" customFormat="1" x14ac:dyDescent="0.2"/>
    <row r="136" spans="1:8" s="7" customFormat="1" ht="16" x14ac:dyDescent="0.2">
      <c r="A136" s="6" t="s">
        <v>0</v>
      </c>
      <c r="B136" s="6" t="s">
        <v>126</v>
      </c>
    </row>
    <row r="137" spans="1:8" s="7" customFormat="1" x14ac:dyDescent="0.2">
      <c r="A137" s="7" t="s">
        <v>1</v>
      </c>
      <c r="B137" s="7" t="s">
        <v>127</v>
      </c>
    </row>
    <row r="138" spans="1:8" s="7" customFormat="1" x14ac:dyDescent="0.2">
      <c r="A138" s="7" t="s">
        <v>2</v>
      </c>
      <c r="B138" s="7" t="s">
        <v>32</v>
      </c>
    </row>
    <row r="139" spans="1:8" s="7" customFormat="1" x14ac:dyDescent="0.2">
      <c r="A139" s="7" t="s">
        <v>4</v>
      </c>
      <c r="B139" s="7">
        <v>1</v>
      </c>
    </row>
    <row r="140" spans="1:8" s="7" customFormat="1" x14ac:dyDescent="0.2">
      <c r="A140" s="7" t="s">
        <v>5</v>
      </c>
      <c r="B140" s="7" t="s">
        <v>128</v>
      </c>
    </row>
    <row r="141" spans="1:8" s="7" customFormat="1" x14ac:dyDescent="0.2">
      <c r="A141" s="7" t="s">
        <v>6</v>
      </c>
      <c r="B141" s="7" t="s">
        <v>7</v>
      </c>
    </row>
    <row r="142" spans="1:8" s="7" customFormat="1" x14ac:dyDescent="0.2">
      <c r="A142" s="7" t="s">
        <v>8</v>
      </c>
      <c r="B142" s="7" t="s">
        <v>147</v>
      </c>
    </row>
    <row r="143" spans="1:8" s="7" customFormat="1" x14ac:dyDescent="0.2">
      <c r="A143" s="8" t="s">
        <v>9</v>
      </c>
    </row>
    <row r="144" spans="1:8" s="8" customFormat="1" x14ac:dyDescent="0.2">
      <c r="A144" s="8" t="s">
        <v>10</v>
      </c>
      <c r="B144" s="8" t="s">
        <v>11</v>
      </c>
      <c r="C144" s="8" t="s">
        <v>6</v>
      </c>
      <c r="D144" s="8" t="s">
        <v>26</v>
      </c>
      <c r="E144" s="8" t="s">
        <v>2</v>
      </c>
      <c r="F144" s="8" t="s">
        <v>12</v>
      </c>
      <c r="G144" s="8" t="s">
        <v>5</v>
      </c>
      <c r="H144" s="8" t="s">
        <v>1</v>
      </c>
    </row>
    <row r="145" spans="1:7" s="7" customFormat="1" x14ac:dyDescent="0.2">
      <c r="A145" s="7" t="s">
        <v>126</v>
      </c>
      <c r="B145" s="7">
        <v>1</v>
      </c>
      <c r="C145" s="7" t="s">
        <v>7</v>
      </c>
      <c r="E145" s="7" t="s">
        <v>32</v>
      </c>
      <c r="F145" s="7" t="s">
        <v>13</v>
      </c>
      <c r="G145" s="7" t="s">
        <v>128</v>
      </c>
    </row>
    <row r="146" spans="1:7" s="7" customFormat="1" x14ac:dyDescent="0.2">
      <c r="A146" s="7" t="s">
        <v>145</v>
      </c>
      <c r="B146" s="11">
        <v>1.3513513513513513</v>
      </c>
      <c r="C146" s="7" t="s">
        <v>7</v>
      </c>
      <c r="E146" s="7" t="s">
        <v>3</v>
      </c>
      <c r="F146" s="7" t="s">
        <v>14</v>
      </c>
      <c r="G146" s="7" t="s">
        <v>146</v>
      </c>
    </row>
    <row r="147" spans="1:7" s="7" customFormat="1" x14ac:dyDescent="0.2">
      <c r="A147" s="7" t="s">
        <v>18</v>
      </c>
      <c r="B147" s="11">
        <f>(4.4*0.1)/0.74</f>
        <v>0.59459459459459463</v>
      </c>
      <c r="C147" s="7" t="s">
        <v>19</v>
      </c>
      <c r="E147" s="7" t="s">
        <v>32</v>
      </c>
      <c r="F147" s="7" t="s">
        <v>14</v>
      </c>
      <c r="G147" s="7" t="s">
        <v>20</v>
      </c>
    </row>
    <row r="148" spans="1:7" s="7" customFormat="1" x14ac:dyDescent="0.2">
      <c r="A148" s="7" t="s">
        <v>125</v>
      </c>
      <c r="B148" s="11">
        <f>(4.4*0.9*3.6)/0.74</f>
        <v>19.264864864864869</v>
      </c>
      <c r="C148" s="7" t="s">
        <v>24</v>
      </c>
      <c r="E148" s="7" t="s">
        <v>16</v>
      </c>
      <c r="F148" s="7" t="s">
        <v>14</v>
      </c>
      <c r="G148" s="7" t="s">
        <v>25</v>
      </c>
    </row>
    <row r="149" spans="1:7" s="7" customFormat="1" x14ac:dyDescent="0.2">
      <c r="A149" s="7" t="s">
        <v>27</v>
      </c>
      <c r="B149" s="11">
        <v>1.7567567567567569E-2</v>
      </c>
      <c r="C149" s="7" t="s">
        <v>7</v>
      </c>
      <c r="D149" s="7" t="s">
        <v>28</v>
      </c>
      <c r="F149" s="7" t="s">
        <v>29</v>
      </c>
    </row>
    <row r="150" spans="1:7" s="7" customFormat="1" x14ac:dyDescent="0.2">
      <c r="A150" s="7" t="s">
        <v>120</v>
      </c>
      <c r="B150" s="11">
        <v>1.891891891891892E-2</v>
      </c>
      <c r="C150" s="7" t="s">
        <v>7</v>
      </c>
      <c r="D150" s="7" t="s">
        <v>28</v>
      </c>
      <c r="F150" s="7" t="s">
        <v>29</v>
      </c>
    </row>
    <row r="151" spans="1:7" s="7" customFormat="1" x14ac:dyDescent="0.2">
      <c r="A151" s="7" t="s">
        <v>121</v>
      </c>
      <c r="B151" s="11">
        <v>0.20945945945945946</v>
      </c>
      <c r="C151" s="7" t="s">
        <v>7</v>
      </c>
      <c r="D151" s="7" t="s">
        <v>28</v>
      </c>
      <c r="F151" s="7" t="s">
        <v>29</v>
      </c>
    </row>
    <row r="152" spans="1:7" s="7" customFormat="1" x14ac:dyDescent="0.2"/>
    <row r="153" spans="1:7" s="7" customFormat="1" ht="16" x14ac:dyDescent="0.2">
      <c r="A153" s="6" t="s">
        <v>0</v>
      </c>
      <c r="B153" s="6" t="s">
        <v>129</v>
      </c>
    </row>
    <row r="154" spans="1:7" s="7" customFormat="1" x14ac:dyDescent="0.2">
      <c r="A154" s="7" t="s">
        <v>1</v>
      </c>
      <c r="B154" s="7" t="s">
        <v>130</v>
      </c>
    </row>
    <row r="155" spans="1:7" s="7" customFormat="1" x14ac:dyDescent="0.2">
      <c r="A155" s="7" t="s">
        <v>2</v>
      </c>
      <c r="B155" s="7" t="s">
        <v>32</v>
      </c>
    </row>
    <row r="156" spans="1:7" s="7" customFormat="1" x14ac:dyDescent="0.2">
      <c r="A156" s="7" t="s">
        <v>4</v>
      </c>
      <c r="B156" s="7">
        <v>1</v>
      </c>
    </row>
    <row r="157" spans="1:7" s="7" customFormat="1" x14ac:dyDescent="0.2">
      <c r="A157" s="7" t="s">
        <v>5</v>
      </c>
      <c r="B157" s="7" t="s">
        <v>131</v>
      </c>
    </row>
    <row r="158" spans="1:7" s="7" customFormat="1" x14ac:dyDescent="0.2">
      <c r="A158" s="7" t="s">
        <v>6</v>
      </c>
      <c r="B158" s="7" t="s">
        <v>7</v>
      </c>
    </row>
    <row r="159" spans="1:7" s="7" customFormat="1" x14ac:dyDescent="0.2">
      <c r="A159" s="7" t="s">
        <v>8</v>
      </c>
      <c r="B159" s="7" t="s">
        <v>114</v>
      </c>
    </row>
    <row r="160" spans="1:7" s="7" customFormat="1" x14ac:dyDescent="0.2">
      <c r="A160" s="8" t="s">
        <v>9</v>
      </c>
    </row>
    <row r="161" spans="1:8" s="8" customFormat="1" x14ac:dyDescent="0.2">
      <c r="A161" s="8" t="s">
        <v>10</v>
      </c>
      <c r="B161" s="8" t="s">
        <v>11</v>
      </c>
      <c r="C161" s="8" t="s">
        <v>6</v>
      </c>
      <c r="D161" s="8" t="s">
        <v>26</v>
      </c>
      <c r="E161" s="8" t="s">
        <v>2</v>
      </c>
      <c r="F161" s="8" t="s">
        <v>12</v>
      </c>
      <c r="G161" s="8" t="s">
        <v>5</v>
      </c>
      <c r="H161" s="8" t="s">
        <v>1</v>
      </c>
    </row>
    <row r="162" spans="1:8" s="7" customFormat="1" x14ac:dyDescent="0.2">
      <c r="A162" s="7" t="s">
        <v>129</v>
      </c>
      <c r="B162" s="7">
        <v>1</v>
      </c>
      <c r="C162" s="7" t="s">
        <v>7</v>
      </c>
      <c r="E162" s="7" t="s">
        <v>32</v>
      </c>
      <c r="F162" s="7" t="s">
        <v>13</v>
      </c>
      <c r="G162" s="7" t="s">
        <v>131</v>
      </c>
    </row>
    <row r="163" spans="1:8" s="7" customFormat="1" x14ac:dyDescent="0.2">
      <c r="A163" s="7" t="s">
        <v>126</v>
      </c>
      <c r="B163" s="9">
        <v>0.80321285140562249</v>
      </c>
      <c r="C163" s="7" t="s">
        <v>7</v>
      </c>
      <c r="E163" s="7" t="s">
        <v>32</v>
      </c>
      <c r="F163" s="7" t="s">
        <v>14</v>
      </c>
      <c r="G163" s="7" t="s">
        <v>128</v>
      </c>
    </row>
    <row r="164" spans="1:8" s="7" customFormat="1" x14ac:dyDescent="0.2">
      <c r="A164" s="7" t="s">
        <v>140</v>
      </c>
      <c r="B164" s="9">
        <v>0.20080321285140562</v>
      </c>
      <c r="C164" s="7" t="s">
        <v>7</v>
      </c>
      <c r="E164" s="7" t="s">
        <v>32</v>
      </c>
      <c r="F164" s="7" t="s">
        <v>14</v>
      </c>
      <c r="G164" s="7" t="s">
        <v>113</v>
      </c>
    </row>
    <row r="165" spans="1:8" s="7" customFormat="1" x14ac:dyDescent="0.2">
      <c r="A165" s="7" t="s">
        <v>125</v>
      </c>
      <c r="B165" s="9">
        <v>12.650602409638553</v>
      </c>
      <c r="C165" s="7" t="s">
        <v>24</v>
      </c>
      <c r="E165" s="7" t="s">
        <v>16</v>
      </c>
      <c r="F165" s="7" t="s">
        <v>14</v>
      </c>
      <c r="G165" s="7" t="s">
        <v>25</v>
      </c>
    </row>
    <row r="166" spans="1:8" s="7" customFormat="1" x14ac:dyDescent="0.2">
      <c r="A166" s="7" t="s">
        <v>120</v>
      </c>
      <c r="B166" s="9">
        <v>2.6807228915662652E-3</v>
      </c>
      <c r="C166" s="7" t="s">
        <v>7</v>
      </c>
      <c r="D166" s="7" t="s">
        <v>28</v>
      </c>
      <c r="F166" s="7" t="s">
        <v>29</v>
      </c>
    </row>
    <row r="167" spans="1:8" s="7" customFormat="1" x14ac:dyDescent="0.2">
      <c r="A167" s="7" t="s">
        <v>121</v>
      </c>
      <c r="B167" s="10">
        <v>7.9819277108433736E-5</v>
      </c>
      <c r="C167" s="7" t="s">
        <v>7</v>
      </c>
      <c r="D167" s="7" t="s">
        <v>28</v>
      </c>
      <c r="F167" s="7" t="s">
        <v>29</v>
      </c>
    </row>
    <row r="168" spans="1:8" s="7" customFormat="1" x14ac:dyDescent="0.2">
      <c r="A168" s="7" t="s">
        <v>106</v>
      </c>
      <c r="B168" s="10">
        <v>2.4698795180722895E-4</v>
      </c>
      <c r="C168" s="7" t="s">
        <v>7</v>
      </c>
      <c r="D168" s="7" t="s">
        <v>28</v>
      </c>
      <c r="F168" s="7" t="s">
        <v>29</v>
      </c>
    </row>
    <row r="169" spans="1:8" s="7" customFormat="1" x14ac:dyDescent="0.2"/>
    <row r="170" spans="1:8" s="7" customFormat="1" ht="16" x14ac:dyDescent="0.2">
      <c r="A170" s="6" t="s">
        <v>0</v>
      </c>
      <c r="B170" s="6" t="s">
        <v>132</v>
      </c>
    </row>
    <row r="171" spans="1:8" s="7" customFormat="1" x14ac:dyDescent="0.2">
      <c r="A171" s="7" t="s">
        <v>1</v>
      </c>
      <c r="B171" s="7" t="s">
        <v>133</v>
      </c>
    </row>
    <row r="172" spans="1:8" s="7" customFormat="1" x14ac:dyDescent="0.2">
      <c r="A172" s="7" t="s">
        <v>2</v>
      </c>
      <c r="B172" s="7" t="s">
        <v>32</v>
      </c>
    </row>
    <row r="173" spans="1:8" s="7" customFormat="1" x14ac:dyDescent="0.2">
      <c r="A173" s="7" t="s">
        <v>4</v>
      </c>
      <c r="B173" s="7">
        <v>1</v>
      </c>
    </row>
    <row r="174" spans="1:8" s="7" customFormat="1" x14ac:dyDescent="0.2">
      <c r="A174" s="7" t="s">
        <v>5</v>
      </c>
      <c r="B174" s="7" t="s">
        <v>134</v>
      </c>
    </row>
    <row r="175" spans="1:8" s="7" customFormat="1" x14ac:dyDescent="0.2">
      <c r="A175" s="7" t="s">
        <v>6</v>
      </c>
      <c r="B175" s="7" t="s">
        <v>7</v>
      </c>
    </row>
    <row r="176" spans="1:8" s="7" customFormat="1" x14ac:dyDescent="0.2">
      <c r="A176" s="7" t="s">
        <v>8</v>
      </c>
      <c r="B176" s="7" t="s">
        <v>114</v>
      </c>
    </row>
    <row r="177" spans="1:8" s="7" customFormat="1" x14ac:dyDescent="0.2">
      <c r="A177" s="8" t="s">
        <v>9</v>
      </c>
    </row>
    <row r="178" spans="1:8" s="8" customFormat="1" x14ac:dyDescent="0.2">
      <c r="A178" s="8" t="s">
        <v>10</v>
      </c>
      <c r="B178" s="8" t="s">
        <v>11</v>
      </c>
      <c r="C178" s="8" t="s">
        <v>6</v>
      </c>
      <c r="D178" s="8" t="s">
        <v>26</v>
      </c>
      <c r="E178" s="8" t="s">
        <v>2</v>
      </c>
      <c r="F178" s="8" t="s">
        <v>12</v>
      </c>
      <c r="G178" s="8" t="s">
        <v>5</v>
      </c>
      <c r="H178" s="8" t="s">
        <v>1</v>
      </c>
    </row>
    <row r="179" spans="1:8" s="7" customFormat="1" x14ac:dyDescent="0.2">
      <c r="A179" s="7" t="s">
        <v>132</v>
      </c>
      <c r="B179" s="7">
        <v>1</v>
      </c>
      <c r="C179" s="7" t="s">
        <v>7</v>
      </c>
      <c r="E179" s="7" t="s">
        <v>32</v>
      </c>
      <c r="F179" s="7" t="s">
        <v>13</v>
      </c>
      <c r="G179" s="7" t="s">
        <v>134</v>
      </c>
    </row>
    <row r="180" spans="1:8" s="7" customFormat="1" x14ac:dyDescent="0.2">
      <c r="A180" s="7" t="s">
        <v>129</v>
      </c>
      <c r="B180" s="11">
        <v>1.0204081632653061</v>
      </c>
      <c r="C180" s="7" t="s">
        <v>7</v>
      </c>
      <c r="E180" s="7" t="s">
        <v>32</v>
      </c>
      <c r="F180" s="7" t="s">
        <v>14</v>
      </c>
      <c r="G180" s="7" t="s">
        <v>131</v>
      </c>
    </row>
    <row r="181" spans="1:8" s="7" customFormat="1" x14ac:dyDescent="0.2">
      <c r="A181" s="7" t="s">
        <v>125</v>
      </c>
      <c r="B181" s="11">
        <f>(0.88*3.6)/0.98</f>
        <v>3.2326530612244899</v>
      </c>
      <c r="C181" s="7" t="s">
        <v>24</v>
      </c>
      <c r="E181" s="7" t="s">
        <v>16</v>
      </c>
      <c r="F181" s="7" t="s">
        <v>14</v>
      </c>
      <c r="G181" s="7" t="s">
        <v>25</v>
      </c>
    </row>
    <row r="182" spans="1:8" s="7" customFormat="1" x14ac:dyDescent="0.2">
      <c r="A182" s="7" t="s">
        <v>120</v>
      </c>
      <c r="B182" s="11">
        <v>1.9693877551020408E-2</v>
      </c>
      <c r="C182" s="7" t="s">
        <v>7</v>
      </c>
      <c r="D182" s="7" t="s">
        <v>28</v>
      </c>
      <c r="F182" s="7" t="s">
        <v>29</v>
      </c>
    </row>
    <row r="183" spans="1:8" x14ac:dyDescent="0.2">
      <c r="A183" t="s">
        <v>110</v>
      </c>
      <c r="B183">
        <f>27500*0.001</f>
        <v>27.5</v>
      </c>
      <c r="C183" t="s">
        <v>21</v>
      </c>
      <c r="E183" t="s">
        <v>3</v>
      </c>
      <c r="F183" t="s">
        <v>14</v>
      </c>
      <c r="G183" t="s">
        <v>111</v>
      </c>
      <c r="H183" t="s">
        <v>137</v>
      </c>
    </row>
  </sheetData>
  <autoFilter ref="A1:H101"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graphite</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2025-05-26T09:10:33Z</dcterms:modified>
</cp:coreProperties>
</file>