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/>
  <xr:revisionPtr revIDLastSave="869" documentId="13_ncr:1_{D0FB8C27-5AAD-4D83-B52A-9764F8EB4256}" xr6:coauthVersionLast="47" xr6:coauthVersionMax="47" xr10:uidLastSave="{04DF60A8-CCE4-4FD2-9220-EC9E46F15657}"/>
  <bookViews>
    <workbookView xWindow="-110" yWindow="-110" windowWidth="19420" windowHeight="10300" xr2:uid="{00000000-000D-0000-FFFF-FFFF00000000}"/>
  </bookViews>
  <sheets>
    <sheet name="Li-ion_Battery_EOL" sheetId="4" r:id="rId1"/>
  </sheets>
  <definedNames>
    <definedName name="btbl4fnb" localSheetId="0">'Li-ion_Battery_EOL'!#REF!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4" i="4" l="1"/>
  <c r="B127" i="4" l="1"/>
  <c r="B126" i="4"/>
  <c r="B133" i="4"/>
  <c r="B165" i="4"/>
  <c r="G228" i="4"/>
  <c r="D228" i="4"/>
  <c r="C228" i="4"/>
  <c r="A228" i="4"/>
  <c r="G212" i="4"/>
  <c r="D212" i="4"/>
  <c r="C212" i="4"/>
  <c r="A212" i="4"/>
  <c r="G198" i="4"/>
  <c r="D198" i="4"/>
  <c r="C198" i="4"/>
  <c r="A198" i="4"/>
  <c r="B184" i="4"/>
  <c r="G181" i="4"/>
  <c r="D181" i="4"/>
  <c r="C181" i="4"/>
  <c r="A181" i="4"/>
  <c r="B169" i="4"/>
  <c r="B168" i="4"/>
  <c r="B167" i="4"/>
  <c r="B166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0" i="4"/>
  <c r="B149" i="4"/>
  <c r="B148" i="4"/>
  <c r="B147" i="4"/>
  <c r="B146" i="4"/>
  <c r="G145" i="4"/>
  <c r="D145" i="4"/>
  <c r="C145" i="4"/>
  <c r="A145" i="4"/>
  <c r="B132" i="4"/>
  <c r="B131" i="4"/>
  <c r="B130" i="4"/>
  <c r="B129" i="4"/>
  <c r="B128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G97" i="4"/>
  <c r="D97" i="4"/>
  <c r="C97" i="4"/>
  <c r="A97" i="4"/>
  <c r="C85" i="4"/>
  <c r="B85" i="4"/>
  <c r="A85" i="4"/>
  <c r="C73" i="4"/>
  <c r="B73" i="4"/>
  <c r="A73" i="4"/>
  <c r="C61" i="4"/>
  <c r="B61" i="4"/>
  <c r="A61" i="4"/>
  <c r="C49" i="4"/>
  <c r="B49" i="4"/>
  <c r="A49" i="4"/>
  <c r="C37" i="4"/>
  <c r="B37" i="4"/>
  <c r="A37" i="4"/>
  <c r="C25" i="4"/>
  <c r="B25" i="4"/>
  <c r="A25" i="4"/>
  <c r="C13" i="4"/>
  <c r="B13" i="4"/>
  <c r="A13" i="4"/>
</calcChain>
</file>

<file path=xl/sharedStrings.xml><?xml version="1.0" encoding="utf-8"?>
<sst xmlns="http://schemas.openxmlformats.org/spreadsheetml/2006/main" count="873" uniqueCount="173">
  <si>
    <t>Activity</t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</si>
  <si>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</si>
  <si>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</si>
  <si>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</si>
  <si>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</si>
  <si>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</si>
  <si>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</si>
  <si>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</si>
  <si>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</si>
  <si>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</si>
  <si>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</si>
  <si>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</si>
  <si>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</si>
  <si>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</si>
  <si>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</si>
  <si>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</si>
  <si>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CH</t>
  </si>
  <si>
    <t>kilowatt hour</t>
  </si>
  <si>
    <t>database</t>
  </si>
  <si>
    <t>formula</t>
  </si>
  <si>
    <t>uncertainty type</t>
  </si>
  <si>
    <t>loc</t>
  </si>
  <si>
    <t>scale</t>
  </si>
  <si>
    <t>shape</t>
  </si>
  <si>
    <t>minimum</t>
  </si>
  <si>
    <t>maximum</t>
  </si>
  <si>
    <t>market for electricity, medium voltage</t>
  </si>
  <si>
    <t>electricity, medium voltage</t>
  </si>
  <si>
    <t>RER</t>
  </si>
  <si>
    <t>cubic meter</t>
  </si>
  <si>
    <t>sodium hydroxide, without water, in 50% solution state</t>
  </si>
  <si>
    <t>GLO</t>
  </si>
  <si>
    <t>market for sulfuric acid</t>
  </si>
  <si>
    <t>sulfuric acid</t>
  </si>
  <si>
    <t>water, deionised</t>
  </si>
  <si>
    <t>market for water, deionised</t>
  </si>
  <si>
    <t>Europe without Switzerland</t>
  </si>
  <si>
    <t>heat, district or industrial, natural gas</t>
  </si>
  <si>
    <t>treatment of wastewater, average, wastewater treatment</t>
  </si>
  <si>
    <t>wastewater, average</t>
  </si>
  <si>
    <t>Li-ion_battery_EoL</t>
  </si>
  <si>
    <t>https://iris.polito.it/retrieve/dae18e96-f5f2-43f7-9900-11aaca5cc08b/batteries-09-00231.pdf#:~:text=According%20to%20the%20inventory%20of%20the%20treatment,231%206%20of%2013%20and%2023%25%20(11.2</t>
  </si>
  <si>
    <t>100% recovery rate is assumed according to Hanna (2025)</t>
  </si>
  <si>
    <t>Hanna et al. (2025). Life Cycle Assessment of Lithium-Ion Battery Recycling: Evaluating the Impact of Recycling Methods and Location</t>
  </si>
  <si>
    <t>manganese sulfate</t>
  </si>
  <si>
    <t>cobalt sulfate</t>
  </si>
  <si>
    <t xml:space="preserve">                      </t>
  </si>
  <si>
    <t>70% recovery rate is assumed according to Hanna (2025)</t>
  </si>
  <si>
    <t>lithium carbonate</t>
  </si>
  <si>
    <t>69% recovery rate is assumed according to Hanna (2025)</t>
  </si>
  <si>
    <t>nickel sulfate</t>
  </si>
  <si>
    <t>56% recovery rate is assumed according to Hanna (2025)</t>
  </si>
  <si>
    <t>LCI data from Table S7 according to Hanna et al. (2025)</t>
  </si>
  <si>
    <t>used Li-ion battery</t>
  </si>
  <si>
    <t xml:space="preserve">scaled up from 1 ton of used 1-ton NMC LIBP </t>
  </si>
  <si>
    <t>39kg/ton NMC, for dismantling and discharging</t>
  </si>
  <si>
    <t>market for sodium chloride, powder</t>
  </si>
  <si>
    <t>sodium chloride, powder</t>
  </si>
  <si>
    <t>4kg/ton NMC, for dismantling and discharging</t>
  </si>
  <si>
    <t>1.03m3 = 1030kg/ton battery, for crushing and drying</t>
  </si>
  <si>
    <t>135.46kWh/ton, for crushing and drying</t>
  </si>
  <si>
    <t>market for N-methyl-2-pyrrolidone</t>
  </si>
  <si>
    <t>N-methyl-2-pyrrolidone</t>
  </si>
  <si>
    <t>7.68kWh/ton, for stripping</t>
  </si>
  <si>
    <t>29.53kWh/ton, for black mass filtering</t>
  </si>
  <si>
    <t>666.38kg/ton, for black mass leaching</t>
  </si>
  <si>
    <t>market for hydrogen peroxide, without water, in 50% solution state</t>
  </si>
  <si>
    <t>hydrogen peroxide, without water, in 50% solution state</t>
  </si>
  <si>
    <t>40.8kg/ton, for black mass leaching</t>
  </si>
  <si>
    <t>3776kg/ton battery, for black mass leaching</t>
  </si>
  <si>
    <t>17.72 + 10kWh/ton, for black mass leaching and filtration</t>
  </si>
  <si>
    <t>market for tap water</t>
  </si>
  <si>
    <t>tap water</t>
  </si>
  <si>
    <t>605.04kg/ton battery, for flotation</t>
  </si>
  <si>
    <t>37.60kWh/ton battery, for flotation</t>
  </si>
  <si>
    <t>7.602kWh/ton battery, for Mn precipitation via extraction</t>
  </si>
  <si>
    <t>soda ash, light, crystalline, heptahydrate, to generic market for neutralising agent</t>
  </si>
  <si>
    <t>neutralising agent, sodium hydroxide-equivalent</t>
  </si>
  <si>
    <t>122kg/ton battery, for Mn precipitation via extraction</t>
  </si>
  <si>
    <t>organic solution, with cyanex272</t>
  </si>
  <si>
    <t>organic solvent</t>
  </si>
  <si>
    <t>225L with 95% solvent recovery / ton battery, for Co precipitation via extraction</t>
  </si>
  <si>
    <t>9.056kWh/ton battery, for Co crystallization</t>
  </si>
  <si>
    <t>38.89kWh/ton battery, for Reaction and Workup--&gt; 200kg CoSO4</t>
  </si>
  <si>
    <t>steam production, in chemical industry</t>
  </si>
  <si>
    <t>steam, in chemical industry</t>
  </si>
  <si>
    <t>240kg/ton battery, for Reaction and Workup --&gt; 200kg CoSO4</t>
  </si>
  <si>
    <t>215L with 95% solvent recovery / ton battery, for Ni precipitation via extraction</t>
  </si>
  <si>
    <t>4.67kWh/ton battery, for Ni crystallization</t>
  </si>
  <si>
    <t>38.31kWh/ton battery, for Reaction and Workup--&gt; 197kg NiSO4</t>
  </si>
  <si>
    <t>236.4kg/ton battery, for Reaction and Workup --&gt; 197kg NiSO4</t>
  </si>
  <si>
    <t>market for sodium sulfide</t>
  </si>
  <si>
    <t>sodium sulfide</t>
  </si>
  <si>
    <t>4.05kg/ton battery for CuS extraction --&gt; 90% copper recovery</t>
  </si>
  <si>
    <t>0.37kWh/ton battery, for CuS extraction via filtration</t>
  </si>
  <si>
    <t>market for sodium hydroxide, without water, in 50% solution state</t>
  </si>
  <si>
    <t>15.95kg / ton battery, for Al/Fe extraction</t>
  </si>
  <si>
    <t>0.676kWh/ton battery, for Al/Fe precipitation</t>
  </si>
  <si>
    <t>0.77kWh/ton battery, for Al/Fe S/L separation --&gt; 15.55kg Aluminium hydroxide filtered</t>
  </si>
  <si>
    <t>27.88kWh/ton battery, for sodium sulfate crystallization</t>
  </si>
  <si>
    <t>27.87kWh/ton battery, for soldium sulfate S/L separation --&gt; 460kg sodium sulfate filtered</t>
  </si>
  <si>
    <t>market for hydrated lime, loose</t>
  </si>
  <si>
    <t>hydrated lime, loose</t>
  </si>
  <si>
    <t>184.82kg/ton battery for gypsum extraction</t>
  </si>
  <si>
    <t>12.83kWh/ton battery, for gypsum precipitation</t>
  </si>
  <si>
    <t>21.37kWh/ton battery, for gypsum filtration --&gt; 430kg gypsum filtered</t>
  </si>
  <si>
    <t>221.41kg/ton battery, for lithium carbonate isolation</t>
  </si>
  <si>
    <t>6.956kWh/ton battery, for lithium carbonate precipitation</t>
  </si>
  <si>
    <t>7.67kWh/ton battery, for lithium carbonate S/L separation --&gt; 154.36kg crude LiCO3 filtered</t>
  </si>
  <si>
    <t>3821.12kg/ton battery --&gt; 3821.12E-3 m3</t>
  </si>
  <si>
    <t>LCI data from Table S16 according to Hanna et al. (2025)</t>
  </si>
  <si>
    <t>market for limestone, unprocessed</t>
  </si>
  <si>
    <t>limestone, unprocessed</t>
  </si>
  <si>
    <t>160kg/ton NMC, for Preheating, Pyrolysis &amp; Smelting</t>
  </si>
  <si>
    <t>market for silica sand</t>
  </si>
  <si>
    <t>silica sand</t>
  </si>
  <si>
    <t>40kg/ton NMC, for Preheating, Pyrolysis &amp; Smelting</t>
  </si>
  <si>
    <t>440kWh/ton battery, for Preheating, Pyrolysis &amp; Smelting</t>
  </si>
  <si>
    <t>market for oxygen, liquid</t>
  </si>
  <si>
    <t>oxygen, liquid</t>
  </si>
  <si>
    <t>149.856kg/ton battery for Preheating, Pyrolysis &amp; Smelting</t>
  </si>
  <si>
    <t>Carbon dioxide, in air</t>
  </si>
  <si>
    <t>natural resource::in air</t>
  </si>
  <si>
    <t>biosphere</t>
  </si>
  <si>
    <t xml:space="preserve">graphite (190kg) is completely burned </t>
  </si>
  <si>
    <t>offgas cleaning, pyrolysis</t>
  </si>
  <si>
    <t>offgas cleaning</t>
  </si>
  <si>
    <t>305.5kg/ton, for leaching and Cu precipitation</t>
  </si>
  <si>
    <t>412kg/ton, for leaching and Cu precipitation</t>
  </si>
  <si>
    <t>1944kg/ton for leaching and Cu precipitation</t>
  </si>
  <si>
    <t>21.955kWh/ton battery, for leaching</t>
  </si>
  <si>
    <t>22.09kWh/ton battery, for filtration --&gt; 72.08 × 0.998*0.95 = 68.34kg Cu filtered and 6.02*1*0.95 = 5.72kg Fe filtered</t>
  </si>
  <si>
    <t>155.65L with 95% solvent recovery / ton battery, for Co precipitation via extraction</t>
  </si>
  <si>
    <t>9.02kWh/ton battery, for Co crystallization --&gt; 78.23 kg Co crsytallized with 0.98 recovery rate</t>
  </si>
  <si>
    <t>40.83kWh/ton battery, for Reaction and Workup--&gt; 209.98kg CoSO4</t>
  </si>
  <si>
    <t>251.98kg/ton battery, for Reaction and Workup --&gt; 209.98kg CoSO4</t>
  </si>
  <si>
    <t>145.15L with 95% solvent recovery / ton battery, for Ni precipitation via extraction</t>
  </si>
  <si>
    <t>40.27kWh/ton battery, for Reaction and Workup--&gt; 207.11kg NiSO4</t>
  </si>
  <si>
    <t>248.53kg/ton battery, for Reaction and Workup --&gt; 207.11kg NiSO4</t>
  </si>
  <si>
    <t>10L/kg lithium</t>
  </si>
  <si>
    <t>market for carbon dioxide, liquid</t>
  </si>
  <si>
    <t>carbon dioxide, liquid</t>
  </si>
  <si>
    <t>72.35kg/ton CO2</t>
  </si>
  <si>
    <t>32.18kWh/ton battery, for filtration --&gt; 70% Lithium covered from flue dust with 108kg/ton</t>
  </si>
  <si>
    <t>LCI data from Table S20 according to Hanna et al. (2025)</t>
  </si>
  <si>
    <t>market group for hard coal</t>
  </si>
  <si>
    <t>hard coal</t>
  </si>
  <si>
    <t>crude coal</t>
  </si>
  <si>
    <t>heat production, natural gas, at industrial furnace low-NOx &gt;100kW</t>
  </si>
  <si>
    <t>Steam</t>
  </si>
  <si>
    <t>treatment of hard coal ash, municipal incineration FAE</t>
  </si>
  <si>
    <t>hard coal ash</t>
  </si>
  <si>
    <t>LCI data from Table S8 according to Hanna et al. (2025)</t>
  </si>
  <si>
    <t>5% modifier is neglected</t>
  </si>
  <si>
    <t>cyanex272 production</t>
  </si>
  <si>
    <t>cyanex272</t>
  </si>
  <si>
    <t>150ml</t>
  </si>
  <si>
    <t>market for naphtha</t>
  </si>
  <si>
    <t>naphtha</t>
  </si>
  <si>
    <t>800 ml</t>
  </si>
  <si>
    <t>LCI data from Table S9 according to Hanna et al. (2025)</t>
  </si>
  <si>
    <t>market for 3-methyl-1-butanol</t>
  </si>
  <si>
    <t>3-methyl-1-butanol</t>
  </si>
  <si>
    <t>sodium hypophosphite production</t>
  </si>
  <si>
    <t>sodium hypophosphite</t>
  </si>
  <si>
    <t>Phosphine</t>
  </si>
  <si>
    <t>water</t>
  </si>
  <si>
    <t>LCI data from Table S10 according to Hanna et al. (2025)</t>
  </si>
  <si>
    <t>phosphorus production, white, liquid</t>
  </si>
  <si>
    <t>phosphorus, white, liquid</t>
  </si>
  <si>
    <t>megajoule</t>
  </si>
  <si>
    <t>treatment of used Li-ion battery with pyrometallurgical treatment</t>
  </si>
  <si>
    <t>treatment of used Li-ion battery with hydrometallurgical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</si>
</sst>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1" applyFont="1"/>
    <xf numFmtId="0" fontId="1" fillId="0" borderId="0" xfId="1"/>
    <xf numFmtId="0" fontId="1" fillId="2" borderId="0" xfId="1" applyFill="1"/>
    <xf numFmtId="0" fontId="2" fillId="3" borderId="0" xfId="1" applyFont="1" applyFill="1"/>
    <xf numFmtId="0" fontId="1" fillId="3" borderId="0" xfId="1" applyFill="1"/>
    <xf numFmtId="11" fontId="1" fillId="3" borderId="0" xfId="1" applyNumberFormat="1" applyFill="1"/>
    <xf numFmtId="0" fontId="2" fillId="4" borderId="0" xfId="1" applyFont="1" applyFill="1"/>
    <xf numFmtId="0" fontId="1" fillId="4" borderId="0" xfId="1" applyFill="1"/>
    <xf numFmtId="0" fontId="1" fillId="3" borderId="0" xfId="1" applyFill="1" applyAlignment="1">
      <alignment wrapText="1"/>
    </xf>
    <xf numFmtId="0" fontId="1" fillId="4" borderId="0" xfId="1" applyFill="1" applyAlignment="1">
      <alignment wrapText="1"/>
    </xf>
    <xf numFmtId="0" fontId="3" fillId="0" borderId="0" xfId="2" applyAlignment="1">
      <alignment wrapText="1"/>
    </xf>
    <xf numFmtId="0" fontId="2" fillId="0" borderId="0" xfId="1" applyFont="1" applyAlignment="1">
      <alignment wrapText="1"/>
    </xf>
    <xf numFmtId="0" fontId="1" fillId="0" borderId="0" xfId="1" applyAlignment="1">
      <alignment wrapText="1"/>
    </xf>
    <xf numFmtId="0" fontId="2" fillId="5" borderId="0" xfId="1" applyFont="1" applyFill="1"/>
    <xf numFmtId="0" fontId="1" fillId="5" borderId="0" xfId="1" applyFill="1"/>
    <xf numFmtId="0" fontId="0" fillId="5" borderId="0" xfId="0" applyFill="1"/>
    <xf numFmtId="0" fontId="1" fillId="5" borderId="0" xfId="1" applyFill="1" applyAlignment="1">
      <alignment wrapText="1"/>
    </xf>
    <xf numFmtId="11" fontId="1" fillId="5" borderId="0" xfId="1" applyNumberFormat="1" applyFill="1"/>
    <xf numFmtId="164" fontId="1" fillId="5" borderId="0" xfId="1" applyNumberFormat="1" applyFill="1"/>
    <xf numFmtId="2" fontId="1" fillId="5" borderId="0" xfId="1" applyNumberFormat="1" applyFill="1"/>
    <xf numFmtId="11" fontId="1" fillId="0" borderId="0" xfId="1" applyNumberFormat="1"/>
    <xf numFmtId="2" fontId="1" fillId="3" borderId="0" xfId="1" applyNumberFormat="1" applyFill="1"/>
    <xf numFmtId="0" fontId="0" fillId="3" borderId="0" xfId="0" applyFill="1"/>
    <xf numFmtId="11" fontId="1" fillId="0" borderId="0" xfId="1" applyNumberFormat="1" applyAlignment="1">
      <alignment wrapText="1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is.polito.it/retrieve/dae18e96-f5f2-43f7-9900-11aaca5cc08b/batteries-09-0023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0D84-DB86-47BC-8417-75C9225549F9}">
  <dimension ref="A1:R232"/>
  <sheetViews>
    <sheetView tabSelected="1" zoomScale="72" zoomScaleNormal="45" workbookViewId="0">
      <selection activeCell="C8" sqref="C8"/>
    </sheetView>
  </sheetViews>
  <sheetFormatPr defaultRowHeight="14.5" x14ac:dyDescent="0.35"/>
  <cols>
    <col min="1" max="1" width="48.6328125" customWidth="1"/>
    <col min="2" max="2" width="19.54296875" customWidth="1"/>
    <col min="3" max="3" width="29.81640625" bestFit="1" customWidth="1"/>
    <col min="4" max="4" width="13.08984375" bestFit="1" customWidth="1"/>
    <col min="5" max="5" width="24.90625" bestFit="1" customWidth="1"/>
    <col min="6" max="6" width="15" bestFit="1" customWidth="1"/>
    <col min="7" max="7" width="68.7265625" bestFit="1" customWidth="1"/>
    <col min="8" max="8" width="137" customWidth="1"/>
    <col min="9" max="9" width="8.1796875" bestFit="1" customWidth="1"/>
    <col min="10" max="10" width="15.81640625" bestFit="1" customWidth="1"/>
    <col min="11" max="11" width="3.453125" bestFit="1" customWidth="1"/>
    <col min="18" max="18" width="65.1796875" customWidth="1"/>
  </cols>
  <sheetData>
    <row r="1" spans="1:18" s="2" customFormat="1" ht="58" x14ac:dyDescent="0.35">
      <c r="A1" s="3" t="s">
        <v>18</v>
      </c>
      <c r="B1" s="3" t="s">
        <v>40</v>
      </c>
      <c r="P1" s="1"/>
      <c r="R1" s="11" t="s">
        <v>41</v>
      </c>
    </row>
    <row r="2" spans="1:18" s="2" customFormat="1" ht="15.5" x14ac:dyDescent="0.35">
      <c r="P2" s="1"/>
      <c r="R2" s="12"/>
    </row>
    <row r="3" spans="1:18" s="2" customFormat="1" ht="15.5" x14ac:dyDescent="0.35">
      <c r="A3" s="7" t="s">
        <v>0</v>
      </c>
      <c r="B3" s="7" t="s">
        <v>172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/>
    </row>
    <row r="4" spans="1:18" s="2" customFormat="1" ht="15.5" x14ac:dyDescent="0.35">
      <c r="A4" s="8" t="s">
        <v>3</v>
      </c>
      <c r="B4" s="8" t="s">
        <v>42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8" s="2" customFormat="1" ht="15.5" x14ac:dyDescent="0.35">
      <c r="A5" s="8" t="s">
        <v>1</v>
      </c>
      <c r="B5" s="8" t="s">
        <v>28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8" s="2" customFormat="1" ht="15.5" x14ac:dyDescent="0.35">
      <c r="A6" s="8" t="s">
        <v>2</v>
      </c>
      <c r="B6" s="8">
        <v>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R6" s="1"/>
    </row>
    <row r="7" spans="1:18" s="2" customFormat="1" ht="15.5" x14ac:dyDescent="0.35">
      <c r="A7" s="8" t="s">
        <v>4</v>
      </c>
      <c r="B7" s="8" t="s">
        <v>43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8" s="2" customFormat="1" ht="15.5" x14ac:dyDescent="0.35">
      <c r="A8" s="8" t="s">
        <v>5</v>
      </c>
      <c r="B8" s="8" t="s">
        <v>44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8" s="2" customFormat="1" ht="15.5" x14ac:dyDescent="0.35">
      <c r="A9" s="8" t="s">
        <v>6</v>
      </c>
      <c r="B9" s="8" t="s">
        <v>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8" s="2" customFormat="1" ht="15.5" x14ac:dyDescent="0.35">
      <c r="A10" s="8" t="s">
        <v>8</v>
      </c>
      <c r="B10" s="8" t="s">
        <v>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8" s="2" customFormat="1" ht="15.5" x14ac:dyDescent="0.35">
      <c r="A11" s="7" t="s">
        <v>10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8" s="2" customFormat="1" ht="15.5" x14ac:dyDescent="0.35">
      <c r="A12" s="7" t="s">
        <v>11</v>
      </c>
      <c r="B12" s="7" t="s">
        <v>12</v>
      </c>
      <c r="C12" s="7" t="s">
        <v>1</v>
      </c>
      <c r="D12" s="7" t="s">
        <v>8</v>
      </c>
      <c r="E12" s="7" t="s">
        <v>13</v>
      </c>
      <c r="F12" s="7" t="s">
        <v>6</v>
      </c>
      <c r="G12" s="7" t="s">
        <v>5</v>
      </c>
      <c r="H12" s="7" t="s">
        <v>3</v>
      </c>
      <c r="I12" s="7" t="s">
        <v>19</v>
      </c>
      <c r="J12" s="7" t="s">
        <v>20</v>
      </c>
      <c r="K12" s="7" t="s">
        <v>21</v>
      </c>
      <c r="L12" s="7" t="s">
        <v>22</v>
      </c>
      <c r="M12" s="7" t="s">
        <v>23</v>
      </c>
      <c r="N12" s="7" t="s">
        <v>24</v>
      </c>
      <c r="O12" s="7" t="s">
        <v>25</v>
      </c>
    </row>
    <row r="13" spans="1:18" ht="31" x14ac:dyDescent="0.35">
      <c r="A13" s="10" t="str">
        <f>B3</f>
        <v>treatment of used Li-ion battery with hydrometallurgical treatment</v>
      </c>
      <c r="B13" s="8">
        <f>160000/160000</f>
        <v>1</v>
      </c>
      <c r="C13" s="8" t="str">
        <f>B5</f>
        <v>RER</v>
      </c>
      <c r="D13" s="8" t="s">
        <v>9</v>
      </c>
      <c r="E13" s="8"/>
      <c r="F13" s="8" t="s">
        <v>14</v>
      </c>
      <c r="G13" s="8" t="s">
        <v>44</v>
      </c>
      <c r="H13" s="8"/>
      <c r="I13" s="8"/>
      <c r="J13" s="8"/>
      <c r="K13" s="8"/>
      <c r="L13" s="8"/>
      <c r="M13" s="8"/>
      <c r="N13" s="8"/>
      <c r="O13" s="8"/>
    </row>
    <row r="15" spans="1:18" s="2" customFormat="1" ht="15.5" x14ac:dyDescent="0.35">
      <c r="A15" s="7" t="s">
        <v>0</v>
      </c>
      <c r="B15" s="7" t="s">
        <v>172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1"/>
      <c r="R15" s="13"/>
    </row>
    <row r="16" spans="1:18" s="2" customFormat="1" ht="15.5" x14ac:dyDescent="0.35">
      <c r="A16" s="8" t="s">
        <v>3</v>
      </c>
      <c r="B16" s="8" t="s">
        <v>42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8" s="2" customFormat="1" ht="15.5" x14ac:dyDescent="0.35">
      <c r="A17" s="8" t="s">
        <v>1</v>
      </c>
      <c r="B17" s="8" t="s">
        <v>28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8" s="2" customFormat="1" ht="15.5" x14ac:dyDescent="0.35">
      <c r="A18" s="8" t="s">
        <v>2</v>
      </c>
      <c r="B18" s="8">
        <v>1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R18" s="1"/>
    </row>
    <row r="19" spans="1:18" s="2" customFormat="1" ht="15.5" x14ac:dyDescent="0.35">
      <c r="A19" s="8" t="s">
        <v>4</v>
      </c>
      <c r="B19" s="8" t="s">
        <v>43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8" s="2" customFormat="1" ht="15.5" x14ac:dyDescent="0.35">
      <c r="A20" s="8" t="s">
        <v>5</v>
      </c>
      <c r="B20" s="8" t="s">
        <v>45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8" s="2" customFormat="1" ht="15.5" x14ac:dyDescent="0.35">
      <c r="A21" s="8" t="s">
        <v>6</v>
      </c>
      <c r="B21" s="8" t="s">
        <v>7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8" s="2" customFormat="1" ht="15.5" x14ac:dyDescent="0.35">
      <c r="A22" s="8" t="s">
        <v>8</v>
      </c>
      <c r="B22" s="8" t="s">
        <v>9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8" s="2" customFormat="1" ht="15.5" x14ac:dyDescent="0.35">
      <c r="A23" s="7" t="s">
        <v>10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8" s="2" customFormat="1" ht="15.5" x14ac:dyDescent="0.35">
      <c r="A24" s="7" t="s">
        <v>11</v>
      </c>
      <c r="B24" s="7" t="s">
        <v>12</v>
      </c>
      <c r="C24" s="7" t="s">
        <v>1</v>
      </c>
      <c r="D24" s="7" t="s">
        <v>8</v>
      </c>
      <c r="E24" s="7" t="s">
        <v>13</v>
      </c>
      <c r="F24" s="7" t="s">
        <v>6</v>
      </c>
      <c r="G24" s="7" t="s">
        <v>5</v>
      </c>
      <c r="H24" s="7" t="s">
        <v>3</v>
      </c>
      <c r="I24" s="7" t="s">
        <v>19</v>
      </c>
      <c r="J24" s="7" t="s">
        <v>20</v>
      </c>
      <c r="K24" s="7" t="s">
        <v>21</v>
      </c>
      <c r="L24" s="7" t="s">
        <v>22</v>
      </c>
      <c r="M24" s="7" t="s">
        <v>23</v>
      </c>
      <c r="N24" s="7" t="s">
        <v>24</v>
      </c>
      <c r="O24" s="7" t="s">
        <v>25</v>
      </c>
    </row>
    <row r="25" spans="1:18" ht="31" x14ac:dyDescent="0.35">
      <c r="A25" s="10" t="str">
        <f>B15</f>
        <v>treatment of used Li-ion battery with hydrometallurgical treatment</v>
      </c>
      <c r="B25" s="8">
        <f>160000/160000</f>
        <v>1</v>
      </c>
      <c r="C25" s="8" t="str">
        <f>B17</f>
        <v>RER</v>
      </c>
      <c r="D25" s="8" t="s">
        <v>9</v>
      </c>
      <c r="E25" s="8"/>
      <c r="F25" s="8" t="s">
        <v>14</v>
      </c>
      <c r="G25" s="8" t="s">
        <v>45</v>
      </c>
      <c r="H25" s="8"/>
      <c r="I25" s="8"/>
      <c r="J25" s="8"/>
      <c r="K25" s="8"/>
      <c r="L25" s="8"/>
      <c r="M25" s="8"/>
      <c r="N25" s="8"/>
      <c r="O25" s="8"/>
    </row>
    <row r="27" spans="1:18" ht="15.5" x14ac:dyDescent="0.35">
      <c r="A27" s="7" t="s">
        <v>0</v>
      </c>
      <c r="B27" s="7" t="s">
        <v>172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1"/>
      <c r="Q27" s="2"/>
      <c r="R27" t="s">
        <v>46</v>
      </c>
    </row>
    <row r="28" spans="1:18" s="2" customFormat="1" ht="15.5" x14ac:dyDescent="0.35">
      <c r="A28" s="8" t="s">
        <v>3</v>
      </c>
      <c r="B28" s="8" t="s">
        <v>47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1"/>
    </row>
    <row r="29" spans="1:18" s="2" customFormat="1" ht="15.5" x14ac:dyDescent="0.35">
      <c r="A29" s="8" t="s">
        <v>1</v>
      </c>
      <c r="B29" s="8" t="s">
        <v>28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"/>
    </row>
    <row r="30" spans="1:18" s="2" customFormat="1" ht="15.5" x14ac:dyDescent="0.35">
      <c r="A30" s="8" t="s">
        <v>2</v>
      </c>
      <c r="B30" s="8">
        <v>1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"/>
    </row>
    <row r="31" spans="1:18" s="2" customFormat="1" ht="15.5" x14ac:dyDescent="0.35">
      <c r="A31" s="8" t="s">
        <v>4</v>
      </c>
      <c r="B31" s="8" t="s">
        <v>43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"/>
    </row>
    <row r="32" spans="1:18" s="2" customFormat="1" ht="15.5" x14ac:dyDescent="0.35">
      <c r="A32" s="8" t="s">
        <v>5</v>
      </c>
      <c r="B32" s="8" t="s">
        <v>48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1"/>
    </row>
    <row r="33" spans="1:17" s="2" customFormat="1" ht="15.5" x14ac:dyDescent="0.35">
      <c r="A33" s="8" t="s">
        <v>6</v>
      </c>
      <c r="B33" s="8" t="s">
        <v>7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/>
      <c r="Q33"/>
    </row>
    <row r="34" spans="1:17" s="2" customFormat="1" ht="15.5" x14ac:dyDescent="0.35">
      <c r="A34" s="8" t="s">
        <v>8</v>
      </c>
      <c r="B34" s="8" t="s">
        <v>9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/>
      <c r="Q34"/>
    </row>
    <row r="35" spans="1:17" s="2" customFormat="1" ht="15.5" x14ac:dyDescent="0.35">
      <c r="A35" s="7" t="s">
        <v>10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/>
      <c r="Q35"/>
    </row>
    <row r="36" spans="1:17" ht="15.5" x14ac:dyDescent="0.35">
      <c r="A36" s="7" t="s">
        <v>11</v>
      </c>
      <c r="B36" s="7" t="s">
        <v>12</v>
      </c>
      <c r="C36" s="7" t="s">
        <v>1</v>
      </c>
      <c r="D36" s="7" t="s">
        <v>8</v>
      </c>
      <c r="E36" s="7" t="s">
        <v>13</v>
      </c>
      <c r="F36" s="7" t="s">
        <v>6</v>
      </c>
      <c r="G36" s="7" t="s">
        <v>5</v>
      </c>
      <c r="H36" s="7" t="s">
        <v>3</v>
      </c>
      <c r="I36" s="7" t="s">
        <v>19</v>
      </c>
      <c r="J36" s="7" t="s">
        <v>20</v>
      </c>
      <c r="K36" s="7" t="s">
        <v>21</v>
      </c>
      <c r="L36" s="7" t="s">
        <v>22</v>
      </c>
      <c r="M36" s="7" t="s">
        <v>23</v>
      </c>
      <c r="N36" s="7" t="s">
        <v>24</v>
      </c>
      <c r="O36" s="7" t="s">
        <v>25</v>
      </c>
    </row>
    <row r="37" spans="1:17" ht="31" x14ac:dyDescent="0.35">
      <c r="A37" s="10" t="str">
        <f>B27</f>
        <v>treatment of used Li-ion battery with hydrometallurgical treatment</v>
      </c>
      <c r="B37" s="8">
        <f>160000/160000</f>
        <v>1</v>
      </c>
      <c r="C37" s="8" t="str">
        <f>B29</f>
        <v>RER</v>
      </c>
      <c r="D37" s="8" t="s">
        <v>9</v>
      </c>
      <c r="E37" s="8"/>
      <c r="F37" s="8" t="s">
        <v>14</v>
      </c>
      <c r="G37" s="8" t="s">
        <v>48</v>
      </c>
      <c r="H37" s="8"/>
      <c r="I37" s="8"/>
      <c r="J37" s="8"/>
      <c r="K37" s="8"/>
      <c r="L37" s="8"/>
      <c r="M37" s="8"/>
      <c r="N37" s="8"/>
      <c r="O37" s="8"/>
      <c r="P37" s="1"/>
      <c r="Q37" s="2"/>
    </row>
    <row r="38" spans="1:17" ht="15.5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"/>
      <c r="Q38" s="2"/>
    </row>
    <row r="39" spans="1:17" ht="15.5" x14ac:dyDescent="0.35">
      <c r="A39" s="7" t="s">
        <v>0</v>
      </c>
      <c r="B39" s="7" t="s">
        <v>172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1"/>
      <c r="Q39" s="2"/>
    </row>
    <row r="40" spans="1:17" s="2" customFormat="1" ht="15.5" x14ac:dyDescent="0.35">
      <c r="A40" s="8" t="s">
        <v>3</v>
      </c>
      <c r="B40" s="8" t="s">
        <v>49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1"/>
    </row>
    <row r="41" spans="1:17" s="2" customFormat="1" ht="15.5" x14ac:dyDescent="0.35">
      <c r="A41" s="8" t="s">
        <v>1</v>
      </c>
      <c r="B41" s="8" t="s">
        <v>28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1"/>
    </row>
    <row r="42" spans="1:17" s="2" customFormat="1" ht="15.5" x14ac:dyDescent="0.35">
      <c r="A42" s="8" t="s">
        <v>2</v>
      </c>
      <c r="B42" s="8">
        <v>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1"/>
    </row>
    <row r="43" spans="1:17" s="2" customFormat="1" ht="15.5" x14ac:dyDescent="0.35">
      <c r="A43" s="8" t="s">
        <v>4</v>
      </c>
      <c r="B43" s="8" t="s">
        <v>43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1"/>
    </row>
    <row r="44" spans="1:17" s="2" customFormat="1" ht="15.5" x14ac:dyDescent="0.35">
      <c r="A44" s="8" t="s">
        <v>5</v>
      </c>
      <c r="B44" s="8" t="s">
        <v>50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1"/>
    </row>
    <row r="45" spans="1:17" s="2" customFormat="1" ht="15.5" x14ac:dyDescent="0.35">
      <c r="A45" s="8" t="s">
        <v>6</v>
      </c>
      <c r="B45" s="8" t="s">
        <v>7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/>
      <c r="Q45"/>
    </row>
    <row r="46" spans="1:17" s="2" customFormat="1" ht="15.5" x14ac:dyDescent="0.35">
      <c r="A46" s="8" t="s">
        <v>8</v>
      </c>
      <c r="B46" s="8" t="s">
        <v>9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/>
      <c r="Q46"/>
    </row>
    <row r="47" spans="1:17" s="2" customFormat="1" ht="15.5" x14ac:dyDescent="0.35">
      <c r="A47" s="7" t="s">
        <v>10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/>
      <c r="Q47"/>
    </row>
    <row r="48" spans="1:17" ht="15.5" x14ac:dyDescent="0.35">
      <c r="A48" s="7" t="s">
        <v>11</v>
      </c>
      <c r="B48" s="7" t="s">
        <v>12</v>
      </c>
      <c r="C48" s="7" t="s">
        <v>1</v>
      </c>
      <c r="D48" s="7" t="s">
        <v>8</v>
      </c>
      <c r="E48" s="7" t="s">
        <v>13</v>
      </c>
      <c r="F48" s="7" t="s">
        <v>6</v>
      </c>
      <c r="G48" s="7" t="s">
        <v>5</v>
      </c>
      <c r="H48" s="7" t="s">
        <v>3</v>
      </c>
      <c r="I48" s="7" t="s">
        <v>19</v>
      </c>
      <c r="J48" s="7" t="s">
        <v>20</v>
      </c>
      <c r="K48" s="7" t="s">
        <v>21</v>
      </c>
      <c r="L48" s="7" t="s">
        <v>22</v>
      </c>
      <c r="M48" s="7" t="s">
        <v>23</v>
      </c>
      <c r="N48" s="7" t="s">
        <v>24</v>
      </c>
      <c r="O48" s="7" t="s">
        <v>25</v>
      </c>
    </row>
    <row r="49" spans="1:18" ht="31" x14ac:dyDescent="0.35">
      <c r="A49" s="10" t="str">
        <f>B39</f>
        <v>treatment of used Li-ion battery with hydrometallurgical treatment</v>
      </c>
      <c r="B49" s="8">
        <f>160000/160000</f>
        <v>1</v>
      </c>
      <c r="C49" s="8" t="str">
        <f>B41</f>
        <v>RER</v>
      </c>
      <c r="D49" s="8" t="s">
        <v>9</v>
      </c>
      <c r="E49" s="8"/>
      <c r="F49" s="8" t="s">
        <v>14</v>
      </c>
      <c r="G49" s="8" t="s">
        <v>50</v>
      </c>
      <c r="H49" s="8"/>
      <c r="I49" s="8"/>
      <c r="J49" s="8"/>
      <c r="K49" s="8"/>
      <c r="L49" s="8"/>
      <c r="M49" s="8"/>
      <c r="N49" s="8"/>
      <c r="O49" s="8"/>
      <c r="P49" s="1"/>
      <c r="Q49" s="2"/>
    </row>
    <row r="50" spans="1:18" ht="15.5" x14ac:dyDescent="0.35">
      <c r="A50" s="1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1"/>
      <c r="Q50" s="2"/>
    </row>
    <row r="51" spans="1:18" s="2" customFormat="1" ht="15.5" x14ac:dyDescent="0.35">
      <c r="A51" s="7" t="s">
        <v>0</v>
      </c>
      <c r="B51" s="7" t="s">
        <v>171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1"/>
      <c r="R51" s="13"/>
    </row>
    <row r="52" spans="1:18" s="2" customFormat="1" ht="15.5" x14ac:dyDescent="0.35">
      <c r="A52" s="8" t="s">
        <v>3</v>
      </c>
      <c r="B52" s="8" t="s">
        <v>42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8" s="2" customFormat="1" ht="15.5" x14ac:dyDescent="0.35">
      <c r="A53" s="8" t="s">
        <v>1</v>
      </c>
      <c r="B53" s="8" t="s">
        <v>28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8" s="2" customFormat="1" ht="15.5" x14ac:dyDescent="0.35">
      <c r="A54" s="8" t="s">
        <v>2</v>
      </c>
      <c r="B54" s="8">
        <v>1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R54" s="1"/>
    </row>
    <row r="55" spans="1:18" s="2" customFormat="1" ht="15.5" x14ac:dyDescent="0.35">
      <c r="A55" s="8" t="s">
        <v>4</v>
      </c>
      <c r="B55" s="8" t="s">
        <v>43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8" s="2" customFormat="1" ht="15.5" x14ac:dyDescent="0.35">
      <c r="A56" s="8" t="s">
        <v>5</v>
      </c>
      <c r="B56" s="8" t="s">
        <v>45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8" s="2" customFormat="1" ht="15.5" x14ac:dyDescent="0.35">
      <c r="A57" s="8" t="s">
        <v>6</v>
      </c>
      <c r="B57" s="8" t="s">
        <v>7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8" s="2" customFormat="1" ht="15.5" x14ac:dyDescent="0.35">
      <c r="A58" s="8" t="s">
        <v>8</v>
      </c>
      <c r="B58" s="8" t="s">
        <v>9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8" s="2" customFormat="1" ht="15.5" x14ac:dyDescent="0.35">
      <c r="A59" s="7" t="s">
        <v>10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8" s="2" customFormat="1" ht="15.5" x14ac:dyDescent="0.35">
      <c r="A60" s="7" t="s">
        <v>11</v>
      </c>
      <c r="B60" s="7" t="s">
        <v>12</v>
      </c>
      <c r="C60" s="7" t="s">
        <v>1</v>
      </c>
      <c r="D60" s="7" t="s">
        <v>8</v>
      </c>
      <c r="E60" s="7" t="s">
        <v>13</v>
      </c>
      <c r="F60" s="7" t="s">
        <v>6</v>
      </c>
      <c r="G60" s="7" t="s">
        <v>5</v>
      </c>
      <c r="H60" s="7" t="s">
        <v>3</v>
      </c>
      <c r="I60" s="7" t="s">
        <v>19</v>
      </c>
      <c r="J60" s="7" t="s">
        <v>20</v>
      </c>
      <c r="K60" s="7" t="s">
        <v>21</v>
      </c>
      <c r="L60" s="7" t="s">
        <v>22</v>
      </c>
      <c r="M60" s="7" t="s">
        <v>23</v>
      </c>
      <c r="N60" s="7" t="s">
        <v>24</v>
      </c>
      <c r="O60" s="7" t="s">
        <v>25</v>
      </c>
    </row>
    <row r="61" spans="1:18" ht="31" x14ac:dyDescent="0.35">
      <c r="A61" s="10" t="str">
        <f>B51</f>
        <v>treatment of used Li-ion battery with pyrometallurgical treatment</v>
      </c>
      <c r="B61" s="8">
        <f>160000/160000</f>
        <v>1</v>
      </c>
      <c r="C61" s="8" t="str">
        <f>B53</f>
        <v>RER</v>
      </c>
      <c r="D61" s="8" t="s">
        <v>9</v>
      </c>
      <c r="E61" s="8"/>
      <c r="F61" s="8" t="s">
        <v>14</v>
      </c>
      <c r="G61" s="8" t="s">
        <v>45</v>
      </c>
      <c r="H61" s="8"/>
      <c r="I61" s="8"/>
      <c r="J61" s="8"/>
      <c r="K61" s="8"/>
      <c r="L61" s="8"/>
      <c r="M61" s="8"/>
      <c r="N61" s="8"/>
      <c r="O61" s="8"/>
    </row>
    <row r="63" spans="1:18" ht="15.5" x14ac:dyDescent="0.35">
      <c r="A63" s="7" t="s">
        <v>0</v>
      </c>
      <c r="B63" s="7" t="s">
        <v>171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1"/>
      <c r="Q63" s="2"/>
      <c r="R63" t="s">
        <v>46</v>
      </c>
    </row>
    <row r="64" spans="1:18" s="2" customFormat="1" ht="15.5" x14ac:dyDescent="0.35">
      <c r="A64" s="8" t="s">
        <v>3</v>
      </c>
      <c r="B64" s="8" t="s">
        <v>51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1"/>
    </row>
    <row r="65" spans="1:17" s="2" customFormat="1" ht="15.5" x14ac:dyDescent="0.35">
      <c r="A65" s="8" t="s">
        <v>1</v>
      </c>
      <c r="B65" s="8" t="s">
        <v>28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1"/>
    </row>
    <row r="66" spans="1:17" s="2" customFormat="1" ht="15.5" x14ac:dyDescent="0.35">
      <c r="A66" s="8" t="s">
        <v>2</v>
      </c>
      <c r="B66" s="8">
        <v>1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1"/>
    </row>
    <row r="67" spans="1:17" s="2" customFormat="1" ht="15.5" x14ac:dyDescent="0.35">
      <c r="A67" s="8" t="s">
        <v>4</v>
      </c>
      <c r="B67" s="8" t="s">
        <v>43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1"/>
    </row>
    <row r="68" spans="1:17" s="2" customFormat="1" ht="15.5" x14ac:dyDescent="0.35">
      <c r="A68" s="8" t="s">
        <v>5</v>
      </c>
      <c r="B68" s="8" t="s">
        <v>48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1"/>
    </row>
    <row r="69" spans="1:17" s="2" customFormat="1" ht="15.5" x14ac:dyDescent="0.35">
      <c r="A69" s="8" t="s">
        <v>6</v>
      </c>
      <c r="B69" s="8" t="s">
        <v>7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/>
      <c r="Q69"/>
    </row>
    <row r="70" spans="1:17" s="2" customFormat="1" ht="15.5" x14ac:dyDescent="0.35">
      <c r="A70" s="8" t="s">
        <v>8</v>
      </c>
      <c r="B70" s="8" t="s">
        <v>9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/>
      <c r="Q70"/>
    </row>
    <row r="71" spans="1:17" s="2" customFormat="1" ht="15.5" x14ac:dyDescent="0.35">
      <c r="A71" s="7" t="s">
        <v>10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/>
      <c r="Q71"/>
    </row>
    <row r="72" spans="1:17" ht="15.5" x14ac:dyDescent="0.35">
      <c r="A72" s="7" t="s">
        <v>11</v>
      </c>
      <c r="B72" s="7" t="s">
        <v>12</v>
      </c>
      <c r="C72" s="7" t="s">
        <v>1</v>
      </c>
      <c r="D72" s="7" t="s">
        <v>8</v>
      </c>
      <c r="E72" s="7" t="s">
        <v>13</v>
      </c>
      <c r="F72" s="7" t="s">
        <v>6</v>
      </c>
      <c r="G72" s="7" t="s">
        <v>5</v>
      </c>
      <c r="H72" s="7" t="s">
        <v>3</v>
      </c>
      <c r="I72" s="7" t="s">
        <v>19</v>
      </c>
      <c r="J72" s="7" t="s">
        <v>20</v>
      </c>
      <c r="K72" s="7" t="s">
        <v>21</v>
      </c>
      <c r="L72" s="7" t="s">
        <v>22</v>
      </c>
      <c r="M72" s="7" t="s">
        <v>23</v>
      </c>
      <c r="N72" s="7" t="s">
        <v>24</v>
      </c>
      <c r="O72" s="7" t="s">
        <v>25</v>
      </c>
    </row>
    <row r="73" spans="1:17" ht="31" x14ac:dyDescent="0.35">
      <c r="A73" s="10" t="str">
        <f>B63</f>
        <v>treatment of used Li-ion battery with pyrometallurgical treatment</v>
      </c>
      <c r="B73" s="8">
        <f>160000/160000</f>
        <v>1</v>
      </c>
      <c r="C73" s="8" t="str">
        <f>B65</f>
        <v>RER</v>
      </c>
      <c r="D73" s="8" t="s">
        <v>9</v>
      </c>
      <c r="E73" s="8"/>
      <c r="F73" s="8" t="s">
        <v>14</v>
      </c>
      <c r="G73" s="8" t="s">
        <v>48</v>
      </c>
      <c r="H73" s="8"/>
      <c r="I73" s="8"/>
      <c r="J73" s="8"/>
      <c r="K73" s="8"/>
      <c r="L73" s="8"/>
      <c r="M73" s="8"/>
      <c r="N73" s="8"/>
      <c r="O73" s="8"/>
      <c r="P73" s="1"/>
      <c r="Q73" s="2"/>
    </row>
    <row r="74" spans="1:17" ht="15.5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"/>
      <c r="Q74" s="2"/>
    </row>
    <row r="75" spans="1:17" ht="15.5" x14ac:dyDescent="0.35">
      <c r="A75" s="7" t="s">
        <v>0</v>
      </c>
      <c r="B75" s="7" t="s">
        <v>171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1"/>
      <c r="Q75" s="2"/>
    </row>
    <row r="76" spans="1:17" s="2" customFormat="1" ht="15.5" x14ac:dyDescent="0.35">
      <c r="A76" s="8" t="s">
        <v>3</v>
      </c>
      <c r="B76" s="8" t="s">
        <v>49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1"/>
    </row>
    <row r="77" spans="1:17" s="2" customFormat="1" ht="15.5" x14ac:dyDescent="0.35">
      <c r="A77" s="8" t="s">
        <v>1</v>
      </c>
      <c r="B77" s="8" t="s">
        <v>28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1"/>
    </row>
    <row r="78" spans="1:17" s="2" customFormat="1" ht="15.5" x14ac:dyDescent="0.35">
      <c r="A78" s="8" t="s">
        <v>2</v>
      </c>
      <c r="B78" s="8">
        <v>1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1"/>
    </row>
    <row r="79" spans="1:17" s="2" customFormat="1" ht="15.5" x14ac:dyDescent="0.35">
      <c r="A79" s="8" t="s">
        <v>4</v>
      </c>
      <c r="B79" s="8" t="s">
        <v>43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1"/>
    </row>
    <row r="80" spans="1:17" s="2" customFormat="1" ht="15.5" x14ac:dyDescent="0.35">
      <c r="A80" s="8" t="s">
        <v>5</v>
      </c>
      <c r="B80" s="8" t="s">
        <v>50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1"/>
    </row>
    <row r="81" spans="1:17" s="2" customFormat="1" ht="15.5" x14ac:dyDescent="0.35">
      <c r="A81" s="8" t="s">
        <v>6</v>
      </c>
      <c r="B81" s="8" t="s">
        <v>7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/>
      <c r="Q81"/>
    </row>
    <row r="82" spans="1:17" s="2" customFormat="1" ht="15.5" x14ac:dyDescent="0.35">
      <c r="A82" s="8" t="s">
        <v>8</v>
      </c>
      <c r="B82" s="8" t="s">
        <v>9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/>
      <c r="Q82"/>
    </row>
    <row r="83" spans="1:17" s="2" customFormat="1" ht="15.5" x14ac:dyDescent="0.35">
      <c r="A83" s="7" t="s">
        <v>10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/>
      <c r="Q83"/>
    </row>
    <row r="84" spans="1:17" ht="15.5" x14ac:dyDescent="0.35">
      <c r="A84" s="7" t="s">
        <v>11</v>
      </c>
      <c r="B84" s="7" t="s">
        <v>12</v>
      </c>
      <c r="C84" s="7" t="s">
        <v>1</v>
      </c>
      <c r="D84" s="7" t="s">
        <v>8</v>
      </c>
      <c r="E84" s="7" t="s">
        <v>13</v>
      </c>
      <c r="F84" s="7" t="s">
        <v>6</v>
      </c>
      <c r="G84" s="7" t="s">
        <v>5</v>
      </c>
      <c r="H84" s="7" t="s">
        <v>3</v>
      </c>
      <c r="I84" s="7" t="s">
        <v>19</v>
      </c>
      <c r="J84" s="7" t="s">
        <v>20</v>
      </c>
      <c r="K84" s="7" t="s">
        <v>21</v>
      </c>
      <c r="L84" s="7" t="s">
        <v>22</v>
      </c>
      <c r="M84" s="7" t="s">
        <v>23</v>
      </c>
      <c r="N84" s="7" t="s">
        <v>24</v>
      </c>
      <c r="O84" s="7" t="s">
        <v>25</v>
      </c>
    </row>
    <row r="85" spans="1:17" ht="31" x14ac:dyDescent="0.35">
      <c r="A85" s="10" t="str">
        <f>B75</f>
        <v>treatment of used Li-ion battery with pyrometallurgical treatment</v>
      </c>
      <c r="B85" s="8">
        <f>160000/160000</f>
        <v>1</v>
      </c>
      <c r="C85" s="8" t="str">
        <f>B77</f>
        <v>RER</v>
      </c>
      <c r="D85" s="8" t="s">
        <v>9</v>
      </c>
      <c r="E85" s="8"/>
      <c r="F85" s="8" t="s">
        <v>14</v>
      </c>
      <c r="G85" s="8" t="s">
        <v>50</v>
      </c>
      <c r="H85" s="8"/>
      <c r="I85" s="8"/>
      <c r="J85" s="8"/>
      <c r="K85" s="8"/>
      <c r="L85" s="8"/>
      <c r="M85" s="8"/>
      <c r="N85" s="8"/>
      <c r="O85" s="8"/>
      <c r="P85" s="1"/>
      <c r="Q85" s="2"/>
    </row>
    <row r="86" spans="1:17" ht="15.5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1"/>
      <c r="Q86" s="2"/>
    </row>
    <row r="87" spans="1:17" s="16" customFormat="1" ht="15.5" x14ac:dyDescent="0.35">
      <c r="A87" s="14" t="s">
        <v>0</v>
      </c>
      <c r="B87" s="14" t="s">
        <v>172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4"/>
      <c r="Q87" s="15"/>
    </row>
    <row r="88" spans="1:17" s="16" customFormat="1" ht="15.5" x14ac:dyDescent="0.35">
      <c r="A88" s="15" t="s">
        <v>3</v>
      </c>
      <c r="B88" s="15" t="s">
        <v>52</v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4"/>
      <c r="Q88" s="15"/>
    </row>
    <row r="89" spans="1:17" s="15" customFormat="1" ht="15.5" x14ac:dyDescent="0.35">
      <c r="A89" s="15" t="s">
        <v>1</v>
      </c>
      <c r="B89" s="15" t="s">
        <v>28</v>
      </c>
      <c r="P89" s="14"/>
    </row>
    <row r="90" spans="1:17" s="15" customFormat="1" ht="15.5" x14ac:dyDescent="0.35">
      <c r="A90" s="15" t="s">
        <v>2</v>
      </c>
      <c r="B90" s="15">
        <v>-1</v>
      </c>
      <c r="P90" s="16"/>
      <c r="Q90" s="16"/>
    </row>
    <row r="91" spans="1:17" s="15" customFormat="1" ht="15.5" x14ac:dyDescent="0.35">
      <c r="A91" s="15" t="s">
        <v>4</v>
      </c>
      <c r="B91" s="15" t="s">
        <v>43</v>
      </c>
      <c r="P91" s="16"/>
      <c r="Q91" s="16"/>
    </row>
    <row r="92" spans="1:17" s="15" customFormat="1" ht="15.5" x14ac:dyDescent="0.35">
      <c r="A92" s="15" t="s">
        <v>5</v>
      </c>
      <c r="B92" s="15" t="s">
        <v>53</v>
      </c>
      <c r="P92" s="16"/>
      <c r="Q92" s="16"/>
    </row>
    <row r="93" spans="1:17" s="16" customFormat="1" ht="15.5" x14ac:dyDescent="0.35">
      <c r="A93" s="15" t="s">
        <v>6</v>
      </c>
      <c r="B93" s="15" t="s">
        <v>7</v>
      </c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1:17" s="15" customFormat="1" ht="15.5" x14ac:dyDescent="0.35">
      <c r="A94" s="15" t="s">
        <v>8</v>
      </c>
      <c r="B94" s="15" t="s">
        <v>9</v>
      </c>
      <c r="P94" s="16"/>
      <c r="Q94" s="16"/>
    </row>
    <row r="95" spans="1:17" s="15" customFormat="1" ht="15.5" x14ac:dyDescent="0.35">
      <c r="A95" s="14" t="s">
        <v>10</v>
      </c>
      <c r="P95" s="16"/>
      <c r="Q95" s="16"/>
    </row>
    <row r="96" spans="1:17" s="15" customFormat="1" ht="15.5" x14ac:dyDescent="0.35">
      <c r="A96" s="14" t="s">
        <v>11</v>
      </c>
      <c r="B96" s="14" t="s">
        <v>12</v>
      </c>
      <c r="C96" s="14" t="s">
        <v>1</v>
      </c>
      <c r="D96" s="14" t="s">
        <v>8</v>
      </c>
      <c r="E96" s="14" t="s">
        <v>13</v>
      </c>
      <c r="F96" s="14" t="s">
        <v>6</v>
      </c>
      <c r="G96" s="14" t="s">
        <v>5</v>
      </c>
      <c r="H96" s="14" t="s">
        <v>3</v>
      </c>
      <c r="I96" s="14" t="s">
        <v>19</v>
      </c>
      <c r="J96" s="14" t="s">
        <v>20</v>
      </c>
      <c r="K96" s="14" t="s">
        <v>21</v>
      </c>
      <c r="L96" s="14" t="s">
        <v>22</v>
      </c>
      <c r="M96" s="14" t="s">
        <v>23</v>
      </c>
      <c r="N96" s="14" t="s">
        <v>24</v>
      </c>
      <c r="O96" s="14" t="s">
        <v>25</v>
      </c>
      <c r="P96" s="16"/>
      <c r="Q96" s="16"/>
    </row>
    <row r="97" spans="1:17" s="16" customFormat="1" ht="31" x14ac:dyDescent="0.35">
      <c r="A97" s="17" t="str">
        <f>B87</f>
        <v>treatment of used Li-ion battery with hydrometallurgical treatment</v>
      </c>
      <c r="B97" s="15">
        <v>-1</v>
      </c>
      <c r="C97" s="15" t="str">
        <f>B89</f>
        <v>RER</v>
      </c>
      <c r="D97" s="15" t="str">
        <f>B94</f>
        <v>kilogram</v>
      </c>
      <c r="E97" s="15"/>
      <c r="F97" s="15" t="s">
        <v>14</v>
      </c>
      <c r="G97" s="15" t="str">
        <f>B92</f>
        <v>used Li-ion battery</v>
      </c>
      <c r="H97" s="17" t="s">
        <v>54</v>
      </c>
      <c r="I97" s="15"/>
      <c r="J97" s="15"/>
      <c r="K97" s="15"/>
      <c r="L97" s="15"/>
      <c r="M97" s="15"/>
      <c r="N97" s="15"/>
      <c r="O97" s="15"/>
    </row>
    <row r="98" spans="1:17" s="16" customFormat="1" ht="15.5" x14ac:dyDescent="0.35">
      <c r="A98" s="17" t="s">
        <v>35</v>
      </c>
      <c r="B98" s="18">
        <f>39/1000</f>
        <v>3.9E-2</v>
      </c>
      <c r="C98" s="15" t="s">
        <v>16</v>
      </c>
      <c r="D98" s="15" t="s">
        <v>9</v>
      </c>
      <c r="E98" s="15"/>
      <c r="F98" s="15" t="s">
        <v>15</v>
      </c>
      <c r="G98" s="15" t="s">
        <v>34</v>
      </c>
      <c r="H98" s="15" t="s">
        <v>55</v>
      </c>
      <c r="I98" s="15"/>
      <c r="J98" s="15"/>
      <c r="K98" s="15"/>
      <c r="L98" s="15"/>
      <c r="M98" s="15"/>
      <c r="N98" s="15"/>
      <c r="O98" s="15"/>
      <c r="P98" s="14"/>
      <c r="Q98" s="15"/>
    </row>
    <row r="99" spans="1:17" s="16" customFormat="1" ht="15.5" x14ac:dyDescent="0.35">
      <c r="A99" s="17" t="s">
        <v>56</v>
      </c>
      <c r="B99" s="19">
        <f>4/1000</f>
        <v>4.0000000000000001E-3</v>
      </c>
      <c r="C99" s="15" t="s">
        <v>31</v>
      </c>
      <c r="D99" s="15" t="s">
        <v>9</v>
      </c>
      <c r="E99" s="15"/>
      <c r="F99" s="15" t="s">
        <v>15</v>
      </c>
      <c r="G99" s="15" t="s">
        <v>57</v>
      </c>
      <c r="H99" s="15" t="s">
        <v>58</v>
      </c>
      <c r="I99" s="15"/>
      <c r="J99" s="15"/>
      <c r="K99" s="15"/>
      <c r="L99" s="15"/>
      <c r="M99" s="15"/>
      <c r="N99" s="15"/>
      <c r="O99" s="15"/>
      <c r="P99" s="14"/>
      <c r="Q99" s="15"/>
    </row>
    <row r="100" spans="1:17" s="16" customFormat="1" ht="15.5" x14ac:dyDescent="0.35">
      <c r="A100" s="17" t="s">
        <v>35</v>
      </c>
      <c r="B100" s="18">
        <f>1.03*1000/1000</f>
        <v>1.03</v>
      </c>
      <c r="C100" s="15" t="s">
        <v>16</v>
      </c>
      <c r="D100" s="15" t="s">
        <v>9</v>
      </c>
      <c r="E100" s="15"/>
      <c r="F100" s="15" t="s">
        <v>15</v>
      </c>
      <c r="G100" s="15" t="s">
        <v>34</v>
      </c>
      <c r="H100" s="15" t="s">
        <v>59</v>
      </c>
      <c r="I100" s="15"/>
      <c r="J100" s="15"/>
      <c r="K100" s="15"/>
      <c r="L100" s="15"/>
      <c r="M100" s="15"/>
      <c r="N100" s="15"/>
      <c r="O100" s="15"/>
      <c r="P100" s="14"/>
      <c r="Q100" s="15"/>
    </row>
    <row r="101" spans="1:17" s="16" customFormat="1" ht="15.5" x14ac:dyDescent="0.35">
      <c r="A101" s="17" t="s">
        <v>26</v>
      </c>
      <c r="B101" s="20">
        <f>135.46/1000</f>
        <v>0.13546</v>
      </c>
      <c r="C101" s="15" t="s">
        <v>16</v>
      </c>
      <c r="D101" s="15" t="s">
        <v>17</v>
      </c>
      <c r="E101" s="15"/>
      <c r="F101" s="15" t="s">
        <v>15</v>
      </c>
      <c r="G101" s="15" t="s">
        <v>27</v>
      </c>
      <c r="H101" s="15" t="s">
        <v>60</v>
      </c>
      <c r="I101" s="15"/>
      <c r="J101" s="15"/>
      <c r="K101" s="15"/>
      <c r="L101" s="15"/>
      <c r="M101" s="15"/>
      <c r="N101" s="15"/>
      <c r="O101" s="15"/>
      <c r="P101" s="14"/>
      <c r="Q101" s="15"/>
    </row>
    <row r="102" spans="1:17" s="16" customFormat="1" ht="15.5" x14ac:dyDescent="0.35">
      <c r="A102" s="17" t="s">
        <v>61</v>
      </c>
      <c r="B102" s="20">
        <f>7.68/1000</f>
        <v>7.6799999999999993E-3</v>
      </c>
      <c r="C102" s="15" t="s">
        <v>31</v>
      </c>
      <c r="D102" s="15" t="s">
        <v>9</v>
      </c>
      <c r="E102" s="15"/>
      <c r="F102" s="15" t="s">
        <v>15</v>
      </c>
      <c r="G102" s="15" t="s">
        <v>62</v>
      </c>
      <c r="H102" s="15" t="s">
        <v>63</v>
      </c>
      <c r="I102" s="15"/>
      <c r="J102" s="15"/>
      <c r="K102" s="15"/>
      <c r="L102" s="15"/>
      <c r="M102" s="15"/>
      <c r="N102" s="15"/>
      <c r="O102" s="15"/>
      <c r="P102" s="14"/>
      <c r="Q102" s="15"/>
    </row>
    <row r="103" spans="1:17" s="16" customFormat="1" ht="15.5" x14ac:dyDescent="0.35">
      <c r="A103" s="17" t="s">
        <v>26</v>
      </c>
      <c r="B103" s="20">
        <f>29.53/1000</f>
        <v>2.9530000000000001E-2</v>
      </c>
      <c r="C103" s="15" t="s">
        <v>16</v>
      </c>
      <c r="D103" s="15" t="s">
        <v>17</v>
      </c>
      <c r="E103" s="15"/>
      <c r="F103" s="15" t="s">
        <v>15</v>
      </c>
      <c r="G103" s="15" t="s">
        <v>27</v>
      </c>
      <c r="H103" s="15" t="s">
        <v>64</v>
      </c>
      <c r="I103" s="15"/>
      <c r="J103" s="15"/>
      <c r="K103" s="15"/>
      <c r="L103" s="15"/>
      <c r="M103" s="15"/>
      <c r="N103" s="15"/>
      <c r="O103" s="15"/>
      <c r="P103" s="14"/>
      <c r="Q103" s="15"/>
    </row>
    <row r="104" spans="1:17" s="16" customFormat="1" ht="15.5" x14ac:dyDescent="0.35">
      <c r="A104" s="17" t="s">
        <v>32</v>
      </c>
      <c r="B104" s="20">
        <f>666.38/1000</f>
        <v>0.66637999999999997</v>
      </c>
      <c r="C104" s="15" t="s">
        <v>28</v>
      </c>
      <c r="D104" s="15" t="s">
        <v>9</v>
      </c>
      <c r="E104" s="15"/>
      <c r="F104" s="15" t="s">
        <v>15</v>
      </c>
      <c r="G104" s="15" t="s">
        <v>33</v>
      </c>
      <c r="H104" s="15" t="s">
        <v>65</v>
      </c>
      <c r="I104" s="15"/>
      <c r="J104" s="15"/>
      <c r="K104" s="15"/>
      <c r="L104" s="15"/>
      <c r="M104" s="15"/>
      <c r="N104" s="15"/>
      <c r="O104" s="15"/>
      <c r="P104" s="14"/>
      <c r="Q104" s="15"/>
    </row>
    <row r="105" spans="1:17" s="16" customFormat="1" ht="31" x14ac:dyDescent="0.35">
      <c r="A105" s="17" t="s">
        <v>66</v>
      </c>
      <c r="B105" s="20">
        <f>40.8/1000</f>
        <v>4.0799999999999996E-2</v>
      </c>
      <c r="C105" s="15" t="s">
        <v>28</v>
      </c>
      <c r="D105" s="15" t="s">
        <v>9</v>
      </c>
      <c r="E105" s="15"/>
      <c r="F105" s="15" t="s">
        <v>15</v>
      </c>
      <c r="G105" s="15" t="s">
        <v>67</v>
      </c>
      <c r="H105" s="15" t="s">
        <v>68</v>
      </c>
      <c r="I105" s="15"/>
      <c r="J105" s="15"/>
      <c r="K105" s="15"/>
      <c r="L105" s="15"/>
      <c r="M105" s="15"/>
      <c r="N105" s="15"/>
      <c r="O105" s="15"/>
      <c r="P105" s="14"/>
      <c r="Q105" s="15"/>
    </row>
    <row r="106" spans="1:17" s="16" customFormat="1" ht="15.5" x14ac:dyDescent="0.35">
      <c r="A106" s="17" t="s">
        <v>35</v>
      </c>
      <c r="B106" s="18">
        <f>3776/1000</f>
        <v>3.7759999999999998</v>
      </c>
      <c r="C106" s="15" t="s">
        <v>16</v>
      </c>
      <c r="D106" s="15" t="s">
        <v>9</v>
      </c>
      <c r="E106" s="15"/>
      <c r="F106" s="15" t="s">
        <v>15</v>
      </c>
      <c r="G106" s="15" t="s">
        <v>34</v>
      </c>
      <c r="H106" s="15" t="s">
        <v>69</v>
      </c>
      <c r="I106" s="15"/>
      <c r="J106" s="15"/>
      <c r="K106" s="15"/>
      <c r="L106" s="15"/>
      <c r="M106" s="15"/>
      <c r="N106" s="15"/>
      <c r="O106" s="15"/>
      <c r="P106" s="14"/>
      <c r="Q106" s="15"/>
    </row>
    <row r="107" spans="1:17" s="16" customFormat="1" ht="15.5" x14ac:dyDescent="0.35">
      <c r="A107" s="17" t="s">
        <v>26</v>
      </c>
      <c r="B107" s="20">
        <f>27.72/1000</f>
        <v>2.7719999999999998E-2</v>
      </c>
      <c r="C107" s="15" t="s">
        <v>16</v>
      </c>
      <c r="D107" s="15" t="s">
        <v>17</v>
      </c>
      <c r="E107" s="15"/>
      <c r="F107" s="15" t="s">
        <v>15</v>
      </c>
      <c r="G107" s="15" t="s">
        <v>27</v>
      </c>
      <c r="H107" s="15" t="s">
        <v>70</v>
      </c>
      <c r="I107" s="15"/>
      <c r="J107" s="15"/>
      <c r="K107" s="15"/>
      <c r="L107" s="15"/>
      <c r="M107" s="15"/>
      <c r="N107" s="15"/>
      <c r="O107" s="15"/>
      <c r="P107" s="14"/>
      <c r="Q107" s="15"/>
    </row>
    <row r="108" spans="1:17" s="16" customFormat="1" ht="15.5" x14ac:dyDescent="0.35">
      <c r="A108" s="17" t="s">
        <v>71</v>
      </c>
      <c r="B108" s="18">
        <f>605.04/1000</f>
        <v>0.60503999999999991</v>
      </c>
      <c r="C108" s="15" t="s">
        <v>16</v>
      </c>
      <c r="D108" s="15" t="s">
        <v>9</v>
      </c>
      <c r="E108" s="15"/>
      <c r="F108" s="15" t="s">
        <v>15</v>
      </c>
      <c r="G108" s="15" t="s">
        <v>72</v>
      </c>
      <c r="H108" s="15" t="s">
        <v>73</v>
      </c>
      <c r="I108" s="15"/>
      <c r="J108" s="15"/>
      <c r="K108" s="15"/>
      <c r="L108" s="15"/>
      <c r="M108" s="15"/>
      <c r="N108" s="15"/>
      <c r="O108" s="15"/>
      <c r="P108" s="14"/>
      <c r="Q108" s="15"/>
    </row>
    <row r="109" spans="1:17" s="16" customFormat="1" ht="15.5" x14ac:dyDescent="0.35">
      <c r="A109" s="17" t="s">
        <v>26</v>
      </c>
      <c r="B109" s="20">
        <f>37.6/1000</f>
        <v>3.7600000000000001E-2</v>
      </c>
      <c r="C109" s="15" t="s">
        <v>16</v>
      </c>
      <c r="D109" s="15" t="s">
        <v>17</v>
      </c>
      <c r="E109" s="15"/>
      <c r="F109" s="15" t="s">
        <v>15</v>
      </c>
      <c r="G109" s="15" t="s">
        <v>27</v>
      </c>
      <c r="H109" s="15" t="s">
        <v>74</v>
      </c>
      <c r="I109" s="15"/>
      <c r="J109" s="15"/>
      <c r="K109" s="15"/>
      <c r="L109" s="15"/>
      <c r="M109" s="15"/>
      <c r="N109" s="15"/>
      <c r="O109" s="15"/>
      <c r="P109" s="14"/>
      <c r="Q109" s="15"/>
    </row>
    <row r="110" spans="1:17" s="16" customFormat="1" ht="15.5" x14ac:dyDescent="0.35">
      <c r="A110" s="17" t="s">
        <v>26</v>
      </c>
      <c r="B110" s="18">
        <f>7.602/1000</f>
        <v>7.6020000000000003E-3</v>
      </c>
      <c r="C110" s="15" t="s">
        <v>16</v>
      </c>
      <c r="D110" s="15" t="s">
        <v>17</v>
      </c>
      <c r="E110" s="15"/>
      <c r="F110" s="15" t="s">
        <v>15</v>
      </c>
      <c r="G110" s="15" t="s">
        <v>27</v>
      </c>
      <c r="H110" s="15" t="s">
        <v>75</v>
      </c>
      <c r="I110" s="15"/>
      <c r="J110" s="15"/>
      <c r="K110" s="15"/>
      <c r="L110" s="15"/>
      <c r="M110" s="15"/>
      <c r="N110" s="15"/>
      <c r="O110" s="15"/>
      <c r="P110" s="14"/>
      <c r="Q110" s="15"/>
    </row>
    <row r="111" spans="1:17" s="16" customFormat="1" ht="31" x14ac:dyDescent="0.35">
      <c r="A111" s="17" t="s">
        <v>76</v>
      </c>
      <c r="B111" s="18">
        <f>122/1000</f>
        <v>0.122</v>
      </c>
      <c r="C111" s="15" t="s">
        <v>28</v>
      </c>
      <c r="D111" s="15" t="s">
        <v>9</v>
      </c>
      <c r="E111" s="15"/>
      <c r="F111" s="15" t="s">
        <v>15</v>
      </c>
      <c r="G111" s="15" t="s">
        <v>77</v>
      </c>
      <c r="H111" s="15" t="s">
        <v>78</v>
      </c>
      <c r="I111" s="15"/>
      <c r="J111" s="15"/>
      <c r="K111" s="15"/>
      <c r="L111" s="15"/>
      <c r="M111" s="15"/>
      <c r="N111" s="15"/>
      <c r="O111" s="15"/>
      <c r="P111" s="14"/>
      <c r="Q111" s="15"/>
    </row>
    <row r="112" spans="1:17" s="16" customFormat="1" ht="15.5" x14ac:dyDescent="0.35">
      <c r="A112" s="17" t="s">
        <v>79</v>
      </c>
      <c r="B112" s="18">
        <f>0.000225</f>
        <v>2.2499999999999999E-4</v>
      </c>
      <c r="C112" s="15" t="s">
        <v>28</v>
      </c>
      <c r="D112" s="15" t="s">
        <v>29</v>
      </c>
      <c r="E112" s="15"/>
      <c r="F112" s="15" t="s">
        <v>15</v>
      </c>
      <c r="G112" s="15" t="s">
        <v>80</v>
      </c>
      <c r="H112" s="15" t="s">
        <v>81</v>
      </c>
      <c r="I112" s="15"/>
      <c r="J112" s="15"/>
      <c r="K112" s="15"/>
      <c r="L112" s="15"/>
      <c r="M112" s="15"/>
      <c r="N112" s="15"/>
      <c r="O112" s="15"/>
      <c r="P112" s="14"/>
      <c r="Q112" s="15"/>
    </row>
    <row r="113" spans="1:17" s="16" customFormat="1" ht="15.5" x14ac:dyDescent="0.35">
      <c r="A113" s="17" t="s">
        <v>26</v>
      </c>
      <c r="B113" s="18">
        <f>9.056/1000</f>
        <v>9.0559999999999998E-3</v>
      </c>
      <c r="C113" s="15" t="s">
        <v>16</v>
      </c>
      <c r="D113" s="15" t="s">
        <v>17</v>
      </c>
      <c r="E113" s="15"/>
      <c r="F113" s="15" t="s">
        <v>15</v>
      </c>
      <c r="G113" s="15" t="s">
        <v>27</v>
      </c>
      <c r="H113" s="15" t="s">
        <v>82</v>
      </c>
      <c r="I113" s="15"/>
      <c r="J113" s="15"/>
      <c r="K113" s="15"/>
      <c r="L113" s="15"/>
      <c r="M113" s="15"/>
      <c r="N113" s="15"/>
      <c r="O113" s="15"/>
      <c r="P113" s="14"/>
      <c r="Q113" s="15"/>
    </row>
    <row r="114" spans="1:17" s="16" customFormat="1" ht="15.5" x14ac:dyDescent="0.35">
      <c r="A114" s="17" t="s">
        <v>26</v>
      </c>
      <c r="B114" s="18">
        <f>38.89/1000</f>
        <v>3.8890000000000001E-2</v>
      </c>
      <c r="C114" s="15" t="s">
        <v>16</v>
      </c>
      <c r="D114" s="15" t="s">
        <v>17</v>
      </c>
      <c r="E114" s="15"/>
      <c r="F114" s="15" t="s">
        <v>15</v>
      </c>
      <c r="G114" s="15" t="s">
        <v>27</v>
      </c>
      <c r="H114" s="15" t="s">
        <v>83</v>
      </c>
      <c r="I114" s="15"/>
      <c r="J114" s="15"/>
      <c r="K114" s="15"/>
      <c r="L114" s="15"/>
      <c r="M114" s="15"/>
      <c r="N114" s="15"/>
      <c r="O114" s="15"/>
      <c r="P114" s="14"/>
      <c r="Q114" s="15"/>
    </row>
    <row r="115" spans="1:17" s="16" customFormat="1" ht="15.5" x14ac:dyDescent="0.35">
      <c r="A115" s="17" t="s">
        <v>84</v>
      </c>
      <c r="B115" s="18">
        <f>240/1000</f>
        <v>0.24</v>
      </c>
      <c r="C115" s="15" t="s">
        <v>28</v>
      </c>
      <c r="D115" s="15" t="s">
        <v>9</v>
      </c>
      <c r="E115" s="15"/>
      <c r="F115" s="15" t="s">
        <v>15</v>
      </c>
      <c r="G115" s="15" t="s">
        <v>85</v>
      </c>
      <c r="H115" s="15" t="s">
        <v>86</v>
      </c>
      <c r="I115" s="15"/>
      <c r="J115" s="15"/>
      <c r="K115" s="15"/>
      <c r="L115" s="15"/>
      <c r="M115" s="15"/>
      <c r="N115" s="15"/>
      <c r="O115" s="15"/>
      <c r="P115" s="14"/>
      <c r="Q115" s="15"/>
    </row>
    <row r="116" spans="1:17" s="16" customFormat="1" ht="15.5" x14ac:dyDescent="0.35">
      <c r="A116" s="17" t="s">
        <v>79</v>
      </c>
      <c r="B116" s="18">
        <f>0.000215</f>
        <v>2.1499999999999999E-4</v>
      </c>
      <c r="C116" s="15" t="s">
        <v>28</v>
      </c>
      <c r="D116" s="15" t="s">
        <v>29</v>
      </c>
      <c r="E116" s="15"/>
      <c r="F116" s="15" t="s">
        <v>15</v>
      </c>
      <c r="G116" s="15" t="s">
        <v>80</v>
      </c>
      <c r="H116" s="15" t="s">
        <v>87</v>
      </c>
      <c r="I116" s="15"/>
      <c r="J116" s="15"/>
      <c r="K116" s="15"/>
      <c r="L116" s="15"/>
      <c r="M116" s="15"/>
      <c r="N116" s="15"/>
      <c r="O116" s="15"/>
      <c r="P116" s="14"/>
      <c r="Q116" s="15"/>
    </row>
    <row r="117" spans="1:17" s="16" customFormat="1" ht="15.5" x14ac:dyDescent="0.35">
      <c r="A117" s="17" t="s">
        <v>26</v>
      </c>
      <c r="B117" s="18">
        <f>4.67/1000</f>
        <v>4.6699999999999997E-3</v>
      </c>
      <c r="C117" s="15" t="s">
        <v>16</v>
      </c>
      <c r="D117" s="15" t="s">
        <v>17</v>
      </c>
      <c r="E117" s="15"/>
      <c r="F117" s="15" t="s">
        <v>15</v>
      </c>
      <c r="G117" s="15" t="s">
        <v>27</v>
      </c>
      <c r="H117" s="15" t="s">
        <v>88</v>
      </c>
      <c r="I117" s="15"/>
      <c r="J117" s="15"/>
      <c r="K117" s="15"/>
      <c r="L117" s="15"/>
      <c r="M117" s="15"/>
      <c r="N117" s="15"/>
      <c r="O117" s="15"/>
      <c r="P117" s="14"/>
      <c r="Q117" s="15"/>
    </row>
    <row r="118" spans="1:17" s="16" customFormat="1" ht="15.5" x14ac:dyDescent="0.35">
      <c r="A118" s="17" t="s">
        <v>26</v>
      </c>
      <c r="B118" s="18">
        <f>38.31/1000</f>
        <v>3.8310000000000004E-2</v>
      </c>
      <c r="C118" s="15" t="s">
        <v>16</v>
      </c>
      <c r="D118" s="15" t="s">
        <v>17</v>
      </c>
      <c r="E118" s="15"/>
      <c r="F118" s="15" t="s">
        <v>15</v>
      </c>
      <c r="G118" s="15" t="s">
        <v>27</v>
      </c>
      <c r="H118" s="15" t="s">
        <v>89</v>
      </c>
      <c r="I118" s="15"/>
      <c r="J118" s="15"/>
      <c r="K118" s="15"/>
      <c r="L118" s="15"/>
      <c r="M118" s="15"/>
      <c r="N118" s="15"/>
      <c r="O118" s="15"/>
      <c r="P118" s="14"/>
      <c r="Q118" s="15"/>
    </row>
    <row r="119" spans="1:17" s="16" customFormat="1" ht="15.5" x14ac:dyDescent="0.35">
      <c r="A119" s="17" t="s">
        <v>84</v>
      </c>
      <c r="B119" s="18">
        <f>236.4/1000</f>
        <v>0.2364</v>
      </c>
      <c r="C119" s="15" t="s">
        <v>28</v>
      </c>
      <c r="D119" s="15" t="s">
        <v>9</v>
      </c>
      <c r="E119" s="15"/>
      <c r="F119" s="15" t="s">
        <v>15</v>
      </c>
      <c r="G119" s="15" t="s">
        <v>85</v>
      </c>
      <c r="H119" s="15" t="s">
        <v>90</v>
      </c>
      <c r="I119" s="15"/>
      <c r="J119" s="15"/>
      <c r="K119" s="15"/>
      <c r="L119" s="15"/>
      <c r="M119" s="15"/>
      <c r="N119" s="15"/>
      <c r="O119" s="15"/>
      <c r="P119" s="14"/>
      <c r="Q119" s="15"/>
    </row>
    <row r="120" spans="1:17" s="16" customFormat="1" ht="15.5" x14ac:dyDescent="0.35">
      <c r="A120" s="17" t="s">
        <v>91</v>
      </c>
      <c r="B120" s="18">
        <f>4.05/1000</f>
        <v>4.0499999999999998E-3</v>
      </c>
      <c r="C120" s="15" t="s">
        <v>31</v>
      </c>
      <c r="D120" s="15" t="s">
        <v>9</v>
      </c>
      <c r="E120" s="15"/>
      <c r="F120" s="15" t="s">
        <v>15</v>
      </c>
      <c r="G120" s="15" t="s">
        <v>92</v>
      </c>
      <c r="H120" s="15" t="s">
        <v>93</v>
      </c>
      <c r="I120" s="15"/>
      <c r="J120" s="15"/>
      <c r="K120" s="15"/>
      <c r="L120" s="15"/>
      <c r="M120" s="15"/>
      <c r="N120" s="15"/>
      <c r="O120" s="15"/>
      <c r="P120" s="14"/>
      <c r="Q120" s="15"/>
    </row>
    <row r="121" spans="1:17" s="16" customFormat="1" ht="15.5" x14ac:dyDescent="0.35">
      <c r="A121" s="17" t="s">
        <v>26</v>
      </c>
      <c r="B121" s="18">
        <f>0.37/1000</f>
        <v>3.6999999999999999E-4</v>
      </c>
      <c r="C121" s="15" t="s">
        <v>16</v>
      </c>
      <c r="D121" s="15" t="s">
        <v>17</v>
      </c>
      <c r="E121" s="15"/>
      <c r="F121" s="15" t="s">
        <v>15</v>
      </c>
      <c r="G121" s="15" t="s">
        <v>27</v>
      </c>
      <c r="H121" s="15" t="s">
        <v>94</v>
      </c>
      <c r="I121" s="15"/>
      <c r="J121" s="15"/>
      <c r="K121" s="15"/>
      <c r="L121" s="15"/>
      <c r="M121" s="15"/>
      <c r="N121" s="15"/>
      <c r="O121" s="15"/>
      <c r="P121" s="14"/>
      <c r="Q121" s="15"/>
    </row>
    <row r="122" spans="1:17" s="16" customFormat="1" ht="31" x14ac:dyDescent="0.35">
      <c r="A122" s="17" t="s">
        <v>95</v>
      </c>
      <c r="B122" s="18">
        <f>15.95/1000</f>
        <v>1.5949999999999999E-2</v>
      </c>
      <c r="C122" s="15" t="s">
        <v>28</v>
      </c>
      <c r="D122" s="15" t="s">
        <v>9</v>
      </c>
      <c r="E122" s="15"/>
      <c r="F122" s="15" t="s">
        <v>15</v>
      </c>
      <c r="G122" s="15" t="s">
        <v>30</v>
      </c>
      <c r="H122" s="15" t="s">
        <v>96</v>
      </c>
      <c r="I122" s="15"/>
      <c r="J122" s="15"/>
      <c r="K122" s="15"/>
      <c r="L122" s="15"/>
      <c r="M122" s="15"/>
      <c r="N122" s="15"/>
      <c r="O122" s="15"/>
      <c r="P122" s="14"/>
      <c r="Q122" s="15"/>
    </row>
    <row r="123" spans="1:17" s="16" customFormat="1" ht="15.5" x14ac:dyDescent="0.35">
      <c r="A123" s="17" t="s">
        <v>26</v>
      </c>
      <c r="B123" s="18">
        <f>0.676/1000</f>
        <v>6.7600000000000006E-4</v>
      </c>
      <c r="C123" s="15" t="s">
        <v>16</v>
      </c>
      <c r="D123" s="15" t="s">
        <v>17</v>
      </c>
      <c r="E123" s="15"/>
      <c r="F123" s="15" t="s">
        <v>15</v>
      </c>
      <c r="G123" s="15" t="s">
        <v>27</v>
      </c>
      <c r="H123" s="15" t="s">
        <v>97</v>
      </c>
      <c r="I123" s="15"/>
      <c r="J123" s="15"/>
      <c r="K123" s="15"/>
      <c r="L123" s="15"/>
      <c r="M123" s="15"/>
      <c r="N123" s="15"/>
      <c r="O123" s="15"/>
      <c r="P123" s="14"/>
      <c r="Q123" s="15"/>
    </row>
    <row r="124" spans="1:17" s="16" customFormat="1" ht="15.5" x14ac:dyDescent="0.35">
      <c r="A124" s="17" t="s">
        <v>26</v>
      </c>
      <c r="B124" s="18">
        <f>0.77/1000</f>
        <v>7.7000000000000007E-4</v>
      </c>
      <c r="C124" s="15" t="s">
        <v>16</v>
      </c>
      <c r="D124" s="15" t="s">
        <v>17</v>
      </c>
      <c r="E124" s="15"/>
      <c r="F124" s="15" t="s">
        <v>15</v>
      </c>
      <c r="G124" s="15" t="s">
        <v>27</v>
      </c>
      <c r="H124" s="15" t="s">
        <v>98</v>
      </c>
      <c r="I124" s="15"/>
      <c r="J124" s="15"/>
      <c r="K124" s="15"/>
      <c r="L124" s="15"/>
      <c r="M124" s="15"/>
      <c r="N124" s="15"/>
      <c r="O124" s="15"/>
      <c r="P124" s="14"/>
      <c r="Q124" s="15"/>
    </row>
    <row r="125" spans="1:17" s="16" customFormat="1" ht="15.5" x14ac:dyDescent="0.35">
      <c r="A125" s="17" t="s">
        <v>26</v>
      </c>
      <c r="B125" s="18">
        <f>27.88/1000</f>
        <v>2.7879999999999999E-2</v>
      </c>
      <c r="C125" s="15" t="s">
        <v>16</v>
      </c>
      <c r="D125" s="15" t="s">
        <v>17</v>
      </c>
      <c r="E125" s="15"/>
      <c r="F125" s="15" t="s">
        <v>15</v>
      </c>
      <c r="G125" s="15" t="s">
        <v>27</v>
      </c>
      <c r="H125" s="15" t="s">
        <v>99</v>
      </c>
      <c r="I125" s="15"/>
      <c r="J125" s="15"/>
      <c r="K125" s="15"/>
      <c r="L125" s="15"/>
      <c r="M125" s="15"/>
      <c r="N125" s="15"/>
      <c r="O125" s="15"/>
      <c r="P125" s="14"/>
      <c r="Q125" s="15"/>
    </row>
    <row r="126" spans="1:17" s="16" customFormat="1" ht="15.5" x14ac:dyDescent="0.35">
      <c r="A126" s="17" t="s">
        <v>26</v>
      </c>
      <c r="B126" s="18">
        <f>22.87/1000</f>
        <v>2.2870000000000001E-2</v>
      </c>
      <c r="C126" s="15" t="s">
        <v>16</v>
      </c>
      <c r="D126" s="15" t="s">
        <v>17</v>
      </c>
      <c r="E126" s="15"/>
      <c r="F126" s="15" t="s">
        <v>15</v>
      </c>
      <c r="G126" s="15" t="s">
        <v>27</v>
      </c>
      <c r="H126" s="15" t="s">
        <v>100</v>
      </c>
      <c r="I126" s="15"/>
      <c r="J126" s="15"/>
      <c r="K126" s="15"/>
      <c r="L126" s="15"/>
      <c r="M126" s="15"/>
      <c r="N126" s="15"/>
      <c r="O126" s="15"/>
      <c r="P126" s="14"/>
      <c r="Q126" s="15"/>
    </row>
    <row r="127" spans="1:17" s="16" customFormat="1" ht="15.5" x14ac:dyDescent="0.35">
      <c r="A127" s="17" t="s">
        <v>101</v>
      </c>
      <c r="B127" s="20">
        <f>184.82/1000</f>
        <v>0.18481999999999998</v>
      </c>
      <c r="C127" s="15" t="s">
        <v>16</v>
      </c>
      <c r="D127" s="15" t="s">
        <v>9</v>
      </c>
      <c r="E127" s="15"/>
      <c r="F127" s="15" t="s">
        <v>15</v>
      </c>
      <c r="G127" s="15" t="s">
        <v>102</v>
      </c>
      <c r="H127" s="15" t="s">
        <v>103</v>
      </c>
      <c r="I127" s="15"/>
      <c r="J127" s="15"/>
      <c r="K127" s="15"/>
      <c r="L127" s="15"/>
      <c r="M127" s="15"/>
      <c r="N127" s="15"/>
      <c r="O127" s="15"/>
    </row>
    <row r="128" spans="1:17" s="16" customFormat="1" ht="15.5" x14ac:dyDescent="0.35">
      <c r="A128" s="17" t="s">
        <v>26</v>
      </c>
      <c r="B128" s="18">
        <f>12.83/1000</f>
        <v>1.2829999999999999E-2</v>
      </c>
      <c r="C128" s="15" t="s">
        <v>16</v>
      </c>
      <c r="D128" s="15" t="s">
        <v>17</v>
      </c>
      <c r="E128" s="15"/>
      <c r="F128" s="15" t="s">
        <v>15</v>
      </c>
      <c r="G128" s="15" t="s">
        <v>27</v>
      </c>
      <c r="H128" s="15" t="s">
        <v>104</v>
      </c>
      <c r="I128" s="15"/>
      <c r="J128" s="15"/>
      <c r="K128" s="15"/>
      <c r="L128" s="15"/>
      <c r="M128" s="15"/>
      <c r="N128" s="15"/>
      <c r="O128" s="15"/>
      <c r="P128" s="14"/>
      <c r="Q128" s="15"/>
    </row>
    <row r="129" spans="1:17" s="16" customFormat="1" ht="15.5" x14ac:dyDescent="0.35">
      <c r="A129" s="17" t="s">
        <v>26</v>
      </c>
      <c r="B129" s="18">
        <f>21.37/1000</f>
        <v>2.137E-2</v>
      </c>
      <c r="C129" s="15" t="s">
        <v>16</v>
      </c>
      <c r="D129" s="15" t="s">
        <v>17</v>
      </c>
      <c r="E129" s="15"/>
      <c r="F129" s="15" t="s">
        <v>15</v>
      </c>
      <c r="G129" s="15" t="s">
        <v>27</v>
      </c>
      <c r="H129" s="15" t="s">
        <v>105</v>
      </c>
      <c r="I129" s="15"/>
      <c r="J129" s="15"/>
      <c r="K129" s="15"/>
      <c r="L129" s="15"/>
      <c r="M129" s="15"/>
      <c r="N129" s="15"/>
      <c r="O129" s="15"/>
      <c r="P129" s="14"/>
      <c r="Q129" s="15"/>
    </row>
    <row r="130" spans="1:17" s="16" customFormat="1" ht="31" x14ac:dyDescent="0.35">
      <c r="A130" s="17" t="s">
        <v>76</v>
      </c>
      <c r="B130" s="18">
        <f>221.41/1000</f>
        <v>0.22141</v>
      </c>
      <c r="C130" s="15" t="s">
        <v>28</v>
      </c>
      <c r="D130" s="15" t="s">
        <v>9</v>
      </c>
      <c r="E130" s="15"/>
      <c r="F130" s="15" t="s">
        <v>15</v>
      </c>
      <c r="G130" s="15" t="s">
        <v>77</v>
      </c>
      <c r="H130" s="15" t="s">
        <v>106</v>
      </c>
      <c r="I130" s="15"/>
      <c r="J130" s="15"/>
      <c r="K130" s="15"/>
      <c r="L130" s="15"/>
      <c r="M130" s="15"/>
      <c r="N130" s="15"/>
      <c r="O130" s="15"/>
      <c r="P130" s="14"/>
      <c r="Q130" s="15"/>
    </row>
    <row r="131" spans="1:17" s="16" customFormat="1" ht="15.5" x14ac:dyDescent="0.35">
      <c r="A131" s="17" t="s">
        <v>26</v>
      </c>
      <c r="B131" s="18">
        <f>6.956/1000</f>
        <v>6.9560000000000004E-3</v>
      </c>
      <c r="C131" s="15" t="s">
        <v>16</v>
      </c>
      <c r="D131" s="15" t="s">
        <v>17</v>
      </c>
      <c r="E131" s="15"/>
      <c r="F131" s="15" t="s">
        <v>15</v>
      </c>
      <c r="G131" s="15" t="s">
        <v>27</v>
      </c>
      <c r="H131" s="15" t="s">
        <v>107</v>
      </c>
      <c r="I131" s="15"/>
      <c r="J131" s="15"/>
      <c r="K131" s="15"/>
      <c r="L131" s="15"/>
      <c r="M131" s="15"/>
      <c r="N131" s="15"/>
      <c r="O131" s="15"/>
      <c r="P131" s="14"/>
      <c r="Q131" s="15"/>
    </row>
    <row r="132" spans="1:17" s="16" customFormat="1" ht="15.5" x14ac:dyDescent="0.35">
      <c r="A132" s="17" t="s">
        <v>26</v>
      </c>
      <c r="B132" s="18">
        <f>7.67/1000</f>
        <v>7.6699999999999997E-3</v>
      </c>
      <c r="C132" s="15" t="s">
        <v>16</v>
      </c>
      <c r="D132" s="15" t="s">
        <v>17</v>
      </c>
      <c r="E132" s="15"/>
      <c r="F132" s="15" t="s">
        <v>15</v>
      </c>
      <c r="G132" s="15" t="s">
        <v>27</v>
      </c>
      <c r="H132" s="15" t="s">
        <v>108</v>
      </c>
      <c r="I132" s="15"/>
      <c r="J132" s="15"/>
      <c r="K132" s="15"/>
      <c r="L132" s="15"/>
      <c r="M132" s="15"/>
      <c r="N132" s="15"/>
      <c r="O132" s="15"/>
      <c r="P132" s="14"/>
      <c r="Q132" s="15"/>
    </row>
    <row r="133" spans="1:17" s="16" customFormat="1" ht="31" x14ac:dyDescent="0.35">
      <c r="A133" s="17" t="s">
        <v>38</v>
      </c>
      <c r="B133" s="18">
        <f>-0.00382112</f>
        <v>-3.8211199999999999E-3</v>
      </c>
      <c r="C133" s="15" t="s">
        <v>16</v>
      </c>
      <c r="D133" s="15" t="s">
        <v>29</v>
      </c>
      <c r="E133" s="15"/>
      <c r="F133" s="15" t="s">
        <v>15</v>
      </c>
      <c r="G133" s="15" t="s">
        <v>39</v>
      </c>
      <c r="H133" s="15" t="s">
        <v>109</v>
      </c>
      <c r="I133" s="15"/>
      <c r="J133" s="15"/>
      <c r="K133" s="15"/>
      <c r="L133" s="15"/>
      <c r="M133" s="15"/>
      <c r="N133" s="15"/>
      <c r="O133" s="15"/>
      <c r="P133" s="14"/>
      <c r="Q133" s="15"/>
    </row>
    <row r="135" spans="1:17" s="16" customFormat="1" ht="15.5" x14ac:dyDescent="0.35">
      <c r="A135" s="14" t="s">
        <v>0</v>
      </c>
      <c r="B135" s="14" t="s">
        <v>171</v>
      </c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4"/>
      <c r="Q135" s="15"/>
    </row>
    <row r="136" spans="1:17" s="16" customFormat="1" ht="15.5" x14ac:dyDescent="0.35">
      <c r="A136" s="15" t="s">
        <v>3</v>
      </c>
      <c r="B136" s="15" t="s">
        <v>110</v>
      </c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4"/>
      <c r="Q136" s="15"/>
    </row>
    <row r="137" spans="1:17" s="15" customFormat="1" ht="15.5" x14ac:dyDescent="0.35">
      <c r="A137" s="15" t="s">
        <v>1</v>
      </c>
      <c r="B137" s="15" t="s">
        <v>28</v>
      </c>
      <c r="P137" s="14"/>
    </row>
    <row r="138" spans="1:17" s="15" customFormat="1" ht="15.5" x14ac:dyDescent="0.35">
      <c r="A138" s="15" t="s">
        <v>2</v>
      </c>
      <c r="B138" s="15">
        <v>-1</v>
      </c>
      <c r="P138" s="16"/>
      <c r="Q138" s="16"/>
    </row>
    <row r="139" spans="1:17" s="15" customFormat="1" ht="15.5" x14ac:dyDescent="0.35">
      <c r="A139" s="15" t="s">
        <v>4</v>
      </c>
      <c r="B139" s="15" t="s">
        <v>43</v>
      </c>
      <c r="P139" s="16"/>
      <c r="Q139" s="16"/>
    </row>
    <row r="140" spans="1:17" s="15" customFormat="1" ht="15.5" x14ac:dyDescent="0.35">
      <c r="A140" s="15" t="s">
        <v>5</v>
      </c>
      <c r="B140" s="15" t="s">
        <v>53</v>
      </c>
      <c r="P140" s="16"/>
      <c r="Q140" s="16"/>
    </row>
    <row r="141" spans="1:17" s="16" customFormat="1" ht="15.5" x14ac:dyDescent="0.35">
      <c r="A141" s="15" t="s">
        <v>6</v>
      </c>
      <c r="B141" s="15" t="s">
        <v>7</v>
      </c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</row>
    <row r="142" spans="1:17" s="15" customFormat="1" ht="15.5" x14ac:dyDescent="0.35">
      <c r="A142" s="15" t="s">
        <v>8</v>
      </c>
      <c r="B142" s="15" t="s">
        <v>9</v>
      </c>
      <c r="P142" s="16"/>
      <c r="Q142" s="16"/>
    </row>
    <row r="143" spans="1:17" s="15" customFormat="1" ht="15.5" x14ac:dyDescent="0.35">
      <c r="A143" s="14" t="s">
        <v>10</v>
      </c>
      <c r="P143" s="16"/>
      <c r="Q143" s="16"/>
    </row>
    <row r="144" spans="1:17" s="15" customFormat="1" ht="15.5" x14ac:dyDescent="0.35">
      <c r="A144" s="14" t="s">
        <v>11</v>
      </c>
      <c r="B144" s="14" t="s">
        <v>12</v>
      </c>
      <c r="C144" s="14" t="s">
        <v>1</v>
      </c>
      <c r="D144" s="14" t="s">
        <v>8</v>
      </c>
      <c r="E144" s="14" t="s">
        <v>13</v>
      </c>
      <c r="F144" s="14" t="s">
        <v>6</v>
      </c>
      <c r="G144" s="14" t="s">
        <v>5</v>
      </c>
      <c r="H144" s="14" t="s">
        <v>3</v>
      </c>
      <c r="I144" s="14" t="s">
        <v>19</v>
      </c>
      <c r="J144" s="14" t="s">
        <v>20</v>
      </c>
      <c r="K144" s="14" t="s">
        <v>21</v>
      </c>
      <c r="L144" s="14" t="s">
        <v>22</v>
      </c>
      <c r="M144" s="14" t="s">
        <v>23</v>
      </c>
      <c r="N144" s="14" t="s">
        <v>24</v>
      </c>
      <c r="O144" s="14" t="s">
        <v>25</v>
      </c>
      <c r="P144" s="16"/>
      <c r="Q144" s="16"/>
    </row>
    <row r="145" spans="1:17" s="16" customFormat="1" ht="31" x14ac:dyDescent="0.35">
      <c r="A145" s="17" t="str">
        <f>B135</f>
        <v>treatment of used Li-ion battery with pyrometallurgical treatment</v>
      </c>
      <c r="B145" s="15">
        <v>-1</v>
      </c>
      <c r="C145" s="15" t="str">
        <f>B137</f>
        <v>RER</v>
      </c>
      <c r="D145" s="15" t="str">
        <f>B142</f>
        <v>kilogram</v>
      </c>
      <c r="E145" s="15"/>
      <c r="F145" s="15" t="s">
        <v>14</v>
      </c>
      <c r="G145" s="15" t="str">
        <f>B140</f>
        <v>used Li-ion battery</v>
      </c>
      <c r="H145" s="17" t="s">
        <v>54</v>
      </c>
      <c r="I145" s="15"/>
      <c r="J145" s="15"/>
      <c r="K145" s="15"/>
      <c r="L145" s="15"/>
      <c r="M145" s="15"/>
      <c r="N145" s="15"/>
      <c r="O145" s="15"/>
    </row>
    <row r="146" spans="1:17" s="16" customFormat="1" ht="15.5" x14ac:dyDescent="0.35">
      <c r="A146" s="17" t="s">
        <v>111</v>
      </c>
      <c r="B146" s="18">
        <f>160/1000</f>
        <v>0.16</v>
      </c>
      <c r="C146" s="15" t="s">
        <v>16</v>
      </c>
      <c r="D146" s="15" t="s">
        <v>9</v>
      </c>
      <c r="E146" s="15"/>
      <c r="F146" s="15" t="s">
        <v>15</v>
      </c>
      <c r="G146" s="15" t="s">
        <v>112</v>
      </c>
      <c r="H146" s="15" t="s">
        <v>113</v>
      </c>
      <c r="I146" s="15"/>
      <c r="J146" s="15"/>
      <c r="K146" s="15"/>
      <c r="L146" s="15"/>
      <c r="M146" s="15"/>
      <c r="N146" s="15"/>
      <c r="O146" s="15"/>
      <c r="P146" s="14"/>
      <c r="Q146" s="15"/>
    </row>
    <row r="147" spans="1:17" s="16" customFormat="1" ht="15.5" x14ac:dyDescent="0.35">
      <c r="A147" s="17" t="s">
        <v>114</v>
      </c>
      <c r="B147" s="18">
        <f>40/1000</f>
        <v>0.04</v>
      </c>
      <c r="C147" s="15" t="s">
        <v>31</v>
      </c>
      <c r="D147" s="15" t="s">
        <v>9</v>
      </c>
      <c r="E147" s="15"/>
      <c r="F147" s="15" t="s">
        <v>15</v>
      </c>
      <c r="G147" s="15" t="s">
        <v>115</v>
      </c>
      <c r="H147" s="15" t="s">
        <v>116</v>
      </c>
      <c r="I147" s="15"/>
      <c r="J147" s="15"/>
      <c r="K147" s="15"/>
      <c r="L147" s="15"/>
      <c r="M147" s="15"/>
      <c r="N147" s="15"/>
      <c r="O147" s="15"/>
      <c r="P147" s="14"/>
      <c r="Q147" s="15"/>
    </row>
    <row r="148" spans="1:17" s="16" customFormat="1" ht="15.5" x14ac:dyDescent="0.35">
      <c r="A148" s="17" t="s">
        <v>26</v>
      </c>
      <c r="B148" s="18">
        <f>440/1000</f>
        <v>0.44</v>
      </c>
      <c r="C148" s="15" t="s">
        <v>16</v>
      </c>
      <c r="D148" s="15" t="s">
        <v>17</v>
      </c>
      <c r="E148" s="15"/>
      <c r="F148" s="15" t="s">
        <v>15</v>
      </c>
      <c r="G148" s="15" t="s">
        <v>27</v>
      </c>
      <c r="H148" s="15" t="s">
        <v>117</v>
      </c>
      <c r="I148" s="15"/>
      <c r="J148" s="15"/>
      <c r="K148" s="15"/>
      <c r="L148" s="15"/>
      <c r="M148" s="15"/>
      <c r="N148" s="15"/>
      <c r="O148" s="15"/>
      <c r="P148" s="14"/>
      <c r="Q148" s="15"/>
    </row>
    <row r="149" spans="1:17" s="16" customFormat="1" ht="15.5" x14ac:dyDescent="0.35">
      <c r="A149" s="17" t="s">
        <v>118</v>
      </c>
      <c r="B149" s="18">
        <f>149.86/1000</f>
        <v>0.14986000000000002</v>
      </c>
      <c r="C149" s="15" t="s">
        <v>28</v>
      </c>
      <c r="D149" s="15" t="s">
        <v>9</v>
      </c>
      <c r="E149" s="15"/>
      <c r="F149" s="15" t="s">
        <v>15</v>
      </c>
      <c r="G149" s="15" t="s">
        <v>119</v>
      </c>
      <c r="H149" s="15" t="s">
        <v>120</v>
      </c>
      <c r="I149" s="15"/>
      <c r="J149" s="15"/>
      <c r="K149" s="15"/>
      <c r="L149" s="15"/>
      <c r="M149" s="15"/>
      <c r="N149" s="15"/>
      <c r="O149" s="15"/>
      <c r="P149" s="14"/>
      <c r="Q149" s="15"/>
    </row>
    <row r="150" spans="1:17" s="16" customFormat="1" ht="15.5" x14ac:dyDescent="0.35">
      <c r="A150" s="17" t="s">
        <v>121</v>
      </c>
      <c r="B150" s="18">
        <f>709/1000</f>
        <v>0.70899999999999996</v>
      </c>
      <c r="C150" s="15"/>
      <c r="D150" s="15" t="s">
        <v>9</v>
      </c>
      <c r="E150" s="15" t="s">
        <v>122</v>
      </c>
      <c r="F150" s="15" t="s">
        <v>123</v>
      </c>
      <c r="G150" s="15"/>
      <c r="H150" s="15" t="s">
        <v>124</v>
      </c>
      <c r="I150" s="15"/>
      <c r="J150" s="15"/>
      <c r="K150" s="15"/>
      <c r="L150" s="15"/>
      <c r="M150" s="15"/>
      <c r="N150" s="15"/>
      <c r="O150" s="15"/>
      <c r="P150" s="14"/>
      <c r="Q150" s="15"/>
    </row>
    <row r="151" spans="1:17" s="16" customFormat="1" ht="15.5" x14ac:dyDescent="0.35">
      <c r="A151" s="17" t="s">
        <v>125</v>
      </c>
      <c r="B151" s="18">
        <v>1E-3</v>
      </c>
      <c r="C151" s="15" t="s">
        <v>28</v>
      </c>
      <c r="D151" s="15" t="s">
        <v>8</v>
      </c>
      <c r="E151" s="15"/>
      <c r="F151" s="15" t="s">
        <v>15</v>
      </c>
      <c r="G151" s="17" t="s">
        <v>126</v>
      </c>
      <c r="H151" s="17" t="s">
        <v>54</v>
      </c>
      <c r="I151" s="15"/>
      <c r="J151" s="15"/>
      <c r="K151" s="15"/>
      <c r="L151" s="15"/>
      <c r="M151" s="15"/>
      <c r="N151" s="15"/>
      <c r="O151" s="15"/>
      <c r="P151" s="14"/>
      <c r="Q151" s="15"/>
    </row>
    <row r="152" spans="1:17" s="16" customFormat="1" ht="31" x14ac:dyDescent="0.35">
      <c r="A152" s="17" t="s">
        <v>66</v>
      </c>
      <c r="B152" s="20">
        <f>305.5/1000</f>
        <v>0.30549999999999999</v>
      </c>
      <c r="C152" s="15" t="s">
        <v>28</v>
      </c>
      <c r="D152" s="15" t="s">
        <v>9</v>
      </c>
      <c r="E152" s="15"/>
      <c r="F152" s="15" t="s">
        <v>15</v>
      </c>
      <c r="G152" s="15" t="s">
        <v>67</v>
      </c>
      <c r="H152" s="15" t="s">
        <v>127</v>
      </c>
      <c r="I152" s="15"/>
      <c r="J152" s="15"/>
      <c r="K152" s="15"/>
      <c r="L152" s="15"/>
      <c r="M152" s="15"/>
      <c r="N152" s="15"/>
      <c r="O152" s="15"/>
      <c r="P152" s="14"/>
      <c r="Q152" s="15"/>
    </row>
    <row r="153" spans="1:17" s="16" customFormat="1" ht="15.5" x14ac:dyDescent="0.35">
      <c r="A153" s="17" t="s">
        <v>32</v>
      </c>
      <c r="B153" s="20">
        <f>412/1000</f>
        <v>0.41199999999999998</v>
      </c>
      <c r="C153" s="15" t="s">
        <v>28</v>
      </c>
      <c r="D153" s="15" t="s">
        <v>9</v>
      </c>
      <c r="E153" s="15"/>
      <c r="F153" s="15" t="s">
        <v>15</v>
      </c>
      <c r="G153" s="17" t="s">
        <v>33</v>
      </c>
      <c r="H153" s="15" t="s">
        <v>128</v>
      </c>
      <c r="I153" s="15"/>
      <c r="J153" s="15"/>
      <c r="K153" s="15"/>
      <c r="L153" s="15"/>
      <c r="M153" s="15"/>
      <c r="N153" s="15"/>
      <c r="O153" s="15"/>
      <c r="P153" s="14"/>
      <c r="Q153" s="15"/>
    </row>
    <row r="154" spans="1:17" s="16" customFormat="1" ht="15.5" x14ac:dyDescent="0.35">
      <c r="A154" s="17" t="s">
        <v>71</v>
      </c>
      <c r="B154" s="18">
        <f>1944/1000</f>
        <v>1.944</v>
      </c>
      <c r="C154" s="15" t="s">
        <v>16</v>
      </c>
      <c r="D154" s="15" t="s">
        <v>9</v>
      </c>
      <c r="E154" s="15"/>
      <c r="F154" s="15" t="s">
        <v>15</v>
      </c>
      <c r="G154" s="17" t="s">
        <v>72</v>
      </c>
      <c r="H154" s="17" t="s">
        <v>129</v>
      </c>
      <c r="I154" s="15"/>
      <c r="J154" s="15"/>
      <c r="K154" s="15"/>
      <c r="L154" s="15"/>
      <c r="M154" s="15"/>
      <c r="N154" s="15"/>
      <c r="O154" s="15"/>
      <c r="P154" s="14"/>
      <c r="Q154" s="15"/>
    </row>
    <row r="155" spans="1:17" s="16" customFormat="1" ht="15.5" x14ac:dyDescent="0.35">
      <c r="A155" s="17" t="s">
        <v>26</v>
      </c>
      <c r="B155" s="18">
        <f>21.955/1000</f>
        <v>2.1954999999999999E-2</v>
      </c>
      <c r="C155" s="15" t="s">
        <v>16</v>
      </c>
      <c r="D155" s="15" t="s">
        <v>17</v>
      </c>
      <c r="E155" s="15"/>
      <c r="F155" s="15" t="s">
        <v>15</v>
      </c>
      <c r="G155" s="15" t="s">
        <v>27</v>
      </c>
      <c r="H155" s="15" t="s">
        <v>130</v>
      </c>
      <c r="I155" s="15"/>
      <c r="J155" s="15"/>
      <c r="K155" s="15"/>
      <c r="L155" s="15"/>
      <c r="M155" s="15"/>
      <c r="N155" s="15"/>
      <c r="O155" s="15"/>
      <c r="P155" s="14"/>
      <c r="Q155" s="15"/>
    </row>
    <row r="156" spans="1:17" s="16" customFormat="1" ht="15.5" x14ac:dyDescent="0.35">
      <c r="A156" s="17" t="s">
        <v>26</v>
      </c>
      <c r="B156" s="18">
        <f>22.09/1000</f>
        <v>2.2089999999999999E-2</v>
      </c>
      <c r="C156" s="15" t="s">
        <v>16</v>
      </c>
      <c r="D156" s="15" t="s">
        <v>17</v>
      </c>
      <c r="E156" s="15"/>
      <c r="F156" s="15" t="s">
        <v>15</v>
      </c>
      <c r="G156" s="15" t="s">
        <v>27</v>
      </c>
      <c r="H156" s="15" t="s">
        <v>131</v>
      </c>
      <c r="I156" s="15"/>
      <c r="J156" s="15"/>
      <c r="K156" s="15"/>
      <c r="L156" s="15"/>
      <c r="M156" s="15"/>
      <c r="N156" s="15"/>
      <c r="O156" s="15"/>
      <c r="P156" s="14"/>
      <c r="Q156" s="15"/>
    </row>
    <row r="157" spans="1:17" s="16" customFormat="1" ht="15.5" x14ac:dyDescent="0.35">
      <c r="A157" s="17" t="s">
        <v>79</v>
      </c>
      <c r="B157" s="18">
        <f>0.00015565</f>
        <v>1.5564999999999999E-4</v>
      </c>
      <c r="C157" s="15" t="s">
        <v>28</v>
      </c>
      <c r="D157" s="15" t="s">
        <v>29</v>
      </c>
      <c r="E157" s="15"/>
      <c r="F157" s="15" t="s">
        <v>15</v>
      </c>
      <c r="G157" s="15" t="s">
        <v>80</v>
      </c>
      <c r="H157" s="15" t="s">
        <v>132</v>
      </c>
      <c r="I157" s="15"/>
      <c r="J157" s="15"/>
      <c r="K157" s="15"/>
      <c r="L157" s="15"/>
      <c r="M157" s="15"/>
      <c r="N157" s="15"/>
      <c r="O157" s="15"/>
      <c r="P157" s="14"/>
      <c r="Q157" s="15"/>
    </row>
    <row r="158" spans="1:17" s="16" customFormat="1" ht="15.5" x14ac:dyDescent="0.35">
      <c r="A158" s="17" t="s">
        <v>26</v>
      </c>
      <c r="B158" s="18">
        <f>9.02/1000</f>
        <v>9.0200000000000002E-3</v>
      </c>
      <c r="C158" s="15" t="s">
        <v>16</v>
      </c>
      <c r="D158" s="15" t="s">
        <v>17</v>
      </c>
      <c r="E158" s="15"/>
      <c r="F158" s="15" t="s">
        <v>15</v>
      </c>
      <c r="G158" s="15" t="s">
        <v>27</v>
      </c>
      <c r="H158" s="15" t="s">
        <v>133</v>
      </c>
      <c r="I158" s="15"/>
      <c r="J158" s="15"/>
      <c r="K158" s="15"/>
      <c r="L158" s="15"/>
      <c r="M158" s="15"/>
      <c r="N158" s="15"/>
      <c r="O158" s="15"/>
      <c r="P158" s="14"/>
      <c r="Q158" s="15"/>
    </row>
    <row r="159" spans="1:17" s="16" customFormat="1" ht="15.5" x14ac:dyDescent="0.35">
      <c r="A159" s="17" t="s">
        <v>26</v>
      </c>
      <c r="B159" s="18">
        <f>40.83/1000</f>
        <v>4.0829999999999998E-2</v>
      </c>
      <c r="C159" s="15" t="s">
        <v>16</v>
      </c>
      <c r="D159" s="15" t="s">
        <v>17</v>
      </c>
      <c r="E159" s="15"/>
      <c r="F159" s="15" t="s">
        <v>15</v>
      </c>
      <c r="G159" s="15" t="s">
        <v>27</v>
      </c>
      <c r="H159" s="15" t="s">
        <v>134</v>
      </c>
      <c r="I159" s="15"/>
      <c r="J159" s="15"/>
      <c r="K159" s="15"/>
      <c r="L159" s="15"/>
      <c r="M159" s="15"/>
      <c r="N159" s="15"/>
      <c r="O159" s="15"/>
      <c r="P159" s="14"/>
      <c r="Q159" s="15"/>
    </row>
    <row r="160" spans="1:17" s="16" customFormat="1" ht="15.5" x14ac:dyDescent="0.35">
      <c r="A160" s="17" t="s">
        <v>84</v>
      </c>
      <c r="B160" s="18">
        <f>251.98/1000</f>
        <v>0.25197999999999998</v>
      </c>
      <c r="C160" s="15" t="s">
        <v>28</v>
      </c>
      <c r="D160" s="15" t="s">
        <v>9</v>
      </c>
      <c r="E160" s="15"/>
      <c r="F160" s="15" t="s">
        <v>15</v>
      </c>
      <c r="G160" s="15" t="s">
        <v>85</v>
      </c>
      <c r="H160" s="15" t="s">
        <v>135</v>
      </c>
      <c r="I160" s="15"/>
      <c r="J160" s="15"/>
      <c r="K160" s="15"/>
      <c r="L160" s="15"/>
      <c r="M160" s="15"/>
      <c r="N160" s="15"/>
      <c r="O160" s="15"/>
      <c r="P160" s="14"/>
      <c r="Q160" s="15"/>
    </row>
    <row r="161" spans="1:17" s="16" customFormat="1" ht="15.5" x14ac:dyDescent="0.35">
      <c r="A161" s="17" t="s">
        <v>79</v>
      </c>
      <c r="B161" s="18">
        <f>0.00014515</f>
        <v>1.4515E-4</v>
      </c>
      <c r="C161" s="15" t="s">
        <v>28</v>
      </c>
      <c r="D161" s="15" t="s">
        <v>29</v>
      </c>
      <c r="E161" s="15"/>
      <c r="F161" s="15" t="s">
        <v>15</v>
      </c>
      <c r="G161" s="15" t="s">
        <v>80</v>
      </c>
      <c r="H161" s="15" t="s">
        <v>136</v>
      </c>
      <c r="I161" s="15"/>
      <c r="J161" s="15"/>
      <c r="K161" s="15"/>
      <c r="L161" s="15"/>
      <c r="M161" s="15"/>
      <c r="N161" s="15"/>
      <c r="O161" s="15"/>
      <c r="P161" s="14"/>
      <c r="Q161" s="15"/>
    </row>
    <row r="162" spans="1:17" s="16" customFormat="1" ht="15.5" x14ac:dyDescent="0.35">
      <c r="A162" s="17" t="s">
        <v>26</v>
      </c>
      <c r="B162" s="18">
        <f>4.67/1000</f>
        <v>4.6699999999999997E-3</v>
      </c>
      <c r="C162" s="15" t="s">
        <v>16</v>
      </c>
      <c r="D162" s="15" t="s">
        <v>17</v>
      </c>
      <c r="E162" s="15"/>
      <c r="F162" s="15" t="s">
        <v>15</v>
      </c>
      <c r="G162" s="15" t="s">
        <v>27</v>
      </c>
      <c r="H162" s="15" t="s">
        <v>88</v>
      </c>
      <c r="I162" s="15"/>
      <c r="J162" s="15"/>
      <c r="K162" s="15"/>
      <c r="L162" s="15"/>
      <c r="M162" s="15"/>
      <c r="N162" s="15"/>
      <c r="O162" s="15"/>
      <c r="P162" s="14"/>
      <c r="Q162" s="15"/>
    </row>
    <row r="163" spans="1:17" s="16" customFormat="1" ht="15.5" x14ac:dyDescent="0.35">
      <c r="A163" s="17" t="s">
        <v>26</v>
      </c>
      <c r="B163" s="18">
        <f>40.27/1000</f>
        <v>4.027E-2</v>
      </c>
      <c r="C163" s="15" t="s">
        <v>16</v>
      </c>
      <c r="D163" s="15" t="s">
        <v>17</v>
      </c>
      <c r="E163" s="15"/>
      <c r="F163" s="15" t="s">
        <v>15</v>
      </c>
      <c r="G163" s="15" t="s">
        <v>27</v>
      </c>
      <c r="H163" s="15" t="s">
        <v>137</v>
      </c>
      <c r="I163" s="15"/>
      <c r="J163" s="15"/>
      <c r="K163" s="15"/>
      <c r="L163" s="15"/>
      <c r="M163" s="15"/>
      <c r="N163" s="15"/>
      <c r="O163" s="15"/>
      <c r="P163" s="14"/>
      <c r="Q163" s="15"/>
    </row>
    <row r="164" spans="1:17" s="16" customFormat="1" ht="15.5" x14ac:dyDescent="0.35">
      <c r="A164" s="17" t="s">
        <v>84</v>
      </c>
      <c r="B164" s="18">
        <f>248.53/1000</f>
        <v>0.24853</v>
      </c>
      <c r="C164" s="15" t="s">
        <v>28</v>
      </c>
      <c r="D164" s="15" t="s">
        <v>9</v>
      </c>
      <c r="E164" s="15"/>
      <c r="F164" s="15" t="s">
        <v>15</v>
      </c>
      <c r="G164" s="15" t="s">
        <v>85</v>
      </c>
      <c r="H164" s="15" t="s">
        <v>138</v>
      </c>
      <c r="I164" s="15"/>
      <c r="J164" s="15"/>
      <c r="K164" s="15"/>
      <c r="L164" s="15"/>
      <c r="M164" s="15"/>
      <c r="N164" s="15"/>
      <c r="O164" s="15"/>
      <c r="P164" s="14"/>
      <c r="Q164" s="15"/>
    </row>
    <row r="165" spans="1:17" s="16" customFormat="1" ht="31" x14ac:dyDescent="0.35">
      <c r="A165" s="17" t="s">
        <v>38</v>
      </c>
      <c r="B165" s="18">
        <f>-0.422/1000</f>
        <v>-4.2200000000000001E-4</v>
      </c>
      <c r="C165" s="15" t="s">
        <v>16</v>
      </c>
      <c r="D165" s="15" t="s">
        <v>29</v>
      </c>
      <c r="E165" s="15"/>
      <c r="F165" s="15" t="s">
        <v>15</v>
      </c>
      <c r="G165" s="15" t="s">
        <v>39</v>
      </c>
      <c r="H165" s="15" t="s">
        <v>109</v>
      </c>
      <c r="I165" s="15"/>
      <c r="J165" s="15"/>
      <c r="K165" s="15"/>
      <c r="L165" s="15"/>
      <c r="M165" s="15"/>
      <c r="N165" s="15"/>
      <c r="O165" s="15"/>
      <c r="P165" s="14"/>
      <c r="Q165" s="15"/>
    </row>
    <row r="166" spans="1:17" s="16" customFormat="1" ht="15.5" x14ac:dyDescent="0.35">
      <c r="A166" s="17" t="s">
        <v>35</v>
      </c>
      <c r="B166" s="18">
        <f>1080/1000</f>
        <v>1.08</v>
      </c>
      <c r="C166" s="15" t="s">
        <v>16</v>
      </c>
      <c r="D166" s="15" t="s">
        <v>9</v>
      </c>
      <c r="E166" s="15"/>
      <c r="F166" s="15" t="s">
        <v>15</v>
      </c>
      <c r="G166" s="15" t="s">
        <v>34</v>
      </c>
      <c r="H166" s="15" t="s">
        <v>139</v>
      </c>
      <c r="I166" s="15"/>
      <c r="J166" s="15"/>
      <c r="K166" s="15"/>
      <c r="L166" s="15"/>
      <c r="M166" s="15"/>
      <c r="N166" s="15"/>
      <c r="O166" s="15"/>
      <c r="P166" s="14"/>
      <c r="Q166" s="15"/>
    </row>
    <row r="167" spans="1:17" s="16" customFormat="1" ht="15.5" x14ac:dyDescent="0.35">
      <c r="A167" s="17" t="s">
        <v>140</v>
      </c>
      <c r="B167" s="18">
        <f>72.35/1000</f>
        <v>7.2349999999999998E-2</v>
      </c>
      <c r="C167" s="15" t="s">
        <v>28</v>
      </c>
      <c r="D167" s="15" t="s">
        <v>9</v>
      </c>
      <c r="E167" s="15"/>
      <c r="F167" s="15" t="s">
        <v>15</v>
      </c>
      <c r="G167" s="17" t="s">
        <v>141</v>
      </c>
      <c r="H167" s="17" t="s">
        <v>142</v>
      </c>
      <c r="I167" s="15"/>
      <c r="J167" s="15"/>
      <c r="K167" s="15"/>
      <c r="L167" s="15"/>
      <c r="M167" s="15"/>
      <c r="N167" s="15"/>
      <c r="O167" s="15"/>
      <c r="P167" s="14"/>
      <c r="Q167" s="15"/>
    </row>
    <row r="168" spans="1:17" s="16" customFormat="1" ht="15.5" x14ac:dyDescent="0.35">
      <c r="A168" s="17" t="s">
        <v>26</v>
      </c>
      <c r="B168" s="18">
        <f>32.18/1000</f>
        <v>3.218E-2</v>
      </c>
      <c r="C168" s="15" t="s">
        <v>16</v>
      </c>
      <c r="D168" s="15" t="s">
        <v>17</v>
      </c>
      <c r="E168" s="15"/>
      <c r="F168" s="15" t="s">
        <v>15</v>
      </c>
      <c r="G168" s="15" t="s">
        <v>27</v>
      </c>
      <c r="H168" s="15" t="s">
        <v>143</v>
      </c>
      <c r="I168" s="15"/>
      <c r="J168" s="15"/>
      <c r="K168" s="15"/>
      <c r="L168" s="15"/>
      <c r="M168" s="15"/>
      <c r="N168" s="15"/>
      <c r="O168" s="15"/>
      <c r="P168" s="14"/>
      <c r="Q168" s="15"/>
    </row>
    <row r="169" spans="1:17" s="16" customFormat="1" ht="15.5" x14ac:dyDescent="0.35">
      <c r="A169" s="17" t="s">
        <v>121</v>
      </c>
      <c r="B169" s="18">
        <f>65.77/1000</f>
        <v>6.5769999999999995E-2</v>
      </c>
      <c r="C169" s="15"/>
      <c r="D169" s="15" t="s">
        <v>9</v>
      </c>
      <c r="E169" s="15" t="s">
        <v>122</v>
      </c>
      <c r="F169" s="15" t="s">
        <v>123</v>
      </c>
      <c r="G169" s="15"/>
      <c r="H169" s="15"/>
      <c r="I169" s="15"/>
      <c r="J169" s="15"/>
      <c r="K169" s="15"/>
      <c r="L169" s="15"/>
      <c r="M169" s="15"/>
      <c r="N169" s="15"/>
      <c r="O169" s="15"/>
      <c r="P169" s="14"/>
      <c r="Q169" s="15"/>
    </row>
    <row r="170" spans="1:17" ht="15.5" x14ac:dyDescent="0.35">
      <c r="A170" s="13"/>
      <c r="B170" s="21"/>
      <c r="C170" s="2"/>
      <c r="D170" s="2"/>
      <c r="E170" s="2"/>
      <c r="F170" s="2"/>
      <c r="G170" s="13"/>
      <c r="H170" s="2"/>
      <c r="I170" s="2"/>
      <c r="J170" s="2"/>
      <c r="K170" s="2"/>
      <c r="L170" s="2"/>
      <c r="M170" s="2"/>
      <c r="N170" s="2"/>
      <c r="O170" s="2"/>
      <c r="P170" s="1"/>
      <c r="Q170" s="2"/>
    </row>
    <row r="171" spans="1:17" ht="15.5" x14ac:dyDescent="0.35">
      <c r="A171" s="4" t="s">
        <v>0</v>
      </c>
      <c r="B171" s="4" t="s">
        <v>125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1:17" ht="15.5" x14ac:dyDescent="0.35">
      <c r="A172" s="5" t="s">
        <v>3</v>
      </c>
      <c r="B172" s="5" t="s">
        <v>144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1:17" ht="15.5" x14ac:dyDescent="0.35">
      <c r="A173" s="5" t="s">
        <v>1</v>
      </c>
      <c r="B173" s="5" t="s">
        <v>28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1:17" ht="15.5" x14ac:dyDescent="0.35">
      <c r="A174" s="5" t="s">
        <v>2</v>
      </c>
      <c r="B174" s="5">
        <v>1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1:17" ht="15.5" x14ac:dyDescent="0.35">
      <c r="A175" s="5" t="s">
        <v>4</v>
      </c>
      <c r="B175" s="5" t="s">
        <v>43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1:17" ht="15.5" x14ac:dyDescent="0.35">
      <c r="A176" s="5" t="s">
        <v>5</v>
      </c>
      <c r="B176" s="5" t="s">
        <v>126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1:17" ht="15.5" x14ac:dyDescent="0.35">
      <c r="A177" s="5" t="s">
        <v>6</v>
      </c>
      <c r="B177" s="5" t="s">
        <v>7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7" ht="15.5" x14ac:dyDescent="0.35">
      <c r="A178" s="5" t="s">
        <v>8</v>
      </c>
      <c r="B178" s="5" t="s">
        <v>8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1:17" ht="15.5" x14ac:dyDescent="0.35">
      <c r="A179" s="4" t="s">
        <v>10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1:17" ht="15.5" x14ac:dyDescent="0.35">
      <c r="A180" s="4" t="s">
        <v>11</v>
      </c>
      <c r="B180" s="4" t="s">
        <v>12</v>
      </c>
      <c r="C180" s="4" t="s">
        <v>1</v>
      </c>
      <c r="D180" s="4" t="s">
        <v>8</v>
      </c>
      <c r="E180" s="4" t="s">
        <v>13</v>
      </c>
      <c r="F180" s="4" t="s">
        <v>6</v>
      </c>
      <c r="G180" s="4" t="s">
        <v>5</v>
      </c>
      <c r="H180" s="4" t="s">
        <v>3</v>
      </c>
      <c r="I180" s="4" t="s">
        <v>19</v>
      </c>
      <c r="J180" s="4" t="s">
        <v>20</v>
      </c>
      <c r="K180" s="4" t="s">
        <v>21</v>
      </c>
      <c r="L180" s="4" t="s">
        <v>22</v>
      </c>
      <c r="M180" s="4" t="s">
        <v>23</v>
      </c>
      <c r="N180" s="4" t="s">
        <v>24</v>
      </c>
      <c r="O180" s="4" t="s">
        <v>25</v>
      </c>
    </row>
    <row r="181" spans="1:17" ht="15.5" x14ac:dyDescent="0.35">
      <c r="A181" s="5" t="str">
        <f>B171</f>
        <v>offgas cleaning, pyrolysis</v>
      </c>
      <c r="B181" s="5">
        <v>1</v>
      </c>
      <c r="C181" s="5" t="str">
        <f>B173</f>
        <v>RER</v>
      </c>
      <c r="D181" s="5" t="str">
        <f>B178</f>
        <v>unit</v>
      </c>
      <c r="E181" s="5"/>
      <c r="F181" s="5" t="s">
        <v>14</v>
      </c>
      <c r="G181" s="5" t="str">
        <f>B176</f>
        <v>offgas cleaning</v>
      </c>
      <c r="H181" s="5"/>
      <c r="I181" s="5"/>
      <c r="J181" s="5"/>
      <c r="K181" s="5"/>
      <c r="L181" s="5"/>
      <c r="M181" s="5"/>
      <c r="N181" s="5"/>
      <c r="O181" s="5"/>
    </row>
    <row r="182" spans="1:17" ht="15.5" x14ac:dyDescent="0.35">
      <c r="A182" s="9" t="s">
        <v>145</v>
      </c>
      <c r="B182" s="22">
        <v>10.050000000000001</v>
      </c>
      <c r="C182" s="5" t="s">
        <v>31</v>
      </c>
      <c r="D182" s="5" t="s">
        <v>9</v>
      </c>
      <c r="E182" s="5"/>
      <c r="F182" s="5" t="s">
        <v>15</v>
      </c>
      <c r="G182" s="5" t="s">
        <v>146</v>
      </c>
      <c r="H182" s="5" t="s">
        <v>147</v>
      </c>
      <c r="I182" s="5"/>
      <c r="J182" s="5"/>
      <c r="K182" s="5"/>
      <c r="L182" s="5"/>
      <c r="M182" s="5"/>
      <c r="N182" s="5"/>
      <c r="O182" s="5"/>
    </row>
    <row r="183" spans="1:17" ht="15.5" x14ac:dyDescent="0.35">
      <c r="A183" s="9" t="s">
        <v>71</v>
      </c>
      <c r="B183" s="22">
        <v>41.54</v>
      </c>
      <c r="C183" s="5" t="s">
        <v>16</v>
      </c>
      <c r="D183" s="5" t="s">
        <v>9</v>
      </c>
      <c r="E183" s="5"/>
      <c r="F183" s="5" t="s">
        <v>15</v>
      </c>
      <c r="G183" s="5" t="s">
        <v>72</v>
      </c>
      <c r="H183" s="5"/>
      <c r="I183" s="5"/>
      <c r="J183" s="5"/>
      <c r="K183" s="5"/>
      <c r="L183" s="5"/>
      <c r="M183" s="5"/>
      <c r="N183" s="5"/>
      <c r="O183" s="5"/>
      <c r="P183" s="1"/>
      <c r="Q183" s="2"/>
    </row>
    <row r="184" spans="1:17" s="23" customFormat="1" ht="15.5" x14ac:dyDescent="0.35">
      <c r="A184" s="9" t="s">
        <v>26</v>
      </c>
      <c r="B184" s="6">
        <f>1.84</f>
        <v>1.84</v>
      </c>
      <c r="C184" s="5" t="s">
        <v>16</v>
      </c>
      <c r="D184" s="5" t="s">
        <v>17</v>
      </c>
      <c r="E184" s="5"/>
      <c r="F184" s="5" t="s">
        <v>15</v>
      </c>
      <c r="G184" s="5" t="s">
        <v>27</v>
      </c>
      <c r="H184" s="5"/>
      <c r="I184" s="5"/>
      <c r="J184" s="5"/>
      <c r="K184" s="5"/>
      <c r="L184" s="5"/>
      <c r="M184" s="5"/>
      <c r="N184" s="5"/>
      <c r="O184" s="5"/>
      <c r="P184" s="4"/>
      <c r="Q184" s="5"/>
    </row>
    <row r="185" spans="1:17" s="23" customFormat="1" ht="31" x14ac:dyDescent="0.35">
      <c r="A185" s="9" t="s">
        <v>148</v>
      </c>
      <c r="B185" s="6">
        <v>44.56</v>
      </c>
      <c r="C185" s="5" t="s">
        <v>36</v>
      </c>
      <c r="D185" s="5" t="s">
        <v>170</v>
      </c>
      <c r="E185" s="5"/>
      <c r="F185" s="5" t="s">
        <v>15</v>
      </c>
      <c r="G185" s="5" t="s">
        <v>37</v>
      </c>
      <c r="H185" s="5" t="s">
        <v>149</v>
      </c>
      <c r="I185" s="5"/>
      <c r="J185" s="5"/>
      <c r="K185" s="5"/>
      <c r="L185" s="5"/>
      <c r="M185" s="5"/>
      <c r="N185" s="5"/>
      <c r="O185" s="5"/>
      <c r="P185" s="4"/>
      <c r="Q185" s="5"/>
    </row>
    <row r="186" spans="1:17" s="23" customFormat="1" ht="31" x14ac:dyDescent="0.35">
      <c r="A186" s="9" t="s">
        <v>150</v>
      </c>
      <c r="B186" s="6">
        <v>-0.6</v>
      </c>
      <c r="C186" s="5" t="s">
        <v>16</v>
      </c>
      <c r="D186" s="5" t="s">
        <v>9</v>
      </c>
      <c r="E186" s="5"/>
      <c r="F186" s="5" t="s">
        <v>15</v>
      </c>
      <c r="G186" s="5" t="s">
        <v>151</v>
      </c>
      <c r="H186" s="5"/>
      <c r="I186" s="5"/>
      <c r="J186" s="5"/>
      <c r="K186" s="5"/>
      <c r="L186" s="5"/>
      <c r="M186" s="5"/>
      <c r="N186" s="5"/>
      <c r="O186" s="5"/>
      <c r="P186" s="4"/>
      <c r="Q186" s="5"/>
    </row>
    <row r="187" spans="1:17" ht="15.5" x14ac:dyDescent="0.35">
      <c r="A187" s="24"/>
      <c r="B187" s="21"/>
      <c r="C187" s="2"/>
      <c r="D187" s="2"/>
      <c r="E187" s="2"/>
      <c r="F187" s="2"/>
      <c r="G187" s="13"/>
      <c r="H187" s="2"/>
      <c r="I187" s="2"/>
      <c r="J187" s="2"/>
      <c r="K187" s="2"/>
      <c r="L187" s="2"/>
      <c r="M187" s="2"/>
      <c r="N187" s="2"/>
      <c r="O187" s="2"/>
    </row>
    <row r="188" spans="1:17" ht="15.5" x14ac:dyDescent="0.35">
      <c r="A188" s="4" t="s">
        <v>0</v>
      </c>
      <c r="B188" s="4" t="s">
        <v>79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1:17" ht="15.5" x14ac:dyDescent="0.35">
      <c r="A189" s="5" t="s">
        <v>3</v>
      </c>
      <c r="B189" s="5" t="s">
        <v>152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1:17" ht="15.5" x14ac:dyDescent="0.35">
      <c r="A190" s="5" t="s">
        <v>1</v>
      </c>
      <c r="B190" s="5" t="s">
        <v>28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1:17" ht="15.5" x14ac:dyDescent="0.35">
      <c r="A191" s="5" t="s">
        <v>2</v>
      </c>
      <c r="B191" s="5">
        <v>1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1:17" ht="15.5" x14ac:dyDescent="0.35">
      <c r="A192" s="5" t="s">
        <v>4</v>
      </c>
      <c r="B192" s="5" t="s">
        <v>43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1:15" ht="15.5" x14ac:dyDescent="0.35">
      <c r="A193" s="5" t="s">
        <v>5</v>
      </c>
      <c r="B193" s="5" t="s">
        <v>80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1:15" ht="15.5" x14ac:dyDescent="0.35">
      <c r="A194" s="5" t="s">
        <v>6</v>
      </c>
      <c r="B194" s="5" t="s">
        <v>7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1:15" ht="15.5" x14ac:dyDescent="0.35">
      <c r="A195" s="5" t="s">
        <v>8</v>
      </c>
      <c r="B195" s="5" t="s">
        <v>29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1:15" ht="15.5" x14ac:dyDescent="0.35">
      <c r="A196" s="4" t="s">
        <v>10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1:15" ht="15.5" x14ac:dyDescent="0.35">
      <c r="A197" s="4" t="s">
        <v>11</v>
      </c>
      <c r="B197" s="4" t="s">
        <v>12</v>
      </c>
      <c r="C197" s="4" t="s">
        <v>1</v>
      </c>
      <c r="D197" s="4" t="s">
        <v>8</v>
      </c>
      <c r="E197" s="4" t="s">
        <v>13</v>
      </c>
      <c r="F197" s="4" t="s">
        <v>6</v>
      </c>
      <c r="G197" s="4" t="s">
        <v>5</v>
      </c>
      <c r="H197" s="4" t="s">
        <v>3</v>
      </c>
      <c r="I197" s="4" t="s">
        <v>19</v>
      </c>
      <c r="J197" s="4" t="s">
        <v>20</v>
      </c>
      <c r="K197" s="4" t="s">
        <v>21</v>
      </c>
      <c r="L197" s="4" t="s">
        <v>22</v>
      </c>
      <c r="M197" s="4" t="s">
        <v>23</v>
      </c>
      <c r="N197" s="4" t="s">
        <v>24</v>
      </c>
      <c r="O197" s="4" t="s">
        <v>25</v>
      </c>
    </row>
    <row r="198" spans="1:15" ht="15.5" x14ac:dyDescent="0.35">
      <c r="A198" s="5" t="str">
        <f>B188</f>
        <v>organic solution, with cyanex272</v>
      </c>
      <c r="B198" s="5">
        <v>1</v>
      </c>
      <c r="C198" s="5" t="str">
        <f>B190</f>
        <v>RER</v>
      </c>
      <c r="D198" s="5" t="str">
        <f>B195</f>
        <v>cubic meter</v>
      </c>
      <c r="E198" s="5"/>
      <c r="F198" s="5" t="s">
        <v>14</v>
      </c>
      <c r="G198" s="5" t="str">
        <f>B193</f>
        <v>organic solvent</v>
      </c>
      <c r="H198" s="5" t="s">
        <v>153</v>
      </c>
      <c r="I198" s="5"/>
      <c r="J198" s="5"/>
      <c r="K198" s="5"/>
      <c r="L198" s="5"/>
      <c r="M198" s="5"/>
      <c r="N198" s="5"/>
      <c r="O198" s="5"/>
    </row>
    <row r="199" spans="1:15" ht="15.5" x14ac:dyDescent="0.35">
      <c r="A199" s="9" t="s">
        <v>154</v>
      </c>
      <c r="B199" s="22">
        <v>150</v>
      </c>
      <c r="C199" s="5" t="s">
        <v>28</v>
      </c>
      <c r="D199" s="5" t="s">
        <v>9</v>
      </c>
      <c r="E199" s="5"/>
      <c r="F199" s="5" t="s">
        <v>15</v>
      </c>
      <c r="G199" s="5" t="s">
        <v>155</v>
      </c>
      <c r="H199" s="5" t="s">
        <v>156</v>
      </c>
      <c r="I199" s="5"/>
      <c r="J199" s="5"/>
      <c r="K199" s="5"/>
      <c r="L199" s="5"/>
      <c r="M199" s="5"/>
      <c r="N199" s="5"/>
      <c r="O199" s="5"/>
    </row>
    <row r="200" spans="1:15" ht="15.5" x14ac:dyDescent="0.35">
      <c r="A200" s="9" t="s">
        <v>157</v>
      </c>
      <c r="B200" s="22">
        <v>800</v>
      </c>
      <c r="C200" s="5" t="s">
        <v>28</v>
      </c>
      <c r="D200" s="5" t="s">
        <v>9</v>
      </c>
      <c r="E200" s="5"/>
      <c r="F200" s="5" t="s">
        <v>15</v>
      </c>
      <c r="G200" s="5" t="s">
        <v>158</v>
      </c>
      <c r="H200" s="5" t="s">
        <v>159</v>
      </c>
      <c r="I200" s="5"/>
      <c r="J200" s="5"/>
      <c r="K200" s="5"/>
      <c r="L200" s="5"/>
      <c r="M200" s="5"/>
      <c r="N200" s="5"/>
      <c r="O200" s="5"/>
    </row>
    <row r="202" spans="1:15" ht="15.5" x14ac:dyDescent="0.35">
      <c r="A202" s="4" t="s">
        <v>0</v>
      </c>
      <c r="B202" s="4" t="s">
        <v>154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1:15" ht="15.5" x14ac:dyDescent="0.35">
      <c r="A203" s="5" t="s">
        <v>3</v>
      </c>
      <c r="B203" s="5" t="s">
        <v>160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1:15" ht="15.5" x14ac:dyDescent="0.35">
      <c r="A204" s="5" t="s">
        <v>1</v>
      </c>
      <c r="B204" s="5" t="s">
        <v>28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1:15" ht="15.5" x14ac:dyDescent="0.35">
      <c r="A205" s="5" t="s">
        <v>2</v>
      </c>
      <c r="B205" s="5">
        <v>1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1:15" ht="15.5" x14ac:dyDescent="0.35">
      <c r="A206" s="5" t="s">
        <v>4</v>
      </c>
      <c r="B206" s="5" t="s">
        <v>43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1:15" ht="15.5" x14ac:dyDescent="0.35">
      <c r="A207" s="5" t="s">
        <v>5</v>
      </c>
      <c r="B207" s="5" t="s">
        <v>155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1:15" ht="15.5" x14ac:dyDescent="0.35">
      <c r="A208" s="5" t="s">
        <v>6</v>
      </c>
      <c r="B208" s="5" t="s">
        <v>7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1:17" ht="15.5" x14ac:dyDescent="0.35">
      <c r="A209" s="5" t="s">
        <v>8</v>
      </c>
      <c r="B209" s="5" t="s">
        <v>9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1:17" ht="15.5" x14ac:dyDescent="0.35">
      <c r="A210" s="4" t="s">
        <v>10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1:17" ht="15.5" x14ac:dyDescent="0.35">
      <c r="A211" s="4" t="s">
        <v>11</v>
      </c>
      <c r="B211" s="4" t="s">
        <v>12</v>
      </c>
      <c r="C211" s="4" t="s">
        <v>1</v>
      </c>
      <c r="D211" s="4" t="s">
        <v>8</v>
      </c>
      <c r="E211" s="4" t="s">
        <v>13</v>
      </c>
      <c r="F211" s="4" t="s">
        <v>6</v>
      </c>
      <c r="G211" s="4" t="s">
        <v>5</v>
      </c>
      <c r="H211" s="4" t="s">
        <v>3</v>
      </c>
      <c r="I211" s="4" t="s">
        <v>19</v>
      </c>
      <c r="J211" s="4" t="s">
        <v>20</v>
      </c>
      <c r="K211" s="4" t="s">
        <v>21</v>
      </c>
      <c r="L211" s="4" t="s">
        <v>22</v>
      </c>
      <c r="M211" s="4" t="s">
        <v>23</v>
      </c>
      <c r="N211" s="4" t="s">
        <v>24</v>
      </c>
      <c r="O211" s="4" t="s">
        <v>25</v>
      </c>
    </row>
    <row r="212" spans="1:17" ht="15.5" x14ac:dyDescent="0.35">
      <c r="A212" s="5" t="str">
        <f>B202</f>
        <v>cyanex272 production</v>
      </c>
      <c r="B212" s="5">
        <v>1</v>
      </c>
      <c r="C212" s="5" t="str">
        <f>B204</f>
        <v>RER</v>
      </c>
      <c r="D212" s="5" t="str">
        <f>B209</f>
        <v>kilogram</v>
      </c>
      <c r="E212" s="5"/>
      <c r="F212" s="5" t="s">
        <v>14</v>
      </c>
      <c r="G212" s="5" t="str">
        <f>B207</f>
        <v>cyanex272</v>
      </c>
      <c r="H212" s="5"/>
      <c r="I212" s="5"/>
      <c r="J212" s="5"/>
      <c r="K212" s="5"/>
      <c r="L212" s="5"/>
      <c r="M212" s="5"/>
      <c r="N212" s="5"/>
      <c r="O212" s="5"/>
    </row>
    <row r="213" spans="1:17" ht="15.5" x14ac:dyDescent="0.35">
      <c r="A213" s="9" t="s">
        <v>161</v>
      </c>
      <c r="B213" s="22">
        <v>1.9</v>
      </c>
      <c r="C213" s="5" t="s">
        <v>31</v>
      </c>
      <c r="D213" s="5" t="s">
        <v>9</v>
      </c>
      <c r="E213" s="5"/>
      <c r="F213" s="5" t="s">
        <v>15</v>
      </c>
      <c r="G213" s="5" t="s">
        <v>162</v>
      </c>
      <c r="H213" s="5"/>
      <c r="I213" s="5"/>
      <c r="J213" s="5"/>
      <c r="K213" s="5"/>
      <c r="L213" s="5"/>
      <c r="M213" s="5"/>
      <c r="N213" s="5"/>
      <c r="O213" s="5"/>
    </row>
    <row r="214" spans="1:17" ht="15.5" x14ac:dyDescent="0.35">
      <c r="A214" s="9" t="s">
        <v>163</v>
      </c>
      <c r="B214" s="22">
        <v>0.46</v>
      </c>
      <c r="C214" s="5" t="s">
        <v>28</v>
      </c>
      <c r="D214" s="5" t="s">
        <v>9</v>
      </c>
      <c r="E214" s="5"/>
      <c r="F214" s="5" t="s">
        <v>15</v>
      </c>
      <c r="G214" s="5" t="s">
        <v>164</v>
      </c>
      <c r="H214" s="5"/>
      <c r="I214" s="5"/>
      <c r="J214" s="5"/>
      <c r="K214" s="5"/>
      <c r="L214" s="5"/>
      <c r="M214" s="5"/>
      <c r="N214" s="5"/>
      <c r="O214" s="5"/>
    </row>
    <row r="215" spans="1:17" ht="15.5" x14ac:dyDescent="0.35">
      <c r="A215" s="9" t="s">
        <v>26</v>
      </c>
      <c r="B215" s="22">
        <v>1.36</v>
      </c>
      <c r="C215" s="5" t="s">
        <v>16</v>
      </c>
      <c r="D215" s="5" t="s">
        <v>17</v>
      </c>
      <c r="E215" s="5"/>
      <c r="F215" s="5" t="s">
        <v>15</v>
      </c>
      <c r="G215" s="5" t="s">
        <v>27</v>
      </c>
      <c r="H215" s="5"/>
      <c r="I215" s="5"/>
      <c r="J215" s="5"/>
      <c r="K215" s="5"/>
      <c r="L215" s="5"/>
      <c r="M215" s="5"/>
      <c r="N215" s="5"/>
      <c r="O215" s="5"/>
      <c r="P215" s="1"/>
      <c r="Q215" s="2"/>
    </row>
    <row r="216" spans="1:17" ht="15.5" x14ac:dyDescent="0.35">
      <c r="A216" s="9" t="s">
        <v>165</v>
      </c>
      <c r="B216" s="22">
        <v>0.16</v>
      </c>
      <c r="C216" s="5"/>
      <c r="D216" s="5" t="s">
        <v>9</v>
      </c>
      <c r="E216" s="5" t="s">
        <v>166</v>
      </c>
      <c r="F216" s="5" t="s">
        <v>123</v>
      </c>
      <c r="G216" s="5"/>
      <c r="H216" s="5"/>
      <c r="I216" s="5"/>
      <c r="J216" s="5"/>
      <c r="K216" s="5"/>
      <c r="L216" s="5"/>
      <c r="M216" s="5"/>
      <c r="N216" s="5"/>
      <c r="O216" s="5"/>
      <c r="P216" s="1"/>
      <c r="Q216" s="2"/>
    </row>
    <row r="218" spans="1:17" ht="15.5" x14ac:dyDescent="0.35">
      <c r="A218" s="4" t="s">
        <v>0</v>
      </c>
      <c r="B218" s="4" t="s">
        <v>163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1:17" ht="15.5" x14ac:dyDescent="0.35">
      <c r="A219" s="5" t="s">
        <v>3</v>
      </c>
      <c r="B219" s="5" t="s">
        <v>167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1:17" ht="15.5" x14ac:dyDescent="0.35">
      <c r="A220" s="5" t="s">
        <v>1</v>
      </c>
      <c r="B220" s="5" t="s">
        <v>28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1:17" ht="15.5" x14ac:dyDescent="0.35">
      <c r="A221" s="5" t="s">
        <v>2</v>
      </c>
      <c r="B221" s="5">
        <v>1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1:17" ht="15.5" x14ac:dyDescent="0.35">
      <c r="A222" s="5" t="s">
        <v>4</v>
      </c>
      <c r="B222" s="5" t="s">
        <v>43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1:17" ht="15.5" x14ac:dyDescent="0.35">
      <c r="A223" s="5" t="s">
        <v>5</v>
      </c>
      <c r="B223" s="5" t="s">
        <v>164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1:17" ht="15.5" x14ac:dyDescent="0.35">
      <c r="A224" s="5" t="s">
        <v>6</v>
      </c>
      <c r="B224" s="5" t="s">
        <v>7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1:17" ht="15.5" x14ac:dyDescent="0.35">
      <c r="A225" s="5" t="s">
        <v>8</v>
      </c>
      <c r="B225" s="5" t="s">
        <v>9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1:17" ht="15.5" x14ac:dyDescent="0.35">
      <c r="A226" s="4" t="s">
        <v>10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1:17" ht="15.5" x14ac:dyDescent="0.35">
      <c r="A227" s="4" t="s">
        <v>11</v>
      </c>
      <c r="B227" s="4" t="s">
        <v>12</v>
      </c>
      <c r="C227" s="4" t="s">
        <v>1</v>
      </c>
      <c r="D227" s="4" t="s">
        <v>8</v>
      </c>
      <c r="E227" s="4" t="s">
        <v>13</v>
      </c>
      <c r="F227" s="4" t="s">
        <v>6</v>
      </c>
      <c r="G227" s="4" t="s">
        <v>5</v>
      </c>
      <c r="H227" s="4" t="s">
        <v>3</v>
      </c>
      <c r="I227" s="4" t="s">
        <v>19</v>
      </c>
      <c r="J227" s="4" t="s">
        <v>20</v>
      </c>
      <c r="K227" s="4" t="s">
        <v>21</v>
      </c>
      <c r="L227" s="4" t="s">
        <v>22</v>
      </c>
      <c r="M227" s="4" t="s">
        <v>23</v>
      </c>
      <c r="N227" s="4" t="s">
        <v>24</v>
      </c>
      <c r="O227" s="4" t="s">
        <v>25</v>
      </c>
    </row>
    <row r="228" spans="1:17" ht="15.5" x14ac:dyDescent="0.35">
      <c r="A228" s="5" t="str">
        <f>B218</f>
        <v>sodium hypophosphite production</v>
      </c>
      <c r="B228" s="5">
        <v>1</v>
      </c>
      <c r="C228" s="5" t="str">
        <f>B220</f>
        <v>RER</v>
      </c>
      <c r="D228" s="5" t="str">
        <f>B225</f>
        <v>kilogram</v>
      </c>
      <c r="E228" s="5"/>
      <c r="F228" s="5" t="s">
        <v>14</v>
      </c>
      <c r="G228" s="5" t="str">
        <f>B223</f>
        <v>sodium hypophosphite</v>
      </c>
      <c r="H228" s="5"/>
      <c r="I228" s="5"/>
      <c r="J228" s="5"/>
      <c r="K228" s="5"/>
      <c r="L228" s="5"/>
      <c r="M228" s="5"/>
      <c r="N228" s="5"/>
      <c r="O228" s="5"/>
    </row>
    <row r="229" spans="1:17" ht="31" x14ac:dyDescent="0.35">
      <c r="A229" s="9" t="s">
        <v>76</v>
      </c>
      <c r="B229" s="22">
        <v>0.75</v>
      </c>
      <c r="C229" s="5" t="s">
        <v>28</v>
      </c>
      <c r="D229" s="5" t="s">
        <v>9</v>
      </c>
      <c r="E229" s="5"/>
      <c r="F229" s="5" t="s">
        <v>15</v>
      </c>
      <c r="G229" s="5" t="s">
        <v>77</v>
      </c>
      <c r="H229" s="5"/>
      <c r="I229" s="5"/>
      <c r="J229" s="5"/>
      <c r="K229" s="5"/>
      <c r="L229" s="5"/>
      <c r="M229" s="5"/>
      <c r="N229" s="5"/>
      <c r="O229" s="5"/>
      <c r="P229" s="1"/>
      <c r="Q229" s="2"/>
    </row>
    <row r="230" spans="1:17" ht="15.5" x14ac:dyDescent="0.35">
      <c r="A230" s="9" t="s">
        <v>101</v>
      </c>
      <c r="B230" s="22">
        <v>0.52</v>
      </c>
      <c r="C230" s="5" t="s">
        <v>16</v>
      </c>
      <c r="D230" s="5" t="s">
        <v>9</v>
      </c>
      <c r="E230" s="5"/>
      <c r="F230" s="5" t="s">
        <v>15</v>
      </c>
      <c r="G230" s="5" t="s">
        <v>102</v>
      </c>
      <c r="H230" s="5"/>
      <c r="I230" s="5"/>
      <c r="J230" s="5"/>
      <c r="K230" s="5"/>
      <c r="L230" s="5"/>
      <c r="M230" s="5"/>
      <c r="N230" s="5"/>
      <c r="O230" s="5"/>
    </row>
    <row r="231" spans="1:17" ht="15.5" x14ac:dyDescent="0.35">
      <c r="A231" s="9" t="s">
        <v>168</v>
      </c>
      <c r="B231" s="22">
        <v>0.56000000000000005</v>
      </c>
      <c r="C231" s="5" t="s">
        <v>28</v>
      </c>
      <c r="D231" s="5" t="s">
        <v>9</v>
      </c>
      <c r="E231" s="5"/>
      <c r="F231" s="5" t="s">
        <v>15</v>
      </c>
      <c r="G231" s="5" t="s">
        <v>169</v>
      </c>
      <c r="H231" s="5"/>
      <c r="I231" s="5"/>
      <c r="J231" s="5"/>
      <c r="K231" s="5"/>
      <c r="L231" s="5"/>
      <c r="M231" s="5"/>
      <c r="N231" s="5"/>
      <c r="O231" s="5"/>
    </row>
    <row r="232" spans="1:17" ht="15.5" x14ac:dyDescent="0.35">
      <c r="A232" s="9" t="s">
        <v>71</v>
      </c>
      <c r="B232" s="22">
        <v>0.25</v>
      </c>
      <c r="C232" s="5" t="s">
        <v>16</v>
      </c>
      <c r="D232" s="5" t="s">
        <v>9</v>
      </c>
      <c r="E232" s="5"/>
      <c r="F232" s="5" t="s">
        <v>15</v>
      </c>
      <c r="G232" s="5" t="s">
        <v>72</v>
      </c>
      <c r="H232" s="5"/>
      <c r="I232" s="5"/>
      <c r="J232" s="5"/>
      <c r="K232" s="5"/>
      <c r="L232" s="5"/>
      <c r="M232" s="5"/>
      <c r="N232" s="5"/>
      <c r="O232" s="5"/>
      <c r="P232" s="1"/>
      <c r="Q232" s="2"/>
    </row>
  </sheetData>
  <hyperlinks>
    <hyperlink ref="R1" r:id="rId1" location=":~:text=According%20to%20the%20inventory%20of%20the%20treatment,231%206%20of%2013%20and%2023%25%20(11.2" xr:uid="{FAAE9579-AB23-4B6E-93E2-C821787E1C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Li-ion_Battery_EOL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2025-08-21T12:12:40Z</dcterms:modified>
</cp:coreProperties>
</file>