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E9924D7-8C79-864D-BC0E-38064BF9DF1E}" xr6:coauthVersionLast="47" xr6:coauthVersionMax="47" xr10:uidLastSave="{00000000-0000-0000-0000-000000000000}"/>
  <bookViews>
    <workbookView xWindow="4440" yWindow="760" windowWidth="25800" windowHeight="18880" firstSheet="2" activeTab="4" xr2:uid="{00000000-000D-0000-FFFF-FFFF00000000}"/>
  </bookViews>
  <sheets>
    <sheet name="birch" sheetId="2" r:id="rId1"/>
    <sheet name="birch (parameters)" sheetId="4" r:id="rId2"/>
    <sheet name="oak" sheetId="5" r:id="rId3"/>
    <sheet name="oak (parameters)" sheetId="6" r:id="rId4"/>
    <sheet name="rice_husk" sheetId="7" r:id="rId5"/>
    <sheet name="rice_husk (parameters)" sheetId="9" r:id="rId6"/>
    <sheet name="rice_straw" sheetId="10" r:id="rId7"/>
    <sheet name="rice_straw (parameters)" sheetId="11" r:id="rId8"/>
    <sheet name="spruce" sheetId="12" r:id="rId9"/>
    <sheet name="spruce (parameters)" sheetId="13" r:id="rId10"/>
    <sheet name="willow" sheetId="14" r:id="rId11"/>
    <sheet name="willow (parameters)" sheetId="15" r:id="rId12"/>
    <sheet name="Uncertainty table" sheetId="16" r:id="rId13"/>
    <sheet name="List" sheetId="21" r:id="rId14"/>
  </sheets>
  <externalReferences>
    <externalReference r:id="rId15"/>
  </externalReferences>
  <definedNames>
    <definedName name="_xlnm._FilterDatabase" localSheetId="0" hidden="1">birch!$A$1:$G$43</definedName>
    <definedName name="_xlnm._FilterDatabase" localSheetId="2" hidden="1">oak!$A$1:$P$45</definedName>
    <definedName name="_xlnm._FilterDatabase" localSheetId="4" hidden="1">rice_husk!$A$1:$Q$55</definedName>
    <definedName name="_xlnm._FilterDatabase" localSheetId="6" hidden="1">rice_straw!$A$1:$O$54</definedName>
    <definedName name="_xlnm._FilterDatabase" localSheetId="12" hidden="1">'Uncertainty table'!$A$2:$AA$178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7" l="1"/>
  <c r="B53" i="10" l="1"/>
  <c r="N49" i="14"/>
  <c r="N48" i="14"/>
  <c r="M49" i="14"/>
  <c r="M48" i="14"/>
  <c r="N53" i="10"/>
  <c r="M53" i="10"/>
  <c r="N52" i="10"/>
  <c r="M52" i="10"/>
  <c r="N54" i="7"/>
  <c r="M54" i="7"/>
  <c r="N53" i="7"/>
  <c r="M53" i="7"/>
  <c r="N52" i="7"/>
  <c r="M52" i="7"/>
  <c r="N51" i="7"/>
  <c r="M51" i="7"/>
  <c r="B9" i="7"/>
  <c r="B9" i="10"/>
  <c r="C15" i="9"/>
  <c r="C17" i="9"/>
  <c r="C21" i="9"/>
  <c r="G32" i="10"/>
  <c r="A32" i="10"/>
  <c r="A18" i="10"/>
  <c r="G8" i="7"/>
  <c r="A8" i="7"/>
  <c r="A33" i="10" l="1"/>
  <c r="D10" i="2"/>
  <c r="E10" i="2"/>
  <c r="G10" i="2"/>
  <c r="A10" i="2"/>
  <c r="G9" i="14"/>
  <c r="G9" i="12"/>
  <c r="G18" i="10"/>
  <c r="G18" i="7"/>
  <c r="N52" i="16"/>
  <c r="N53" i="16"/>
  <c r="N54" i="16"/>
  <c r="N55" i="16"/>
  <c r="N66" i="16"/>
  <c r="N67" i="16"/>
  <c r="N75" i="16"/>
  <c r="W14" i="16"/>
  <c r="V14" i="16" s="1"/>
  <c r="X14" i="16"/>
  <c r="Y14" i="16"/>
  <c r="Z14" i="16"/>
  <c r="AA14" i="16"/>
  <c r="W25" i="16"/>
  <c r="R25" i="16" s="1"/>
  <c r="X25" i="16"/>
  <c r="Y25" i="16"/>
  <c r="Z25" i="16"/>
  <c r="AA25" i="16"/>
  <c r="W34" i="16"/>
  <c r="S34" i="16" s="1"/>
  <c r="X34" i="16"/>
  <c r="Y34" i="16"/>
  <c r="Z34" i="16"/>
  <c r="AA34" i="16"/>
  <c r="W43" i="16"/>
  <c r="V43" i="16" s="1"/>
  <c r="X43" i="16"/>
  <c r="Y43" i="16"/>
  <c r="Z43" i="16"/>
  <c r="AA43" i="16"/>
  <c r="W56" i="16"/>
  <c r="R56" i="16" s="1"/>
  <c r="X56" i="16"/>
  <c r="Y56" i="16"/>
  <c r="Z56" i="16"/>
  <c r="AA56" i="16"/>
  <c r="E16" i="16"/>
  <c r="E15" i="16"/>
  <c r="E67" i="16"/>
  <c r="E66" i="16"/>
  <c r="E55" i="16"/>
  <c r="E54" i="16"/>
  <c r="E52" i="16"/>
  <c r="M75" i="16"/>
  <c r="M67" i="16"/>
  <c r="X73" i="16"/>
  <c r="W73" i="16"/>
  <c r="S73" i="16" s="1"/>
  <c r="T73" i="16"/>
  <c r="E73" i="16"/>
  <c r="X72" i="16"/>
  <c r="W72" i="16"/>
  <c r="V72" i="16" s="1"/>
  <c r="H72" i="16"/>
  <c r="E72" i="16"/>
  <c r="X71" i="16"/>
  <c r="W71" i="16"/>
  <c r="U71" i="16" s="1"/>
  <c r="H71" i="16"/>
  <c r="E71" i="16"/>
  <c r="B45" i="12" s="1"/>
  <c r="X70" i="16"/>
  <c r="W70" i="16"/>
  <c r="V70" i="16" s="1"/>
  <c r="H70" i="16"/>
  <c r="E70" i="16"/>
  <c r="X69" i="16"/>
  <c r="W69" i="16"/>
  <c r="V69" i="16" s="1"/>
  <c r="H69" i="16"/>
  <c r="E69" i="16"/>
  <c r="X68" i="16"/>
  <c r="W68" i="16"/>
  <c r="V68" i="16" s="1"/>
  <c r="H68" i="16"/>
  <c r="E68" i="16"/>
  <c r="X67" i="16"/>
  <c r="W67" i="16"/>
  <c r="X66" i="16"/>
  <c r="W66" i="16"/>
  <c r="M66" i="16"/>
  <c r="X65" i="16"/>
  <c r="W65" i="16"/>
  <c r="S65" i="16" s="1"/>
  <c r="K51" i="10" s="1"/>
  <c r="X64" i="16"/>
  <c r="W64" i="16"/>
  <c r="AA64" i="16" s="1"/>
  <c r="X63" i="16"/>
  <c r="W63" i="16"/>
  <c r="V63" i="16" s="1"/>
  <c r="X62" i="16"/>
  <c r="W62" i="16"/>
  <c r="AA62" i="16" s="1"/>
  <c r="X61" i="16"/>
  <c r="W61" i="16"/>
  <c r="AA61" i="16" s="1"/>
  <c r="X60" i="16"/>
  <c r="W60" i="16"/>
  <c r="V60" i="16" s="1"/>
  <c r="X59" i="16"/>
  <c r="W59" i="16"/>
  <c r="Y59" i="16" s="1"/>
  <c r="X58" i="16"/>
  <c r="W58" i="16"/>
  <c r="V58" i="16" s="1"/>
  <c r="X57" i="16"/>
  <c r="W57" i="16"/>
  <c r="S57" i="16" s="1"/>
  <c r="X55" i="16"/>
  <c r="W55" i="16"/>
  <c r="S55" i="16" s="1"/>
  <c r="M55" i="16"/>
  <c r="X54" i="16"/>
  <c r="W54" i="16"/>
  <c r="S54" i="16" s="1"/>
  <c r="M54" i="16"/>
  <c r="X53" i="16"/>
  <c r="W53" i="16"/>
  <c r="M53" i="16"/>
  <c r="X52" i="16"/>
  <c r="W52" i="16"/>
  <c r="S52" i="16" s="1"/>
  <c r="M52" i="16"/>
  <c r="X51" i="16"/>
  <c r="W51" i="16"/>
  <c r="S51" i="16" s="1"/>
  <c r="X50" i="16"/>
  <c r="W50" i="16"/>
  <c r="AA50" i="16" s="1"/>
  <c r="X49" i="16"/>
  <c r="W49" i="16"/>
  <c r="V49" i="16" s="1"/>
  <c r="X48" i="16"/>
  <c r="W48" i="16"/>
  <c r="Y48" i="16" s="1"/>
  <c r="X47" i="16"/>
  <c r="W47" i="16"/>
  <c r="AA47" i="16" s="1"/>
  <c r="X46" i="16"/>
  <c r="W46" i="16"/>
  <c r="V46" i="16" s="1"/>
  <c r="X45" i="16"/>
  <c r="W45" i="16"/>
  <c r="Z45" i="16" s="1"/>
  <c r="U45" i="16"/>
  <c r="X44" i="16"/>
  <c r="W44" i="16"/>
  <c r="AA44" i="16" s="1"/>
  <c r="V44" i="16"/>
  <c r="X42" i="16"/>
  <c r="W42" i="16"/>
  <c r="AA42" i="16" s="1"/>
  <c r="X41" i="16"/>
  <c r="W41" i="16"/>
  <c r="V41" i="16" s="1"/>
  <c r="X40" i="16"/>
  <c r="W40" i="16"/>
  <c r="AA40" i="16" s="1"/>
  <c r="X39" i="16"/>
  <c r="W39" i="16"/>
  <c r="AA39" i="16" s="1"/>
  <c r="X38" i="16"/>
  <c r="W38" i="16"/>
  <c r="V38" i="16" s="1"/>
  <c r="X37" i="16"/>
  <c r="W37" i="16"/>
  <c r="Z37" i="16" s="1"/>
  <c r="X36" i="16"/>
  <c r="W36" i="16"/>
  <c r="Y36" i="16" s="1"/>
  <c r="X35" i="16"/>
  <c r="W35" i="16"/>
  <c r="S35" i="16" s="1"/>
  <c r="X33" i="16"/>
  <c r="W33" i="16"/>
  <c r="AA33" i="16" s="1"/>
  <c r="X32" i="16"/>
  <c r="W32" i="16"/>
  <c r="AA32" i="16" s="1"/>
  <c r="X31" i="16"/>
  <c r="W31" i="16"/>
  <c r="AA31" i="16" s="1"/>
  <c r="X30" i="16"/>
  <c r="W30" i="16"/>
  <c r="V30" i="16" s="1"/>
  <c r="X29" i="16"/>
  <c r="W29" i="16"/>
  <c r="AA29" i="16" s="1"/>
  <c r="X28" i="16"/>
  <c r="W28" i="16"/>
  <c r="Y28" i="16" s="1"/>
  <c r="X27" i="16"/>
  <c r="W27" i="16"/>
  <c r="S27" i="16" s="1"/>
  <c r="X26" i="16"/>
  <c r="W26" i="16"/>
  <c r="AA26" i="16" s="1"/>
  <c r="X24" i="16"/>
  <c r="W24" i="16"/>
  <c r="AA24" i="16" s="1"/>
  <c r="X23" i="16"/>
  <c r="W23" i="16"/>
  <c r="AA23" i="16" s="1"/>
  <c r="V23" i="16"/>
  <c r="X22" i="16"/>
  <c r="W22" i="16"/>
  <c r="V22" i="16" s="1"/>
  <c r="X21" i="16"/>
  <c r="W21" i="16"/>
  <c r="AA21" i="16" s="1"/>
  <c r="X20" i="16"/>
  <c r="W20" i="16"/>
  <c r="Y20" i="16" s="1"/>
  <c r="X19" i="16"/>
  <c r="W19" i="16"/>
  <c r="Z19" i="16" s="1"/>
  <c r="X18" i="16"/>
  <c r="W18" i="16"/>
  <c r="AA18" i="16" s="1"/>
  <c r="X17" i="16"/>
  <c r="W17" i="16"/>
  <c r="V17" i="16" s="1"/>
  <c r="X16" i="16"/>
  <c r="W16" i="16"/>
  <c r="N16" i="16"/>
  <c r="M16" i="16"/>
  <c r="X15" i="16"/>
  <c r="W15" i="16"/>
  <c r="N15" i="16"/>
  <c r="M15" i="16"/>
  <c r="X13" i="16"/>
  <c r="W13" i="16"/>
  <c r="Z13" i="16" s="1"/>
  <c r="X12" i="16"/>
  <c r="W12" i="16"/>
  <c r="V12" i="16" s="1"/>
  <c r="X11" i="16"/>
  <c r="W11" i="16"/>
  <c r="AA11" i="16" s="1"/>
  <c r="X10" i="16"/>
  <c r="W10" i="16"/>
  <c r="Y10" i="16" s="1"/>
  <c r="X9" i="16"/>
  <c r="W9" i="16"/>
  <c r="AA9" i="16" s="1"/>
  <c r="V9" i="16"/>
  <c r="X8" i="16"/>
  <c r="W8" i="16"/>
  <c r="AA8" i="16" s="1"/>
  <c r="X7" i="16"/>
  <c r="W7" i="16"/>
  <c r="U7" i="16" s="1"/>
  <c r="X6" i="16"/>
  <c r="W6" i="16"/>
  <c r="Z6" i="16" s="1"/>
  <c r="X5" i="16"/>
  <c r="W5" i="16"/>
  <c r="AA5" i="16" s="1"/>
  <c r="X4" i="16"/>
  <c r="W4" i="16"/>
  <c r="AA4" i="16" s="1"/>
  <c r="W3" i="16"/>
  <c r="Z3" i="16" s="1"/>
  <c r="R3" i="16"/>
  <c r="U14" i="16" l="1"/>
  <c r="U34" i="16"/>
  <c r="R34" i="16"/>
  <c r="S14" i="16"/>
  <c r="V56" i="16"/>
  <c r="R14" i="16"/>
  <c r="R43" i="16"/>
  <c r="S43" i="16"/>
  <c r="V25" i="16"/>
  <c r="U23" i="16"/>
  <c r="V40" i="16"/>
  <c r="U56" i="16"/>
  <c r="U25" i="16"/>
  <c r="S25" i="16"/>
  <c r="S56" i="16"/>
  <c r="V34" i="16"/>
  <c r="U43" i="16"/>
  <c r="Z15" i="16"/>
  <c r="R45" i="16"/>
  <c r="S29" i="16"/>
  <c r="S45" i="16"/>
  <c r="U27" i="16"/>
  <c r="V47" i="16"/>
  <c r="U65" i="16"/>
  <c r="V48" i="16"/>
  <c r="U57" i="16"/>
  <c r="V64" i="16"/>
  <c r="R10" i="16"/>
  <c r="R69" i="16"/>
  <c r="J55" i="7" s="1"/>
  <c r="U39" i="16"/>
  <c r="V39" i="16"/>
  <c r="V50" i="16"/>
  <c r="S59" i="16"/>
  <c r="U54" i="16"/>
  <c r="AA66" i="16"/>
  <c r="V36" i="16"/>
  <c r="AA67" i="16"/>
  <c r="V71" i="16"/>
  <c r="V5" i="16"/>
  <c r="S37" i="16"/>
  <c r="R63" i="16"/>
  <c r="AA16" i="16"/>
  <c r="R13" i="16"/>
  <c r="V65" i="16"/>
  <c r="AA68" i="16"/>
  <c r="Z54" i="16"/>
  <c r="R73" i="16"/>
  <c r="J54" i="10" s="1"/>
  <c r="R8" i="16"/>
  <c r="S31" i="16"/>
  <c r="V42" i="16"/>
  <c r="R37" i="16"/>
  <c r="V61" i="16"/>
  <c r="U59" i="16"/>
  <c r="U67" i="16"/>
  <c r="S3" i="16"/>
  <c r="S8" i="16"/>
  <c r="S13" i="16"/>
  <c r="U3" i="16"/>
  <c r="V8" i="16"/>
  <c r="U13" i="16"/>
  <c r="V59" i="16"/>
  <c r="R64" i="16"/>
  <c r="V67" i="16"/>
  <c r="S40" i="16"/>
  <c r="R44" i="16"/>
  <c r="S64" i="16"/>
  <c r="S71" i="16"/>
  <c r="V4" i="16"/>
  <c r="S23" i="16"/>
  <c r="U40" i="16"/>
  <c r="S44" i="16"/>
  <c r="U64" i="16"/>
  <c r="R33" i="16"/>
  <c r="S33" i="16"/>
  <c r="R62" i="16"/>
  <c r="R11" i="16"/>
  <c r="U20" i="16"/>
  <c r="U29" i="16"/>
  <c r="U33" i="16"/>
  <c r="V45" i="16"/>
  <c r="U51" i="16"/>
  <c r="V54" i="16"/>
  <c r="V57" i="16"/>
  <c r="S62" i="16"/>
  <c r="V20" i="16"/>
  <c r="V29" i="16"/>
  <c r="V33" i="16"/>
  <c r="V51" i="16"/>
  <c r="V62" i="16"/>
  <c r="V27" i="16"/>
  <c r="U31" i="16"/>
  <c r="U62" i="16"/>
  <c r="S69" i="16"/>
  <c r="K55" i="7" s="1"/>
  <c r="S11" i="16"/>
  <c r="U11" i="16"/>
  <c r="R20" i="16"/>
  <c r="V28" i="16"/>
  <c r="U32" i="16"/>
  <c r="U35" i="16"/>
  <c r="S47" i="16"/>
  <c r="S20" i="16"/>
  <c r="V32" i="16"/>
  <c r="V35" i="16"/>
  <c r="R40" i="16"/>
  <c r="U47" i="16"/>
  <c r="S10" i="16"/>
  <c r="R18" i="16"/>
  <c r="R21" i="16"/>
  <c r="R31" i="16"/>
  <c r="U37" i="16"/>
  <c r="U44" i="16"/>
  <c r="U10" i="16"/>
  <c r="S18" i="16"/>
  <c r="S21" i="16"/>
  <c r="R28" i="16"/>
  <c r="R42" i="16"/>
  <c r="R48" i="16"/>
  <c r="U18" i="16"/>
  <c r="S28" i="16"/>
  <c r="S42" i="16"/>
  <c r="S48" i="16"/>
  <c r="V7" i="16"/>
  <c r="V18" i="16"/>
  <c r="U28" i="16"/>
  <c r="U42" i="16"/>
  <c r="U48" i="16"/>
  <c r="R59" i="16"/>
  <c r="Z41" i="16"/>
  <c r="U8" i="16"/>
  <c r="U15" i="16"/>
  <c r="V31" i="16"/>
  <c r="S63" i="16"/>
  <c r="AA73" i="16"/>
  <c r="R5" i="16"/>
  <c r="R12" i="16"/>
  <c r="R41" i="16"/>
  <c r="R50" i="16"/>
  <c r="AA70" i="16"/>
  <c r="AA3" i="16"/>
  <c r="S5" i="16"/>
  <c r="S12" i="16"/>
  <c r="S15" i="16"/>
  <c r="V37" i="16"/>
  <c r="S41" i="16"/>
  <c r="S50" i="16"/>
  <c r="R68" i="16"/>
  <c r="J45" i="5" s="1"/>
  <c r="AA41" i="16"/>
  <c r="U5" i="16"/>
  <c r="U12" i="16"/>
  <c r="R23" i="16"/>
  <c r="S32" i="16"/>
  <c r="U41" i="16"/>
  <c r="R47" i="16"/>
  <c r="U50" i="16"/>
  <c r="AA63" i="16"/>
  <c r="S67" i="16"/>
  <c r="U70" i="16"/>
  <c r="AA52" i="16"/>
  <c r="V53" i="16"/>
  <c r="Y53" i="16"/>
  <c r="Z66" i="16"/>
  <c r="Y12" i="16"/>
  <c r="Y44" i="16"/>
  <c r="Z52" i="16"/>
  <c r="Z44" i="16"/>
  <c r="Y69" i="16"/>
  <c r="Y5" i="16"/>
  <c r="AA10" i="16"/>
  <c r="Z20" i="16"/>
  <c r="AA69" i="16"/>
  <c r="Z5" i="16"/>
  <c r="AA15" i="16"/>
  <c r="AA20" i="16"/>
  <c r="V55" i="16"/>
  <c r="Z71" i="16"/>
  <c r="V13" i="16"/>
  <c r="V16" i="16"/>
  <c r="R19" i="16"/>
  <c r="R24" i="16"/>
  <c r="S53" i="16"/>
  <c r="U63" i="16"/>
  <c r="V66" i="16"/>
  <c r="S70" i="16"/>
  <c r="K47" i="14" s="1"/>
  <c r="Y58" i="16"/>
  <c r="Z58" i="16"/>
  <c r="AA58" i="16"/>
  <c r="Z10" i="16"/>
  <c r="R6" i="16"/>
  <c r="S19" i="16"/>
  <c r="S24" i="16"/>
  <c r="R26" i="16"/>
  <c r="Y33" i="16"/>
  <c r="Y55" i="16"/>
  <c r="R58" i="16"/>
  <c r="Z36" i="16"/>
  <c r="AA36" i="16"/>
  <c r="Z12" i="16"/>
  <c r="R4" i="16"/>
  <c r="S6" i="16"/>
  <c r="R9" i="16"/>
  <c r="V11" i="16"/>
  <c r="U19" i="16"/>
  <c r="U21" i="16"/>
  <c r="U24" i="16"/>
  <c r="S26" i="16"/>
  <c r="Z28" i="16"/>
  <c r="Z33" i="16"/>
  <c r="R36" i="16"/>
  <c r="R49" i="16"/>
  <c r="Z55" i="16"/>
  <c r="S58" i="16"/>
  <c r="R61" i="16"/>
  <c r="V52" i="16"/>
  <c r="Z69" i="16"/>
  <c r="S4" i="16"/>
  <c r="U6" i="16"/>
  <c r="S9" i="16"/>
  <c r="S16" i="16"/>
  <c r="V19" i="16"/>
  <c r="V21" i="16"/>
  <c r="V24" i="16"/>
  <c r="U26" i="16"/>
  <c r="AA28" i="16"/>
  <c r="S36" i="16"/>
  <c r="R39" i="16"/>
  <c r="S49" i="16"/>
  <c r="AA55" i="16"/>
  <c r="U58" i="16"/>
  <c r="S61" i="16"/>
  <c r="Y63" i="16"/>
  <c r="S66" i="16"/>
  <c r="S68" i="16"/>
  <c r="K45" i="5" s="1"/>
  <c r="Y49" i="16"/>
  <c r="Y66" i="16"/>
  <c r="Z49" i="16"/>
  <c r="AA49" i="16"/>
  <c r="Y52" i="16"/>
  <c r="AA12" i="16"/>
  <c r="U4" i="16"/>
  <c r="V6" i="16"/>
  <c r="U9" i="16"/>
  <c r="V26" i="16"/>
  <c r="R29" i="16"/>
  <c r="R32" i="16"/>
  <c r="U36" i="16"/>
  <c r="S39" i="16"/>
  <c r="Y41" i="16"/>
  <c r="U49" i="16"/>
  <c r="U52" i="16"/>
  <c r="U61" i="16"/>
  <c r="Z63" i="16"/>
  <c r="U68" i="16"/>
  <c r="R71" i="16"/>
  <c r="Y17" i="16"/>
  <c r="Y38" i="16"/>
  <c r="Z72" i="16"/>
  <c r="Z22" i="16"/>
  <c r="Z60" i="16"/>
  <c r="U16" i="16"/>
  <c r="AA46" i="16"/>
  <c r="Z35" i="16"/>
  <c r="Y54" i="16"/>
  <c r="Y19" i="16"/>
  <c r="Y32" i="16"/>
  <c r="AA35" i="16"/>
  <c r="Y71" i="16"/>
  <c r="Z62" i="16"/>
  <c r="Z11" i="16"/>
  <c r="Y16" i="16"/>
  <c r="AA48" i="16"/>
  <c r="Y67" i="16"/>
  <c r="AA71" i="16"/>
  <c r="Z21" i="16"/>
  <c r="Z29" i="16"/>
  <c r="Z67" i="16"/>
  <c r="AA37" i="16"/>
  <c r="Y42" i="16"/>
  <c r="AA45" i="16"/>
  <c r="Y50" i="16"/>
  <c r="AA59" i="16"/>
  <c r="Y64" i="16"/>
  <c r="U66" i="16"/>
  <c r="V3" i="16"/>
  <c r="AA6" i="16"/>
  <c r="V10" i="16"/>
  <c r="AA13" i="16"/>
  <c r="R17" i="16"/>
  <c r="R22" i="16"/>
  <c r="Z26" i="16"/>
  <c r="R30" i="16"/>
  <c r="R38" i="16"/>
  <c r="Z42" i="16"/>
  <c r="R46" i="16"/>
  <c r="Z50" i="16"/>
  <c r="Z53" i="16"/>
  <c r="R60" i="16"/>
  <c r="Z64" i="16"/>
  <c r="Y70" i="16"/>
  <c r="R72" i="16"/>
  <c r="Z30" i="16"/>
  <c r="Z38" i="16"/>
  <c r="Z7" i="16"/>
  <c r="AA22" i="16"/>
  <c r="Y57" i="16"/>
  <c r="AA7" i="16"/>
  <c r="Y9" i="16"/>
  <c r="R70" i="16"/>
  <c r="J47" i="14" s="1"/>
  <c r="Y4" i="16"/>
  <c r="Z9" i="16"/>
  <c r="Y62" i="16"/>
  <c r="Z68" i="16"/>
  <c r="Z4" i="16"/>
  <c r="Z32" i="16"/>
  <c r="Z40" i="16"/>
  <c r="Z48" i="16"/>
  <c r="AA54" i="16"/>
  <c r="AA19" i="16"/>
  <c r="Y37" i="16"/>
  <c r="Y13" i="16"/>
  <c r="S38" i="16"/>
  <c r="Y39" i="16"/>
  <c r="S46" i="16"/>
  <c r="Y47" i="16"/>
  <c r="AA53" i="16"/>
  <c r="U55" i="16"/>
  <c r="S60" i="16"/>
  <c r="Y61" i="16"/>
  <c r="U69" i="16"/>
  <c r="Z70" i="16"/>
  <c r="S72" i="16"/>
  <c r="Y73" i="16"/>
  <c r="Y30" i="16"/>
  <c r="Y46" i="16"/>
  <c r="Y27" i="16"/>
  <c r="AA30" i="16"/>
  <c r="AA60" i="16"/>
  <c r="Z27" i="16"/>
  <c r="Z51" i="16"/>
  <c r="Z57" i="16"/>
  <c r="Y68" i="16"/>
  <c r="Y40" i="16"/>
  <c r="U53" i="16"/>
  <c r="AA57" i="16"/>
  <c r="Y11" i="16"/>
  <c r="Z24" i="16"/>
  <c r="Y21" i="16"/>
  <c r="Y29" i="16"/>
  <c r="Y45" i="16"/>
  <c r="U73" i="16"/>
  <c r="Y6" i="16"/>
  <c r="Z59" i="16"/>
  <c r="V15" i="16"/>
  <c r="Y26" i="16"/>
  <c r="S17" i="16"/>
  <c r="Y18" i="16"/>
  <c r="Y23" i="16"/>
  <c r="Y3" i="16"/>
  <c r="S7" i="16"/>
  <c r="Z8" i="16"/>
  <c r="Y15" i="16"/>
  <c r="U17" i="16"/>
  <c r="Z18" i="16"/>
  <c r="U22" i="16"/>
  <c r="Z23" i="16"/>
  <c r="R27" i="16"/>
  <c r="U30" i="16"/>
  <c r="Z31" i="16"/>
  <c r="R35" i="16"/>
  <c r="U38" i="16"/>
  <c r="Z39" i="16"/>
  <c r="U46" i="16"/>
  <c r="Z47" i="16"/>
  <c r="R51" i="16"/>
  <c r="R57" i="16"/>
  <c r="U60" i="16"/>
  <c r="Z61" i="16"/>
  <c r="R65" i="16"/>
  <c r="J51" i="10" s="1"/>
  <c r="U72" i="16"/>
  <c r="Z73" i="16"/>
  <c r="Y72" i="16"/>
  <c r="Y22" i="16"/>
  <c r="Y60" i="16"/>
  <c r="Y7" i="16"/>
  <c r="Z17" i="16"/>
  <c r="Z46" i="16"/>
  <c r="Y65" i="16"/>
  <c r="AA72" i="16"/>
  <c r="AA17" i="16"/>
  <c r="Y35" i="16"/>
  <c r="AA38" i="16"/>
  <c r="Y51" i="16"/>
  <c r="Z65" i="16"/>
  <c r="AA65" i="16"/>
  <c r="Y24" i="16"/>
  <c r="AA27" i="16"/>
  <c r="AA51" i="16"/>
  <c r="Z16" i="16"/>
  <c r="V73" i="16"/>
  <c r="R7" i="16"/>
  <c r="Y8" i="16"/>
  <c r="S22" i="16"/>
  <c r="S30" i="16"/>
  <c r="Y31" i="16"/>
  <c r="AA74" i="16"/>
  <c r="AA75" i="16"/>
  <c r="AA76" i="16"/>
  <c r="AA77" i="16"/>
  <c r="AA78"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Z74" i="16"/>
  <c r="Z75" i="16"/>
  <c r="Z76" i="16"/>
  <c r="Z77" i="16"/>
  <c r="Z78"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Y74" i="16"/>
  <c r="Y76" i="16"/>
  <c r="Y77" i="16"/>
  <c r="Y78" i="16"/>
  <c r="Y82" i="16"/>
  <c r="Y83" i="16"/>
  <c r="Y84" i="16"/>
  <c r="Y85" i="16"/>
  <c r="Y86" i="16"/>
  <c r="Y87" i="16"/>
  <c r="Y88" i="16"/>
  <c r="Y89" i="16"/>
  <c r="Y90" i="16"/>
  <c r="Y91" i="16"/>
  <c r="Y92" i="16"/>
  <c r="Y93" i="16"/>
  <c r="Y94" i="16"/>
  <c r="Y95" i="16"/>
  <c r="Y96" i="16"/>
  <c r="Y97" i="16"/>
  <c r="Y98" i="16"/>
  <c r="Y99" i="16"/>
  <c r="Y100" i="16"/>
  <c r="Y101" i="16"/>
  <c r="Y102" i="16"/>
  <c r="Y103" i="16"/>
  <c r="Y104" i="16"/>
  <c r="Y105" i="16"/>
  <c r="Y106" i="16"/>
  <c r="Y107" i="16"/>
  <c r="Y108" i="16"/>
  <c r="Y109" i="16"/>
  <c r="Y110" i="16"/>
  <c r="Y111" i="16"/>
  <c r="Y112" i="16"/>
  <c r="Y113" i="16"/>
  <c r="Y114" i="16"/>
  <c r="Y115" i="16"/>
  <c r="Y116" i="16"/>
  <c r="Y117" i="16"/>
  <c r="Y118" i="16"/>
  <c r="Y119" i="16"/>
  <c r="Y120" i="16"/>
  <c r="Y121" i="16"/>
  <c r="Y122" i="16"/>
  <c r="Y123" i="16"/>
  <c r="Y124" i="16"/>
  <c r="Y125" i="16"/>
  <c r="Y126" i="16"/>
  <c r="Y127" i="16"/>
  <c r="Y128" i="16"/>
  <c r="Y129" i="16"/>
  <c r="Y130" i="16"/>
  <c r="Y131" i="16"/>
  <c r="Y132" i="16"/>
  <c r="Y133" i="16"/>
  <c r="Y134" i="16"/>
  <c r="Y135" i="16"/>
  <c r="Y136" i="16"/>
  <c r="Y137" i="16"/>
  <c r="Y138" i="16"/>
  <c r="Y139" i="16"/>
  <c r="Y140" i="16"/>
  <c r="Y141" i="16"/>
  <c r="Y142" i="16"/>
  <c r="Y143" i="16"/>
  <c r="Y144" i="16"/>
  <c r="Y145" i="16"/>
  <c r="Y146" i="16"/>
  <c r="Y147" i="16"/>
  <c r="Y148" i="16"/>
  <c r="Y149" i="16"/>
  <c r="Y150" i="16"/>
  <c r="Y151" i="16"/>
  <c r="Y152" i="16"/>
  <c r="Y153" i="16"/>
  <c r="Y154" i="16"/>
  <c r="Y155" i="16"/>
  <c r="Y156" i="16"/>
  <c r="Y157" i="16"/>
  <c r="Y158" i="16"/>
  <c r="Y159" i="16"/>
  <c r="Y160" i="16"/>
  <c r="Y161" i="16"/>
  <c r="Y162" i="16"/>
  <c r="Y163" i="16"/>
  <c r="Y164" i="16"/>
  <c r="Y165" i="16"/>
  <c r="Y166" i="16"/>
  <c r="Y167" i="16"/>
  <c r="Y168" i="16"/>
  <c r="Y169" i="16"/>
  <c r="Y170" i="16"/>
  <c r="Y171" i="16"/>
  <c r="Y172" i="16"/>
  <c r="Y173" i="16"/>
  <c r="Y174" i="16"/>
  <c r="Y175" i="16"/>
  <c r="Y176" i="16"/>
  <c r="Y177" i="16"/>
  <c r="Y178" i="16"/>
  <c r="V74" i="16"/>
  <c r="V75" i="16"/>
  <c r="V76" i="16"/>
  <c r="V77" i="16"/>
  <c r="V78" i="16"/>
  <c r="V82" i="16"/>
  <c r="V83" i="16"/>
  <c r="V84" i="16"/>
  <c r="V85" i="16"/>
  <c r="V86" i="16"/>
  <c r="V87" i="16"/>
  <c r="V88" i="16"/>
  <c r="V89" i="16"/>
  <c r="V90" i="16"/>
  <c r="V91" i="16"/>
  <c r="V92" i="16"/>
  <c r="V93" i="16"/>
  <c r="V94" i="16"/>
  <c r="V95" i="16"/>
  <c r="V96" i="16"/>
  <c r="V97" i="16"/>
  <c r="V98" i="16"/>
  <c r="V99" i="16"/>
  <c r="V100" i="16"/>
  <c r="V101" i="16"/>
  <c r="V102" i="16"/>
  <c r="V103" i="16"/>
  <c r="V104" i="16"/>
  <c r="V105" i="16"/>
  <c r="V106" i="16"/>
  <c r="V107" i="16"/>
  <c r="V108" i="16"/>
  <c r="V109" i="16"/>
  <c r="V110" i="16"/>
  <c r="V111" i="16"/>
  <c r="V112" i="16"/>
  <c r="V113" i="16"/>
  <c r="V114" i="16"/>
  <c r="V115" i="16"/>
  <c r="V116" i="16"/>
  <c r="V117" i="16"/>
  <c r="V118" i="16"/>
  <c r="V119" i="16"/>
  <c r="V120" i="16"/>
  <c r="V121" i="16"/>
  <c r="V122" i="16"/>
  <c r="V123" i="16"/>
  <c r="V124" i="16"/>
  <c r="V125" i="16"/>
  <c r="V126" i="16"/>
  <c r="V127" i="16"/>
  <c r="V128" i="16"/>
  <c r="V129" i="16"/>
  <c r="V130" i="16"/>
  <c r="V131" i="16"/>
  <c r="V132" i="16"/>
  <c r="V133" i="16"/>
  <c r="V134" i="16"/>
  <c r="V135" i="16"/>
  <c r="V136" i="16"/>
  <c r="V137" i="16"/>
  <c r="V138" i="16"/>
  <c r="V139" i="16"/>
  <c r="V140" i="16"/>
  <c r="V141" i="16"/>
  <c r="V142" i="16"/>
  <c r="V143" i="16"/>
  <c r="V144" i="16"/>
  <c r="V145" i="16"/>
  <c r="V146" i="16"/>
  <c r="V147" i="16"/>
  <c r="V148" i="16"/>
  <c r="V149" i="16"/>
  <c r="V150" i="16"/>
  <c r="V151" i="16"/>
  <c r="V152" i="16"/>
  <c r="V153" i="16"/>
  <c r="V154" i="16"/>
  <c r="V155" i="16"/>
  <c r="V156" i="16"/>
  <c r="V157" i="16"/>
  <c r="V158" i="16"/>
  <c r="V159" i="16"/>
  <c r="V160" i="16"/>
  <c r="V161" i="16"/>
  <c r="V162" i="16"/>
  <c r="V163" i="16"/>
  <c r="V164" i="16"/>
  <c r="V165" i="16"/>
  <c r="V166" i="16"/>
  <c r="V167" i="16"/>
  <c r="V168" i="16"/>
  <c r="V169" i="16"/>
  <c r="V170" i="16"/>
  <c r="V171" i="16"/>
  <c r="V172" i="16"/>
  <c r="V173" i="16"/>
  <c r="V174" i="16"/>
  <c r="V175" i="16"/>
  <c r="V176" i="16"/>
  <c r="V177" i="16"/>
  <c r="V178" i="16"/>
  <c r="U74" i="16"/>
  <c r="U76" i="16"/>
  <c r="U77" i="16"/>
  <c r="U78" i="16"/>
  <c r="U82" i="16"/>
  <c r="U83" i="16"/>
  <c r="U84" i="16"/>
  <c r="U85" i="16"/>
  <c r="U86" i="16"/>
  <c r="U87" i="16"/>
  <c r="U88" i="16"/>
  <c r="U89" i="16"/>
  <c r="U90" i="16"/>
  <c r="U91" i="16"/>
  <c r="U92" i="16"/>
  <c r="U93" i="16"/>
  <c r="U94" i="16"/>
  <c r="U95" i="16"/>
  <c r="U96" i="16"/>
  <c r="U97" i="16"/>
  <c r="U98" i="16"/>
  <c r="U99" i="16"/>
  <c r="U100" i="16"/>
  <c r="U101" i="16"/>
  <c r="U102" i="16"/>
  <c r="U103" i="16"/>
  <c r="U104" i="16"/>
  <c r="U105" i="16"/>
  <c r="U106" i="16"/>
  <c r="U107" i="16"/>
  <c r="U108" i="16"/>
  <c r="U109" i="16"/>
  <c r="U110" i="16"/>
  <c r="U111" i="16"/>
  <c r="U112" i="16"/>
  <c r="U113" i="16"/>
  <c r="U114" i="16"/>
  <c r="U115" i="16"/>
  <c r="U116" i="16"/>
  <c r="U117" i="16"/>
  <c r="U118" i="16"/>
  <c r="U119" i="16"/>
  <c r="U120" i="16"/>
  <c r="U121" i="16"/>
  <c r="U122" i="16"/>
  <c r="U123" i="16"/>
  <c r="U124" i="16"/>
  <c r="U125" i="16"/>
  <c r="U126" i="16"/>
  <c r="U127" i="16"/>
  <c r="U128" i="16"/>
  <c r="U129" i="16"/>
  <c r="U130" i="16"/>
  <c r="U131" i="16"/>
  <c r="U132" i="16"/>
  <c r="U133" i="16"/>
  <c r="U134" i="16"/>
  <c r="U135" i="16"/>
  <c r="U136" i="16"/>
  <c r="U137" i="16"/>
  <c r="U138" i="16"/>
  <c r="U139" i="16"/>
  <c r="U140" i="16"/>
  <c r="U141" i="16"/>
  <c r="U142" i="16"/>
  <c r="U143" i="16"/>
  <c r="U144" i="16"/>
  <c r="U145" i="16"/>
  <c r="U146" i="16"/>
  <c r="U147" i="16"/>
  <c r="U148" i="16"/>
  <c r="U149" i="16"/>
  <c r="U150" i="16"/>
  <c r="U151" i="16"/>
  <c r="U152" i="16"/>
  <c r="U153" i="16"/>
  <c r="U154" i="16"/>
  <c r="U155" i="16"/>
  <c r="U156" i="16"/>
  <c r="U157" i="16"/>
  <c r="U158" i="16"/>
  <c r="U159" i="16"/>
  <c r="U160" i="16"/>
  <c r="U161" i="16"/>
  <c r="U162" i="16"/>
  <c r="U163" i="16"/>
  <c r="U164" i="16"/>
  <c r="U165" i="16"/>
  <c r="U166" i="16"/>
  <c r="U167" i="16"/>
  <c r="U168" i="16"/>
  <c r="U169" i="16"/>
  <c r="U170" i="16"/>
  <c r="U171" i="16"/>
  <c r="U172" i="16"/>
  <c r="U173" i="16"/>
  <c r="U174" i="16"/>
  <c r="U175" i="16"/>
  <c r="U176" i="16"/>
  <c r="U177" i="16"/>
  <c r="U178" i="16"/>
  <c r="U179" i="16"/>
  <c r="T74" i="16"/>
  <c r="T75" i="16"/>
  <c r="T76" i="16"/>
  <c r="T77" i="16"/>
  <c r="T78"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S74" i="16"/>
  <c r="S76" i="16"/>
  <c r="S77" i="16"/>
  <c r="S78"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R74" i="16"/>
  <c r="R76" i="16"/>
  <c r="R77" i="16"/>
  <c r="R78"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3" i="16"/>
  <c r="R174" i="16"/>
  <c r="R175" i="16"/>
  <c r="R176" i="16"/>
  <c r="R177" i="16"/>
  <c r="R178" i="16"/>
  <c r="X74" i="16"/>
  <c r="X75" i="16"/>
  <c r="X76" i="16"/>
  <c r="X77" i="16"/>
  <c r="X78"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148" i="16"/>
  <c r="X149" i="16"/>
  <c r="X150" i="16"/>
  <c r="X151" i="16"/>
  <c r="X152" i="16"/>
  <c r="X153" i="16"/>
  <c r="X154" i="16"/>
  <c r="X155" i="16"/>
  <c r="X156" i="16"/>
  <c r="X157" i="16"/>
  <c r="X158" i="16"/>
  <c r="X159" i="16"/>
  <c r="X160" i="16"/>
  <c r="X161" i="16"/>
  <c r="X162" i="16"/>
  <c r="X163" i="16"/>
  <c r="X164" i="16"/>
  <c r="X165" i="16"/>
  <c r="X166" i="16"/>
  <c r="X167" i="16"/>
  <c r="X168" i="16"/>
  <c r="X169" i="16"/>
  <c r="X170" i="16"/>
  <c r="X171" i="16"/>
  <c r="X172" i="16"/>
  <c r="X173" i="16"/>
  <c r="X174" i="16"/>
  <c r="X175" i="16"/>
  <c r="X176" i="16"/>
  <c r="X177" i="16"/>
  <c r="X178" i="16"/>
  <c r="W74" i="16"/>
  <c r="W75" i="16"/>
  <c r="Y75" i="16" s="1"/>
  <c r="W76" i="16"/>
  <c r="W77" i="16"/>
  <c r="W78" i="16"/>
  <c r="W82" i="16"/>
  <c r="W83" i="16"/>
  <c r="W84" i="16"/>
  <c r="W85" i="16"/>
  <c r="W86" i="16"/>
  <c r="W87" i="16"/>
  <c r="W88" i="16"/>
  <c r="W89" i="16"/>
  <c r="W90" i="16"/>
  <c r="W91" i="16"/>
  <c r="W92" i="16"/>
  <c r="W93" i="16"/>
  <c r="W94" i="16"/>
  <c r="W95" i="16"/>
  <c r="W96" i="16"/>
  <c r="W97" i="16"/>
  <c r="W98" i="16"/>
  <c r="W99" i="16"/>
  <c r="W100" i="16"/>
  <c r="W101" i="16"/>
  <c r="W102" i="16"/>
  <c r="W103" i="16"/>
  <c r="W104" i="16"/>
  <c r="W105" i="16"/>
  <c r="W106" i="16"/>
  <c r="W107" i="16"/>
  <c r="W108" i="16"/>
  <c r="W109" i="16"/>
  <c r="W110" i="16"/>
  <c r="W111" i="16"/>
  <c r="W112" i="16"/>
  <c r="W113" i="16"/>
  <c r="W114" i="16"/>
  <c r="W115" i="16"/>
  <c r="W116" i="16"/>
  <c r="W117" i="16"/>
  <c r="W118" i="16"/>
  <c r="W119" i="16"/>
  <c r="W120" i="16"/>
  <c r="W121" i="16"/>
  <c r="W122" i="16"/>
  <c r="W123" i="16"/>
  <c r="W124" i="16"/>
  <c r="W125" i="16"/>
  <c r="W126" i="16"/>
  <c r="W127" i="16"/>
  <c r="W128" i="16"/>
  <c r="W129" i="16"/>
  <c r="W130" i="16"/>
  <c r="W131" i="16"/>
  <c r="W132" i="16"/>
  <c r="W133" i="16"/>
  <c r="W134" i="16"/>
  <c r="W135" i="16"/>
  <c r="W136" i="16"/>
  <c r="W137" i="16"/>
  <c r="W138" i="16"/>
  <c r="W139" i="16"/>
  <c r="W140" i="16"/>
  <c r="W141" i="16"/>
  <c r="W142" i="16"/>
  <c r="W143" i="16"/>
  <c r="W144" i="16"/>
  <c r="W145" i="16"/>
  <c r="W146" i="16"/>
  <c r="W147" i="16"/>
  <c r="W148" i="16"/>
  <c r="W149" i="16"/>
  <c r="W150" i="16"/>
  <c r="W151" i="16"/>
  <c r="W152" i="16"/>
  <c r="W153" i="16"/>
  <c r="W154" i="16"/>
  <c r="W155" i="16"/>
  <c r="W156" i="16"/>
  <c r="W157" i="16"/>
  <c r="W158" i="16"/>
  <c r="W159" i="16"/>
  <c r="W160" i="16"/>
  <c r="W161" i="16"/>
  <c r="W162" i="16"/>
  <c r="W163" i="16"/>
  <c r="W164" i="16"/>
  <c r="W165" i="16"/>
  <c r="W166" i="16"/>
  <c r="W167" i="16"/>
  <c r="W168" i="16"/>
  <c r="W169" i="16"/>
  <c r="W170" i="16"/>
  <c r="W171" i="16"/>
  <c r="W172" i="16"/>
  <c r="W173" i="16"/>
  <c r="W174" i="16"/>
  <c r="W175" i="16"/>
  <c r="W176" i="16"/>
  <c r="W177" i="16"/>
  <c r="W178" i="16"/>
  <c r="T178" i="16" s="1"/>
  <c r="C7" i="21"/>
  <c r="C6" i="21"/>
  <c r="C5" i="21"/>
  <c r="C4" i="21"/>
  <c r="C3" i="21"/>
  <c r="H12" i="2"/>
  <c r="S75" i="16" l="1"/>
  <c r="U75" i="16"/>
  <c r="K20" i="7"/>
  <c r="J43" i="14"/>
  <c r="J25" i="14"/>
  <c r="K28" i="14"/>
  <c r="J50" i="7"/>
  <c r="J29" i="12"/>
  <c r="K26" i="5"/>
  <c r="K22" i="7"/>
  <c r="K44" i="5"/>
  <c r="J37" i="7"/>
  <c r="J11" i="5"/>
  <c r="N55" i="7"/>
  <c r="C37" i="11"/>
  <c r="C23" i="9"/>
  <c r="C22" i="9"/>
  <c r="C6" i="9"/>
  <c r="C9" i="6"/>
  <c r="J27" i="12" l="1"/>
  <c r="J41" i="5"/>
  <c r="K41" i="5"/>
  <c r="J45" i="14"/>
  <c r="K35" i="7"/>
  <c r="J11" i="12"/>
  <c r="M55" i="7"/>
  <c r="K45" i="14"/>
  <c r="K11" i="12"/>
  <c r="J39" i="2"/>
  <c r="M45" i="14"/>
  <c r="J47" i="7"/>
  <c r="J42" i="2"/>
  <c r="K25" i="5"/>
  <c r="K39" i="2"/>
  <c r="J11" i="14"/>
  <c r="J13" i="12"/>
  <c r="J29" i="2"/>
  <c r="J44" i="12"/>
  <c r="J35" i="10"/>
  <c r="J22" i="10"/>
  <c r="K50" i="7"/>
  <c r="N45" i="5"/>
  <c r="J27" i="5"/>
  <c r="K27" i="5"/>
  <c r="J25" i="5"/>
  <c r="K12" i="2"/>
  <c r="J20" i="7"/>
  <c r="J28" i="14"/>
  <c r="K25" i="2"/>
  <c r="K47" i="7"/>
  <c r="J33" i="7"/>
  <c r="J24" i="14"/>
  <c r="J13" i="5"/>
  <c r="K33" i="7"/>
  <c r="J47" i="10"/>
  <c r="J12" i="2"/>
  <c r="K26" i="2"/>
  <c r="N43" i="2"/>
  <c r="K13" i="5"/>
  <c r="J46" i="14"/>
  <c r="K13" i="12"/>
  <c r="J27" i="2"/>
  <c r="K46" i="14"/>
  <c r="K27" i="2"/>
  <c r="K37" i="7"/>
  <c r="J13" i="14"/>
  <c r="M44" i="14"/>
  <c r="M46" i="14"/>
  <c r="J14" i="2"/>
  <c r="K35" i="10"/>
  <c r="K50" i="10"/>
  <c r="K13" i="14"/>
  <c r="J40" i="14"/>
  <c r="K11" i="5"/>
  <c r="J34" i="7"/>
  <c r="K40" i="14"/>
  <c r="J22" i="7"/>
  <c r="K34" i="7"/>
  <c r="J26" i="14"/>
  <c r="J29" i="5"/>
  <c r="M47" i="14"/>
  <c r="K37" i="10"/>
  <c r="K42" i="2"/>
  <c r="K11" i="14"/>
  <c r="K24" i="14"/>
  <c r="K26" i="14"/>
  <c r="J44" i="14"/>
  <c r="J41" i="12"/>
  <c r="M45" i="12"/>
  <c r="K27" i="12"/>
  <c r="K41" i="12"/>
  <c r="N45" i="12"/>
  <c r="J44" i="5"/>
  <c r="J26" i="2"/>
  <c r="J26" i="5"/>
  <c r="K25" i="12"/>
  <c r="J25" i="12"/>
  <c r="J25" i="2"/>
  <c r="J20" i="10"/>
  <c r="J50" i="10"/>
  <c r="K20" i="10"/>
  <c r="K43" i="14"/>
  <c r="K29" i="12"/>
  <c r="J26" i="12"/>
  <c r="J34" i="10"/>
  <c r="K29" i="2"/>
  <c r="K44" i="14"/>
  <c r="J33" i="10"/>
  <c r="K33" i="10"/>
  <c r="K25" i="14"/>
  <c r="K26" i="12"/>
  <c r="J37" i="10"/>
  <c r="N47" i="14"/>
  <c r="K34" i="10"/>
  <c r="K22" i="10"/>
  <c r="K29" i="5"/>
  <c r="K44" i="12"/>
  <c r="J35" i="7"/>
  <c r="K47" i="10"/>
  <c r="K14" i="2"/>
  <c r="C15" i="6"/>
  <c r="C8" i="6"/>
  <c r="C39" i="4"/>
  <c r="C17" i="6" l="1"/>
  <c r="M43" i="2"/>
  <c r="M45" i="5"/>
  <c r="M83" i="15"/>
  <c r="L83" i="15"/>
  <c r="J83" i="15"/>
  <c r="I83" i="15"/>
  <c r="B101" i="11"/>
  <c r="A101" i="11"/>
  <c r="C21" i="6" l="1"/>
  <c r="C22" i="6" s="1"/>
  <c r="C18" i="6"/>
  <c r="K83" i="15"/>
  <c r="O83" i="15" s="1"/>
  <c r="Q83" i="15" s="1"/>
  <c r="D89" i="11"/>
  <c r="E89" i="11" s="1"/>
  <c r="F89" i="11" s="1"/>
  <c r="D90" i="11"/>
  <c r="E90" i="11" s="1"/>
  <c r="F90" i="11" s="1"/>
  <c r="D88" i="11"/>
  <c r="E88" i="11" s="1"/>
  <c r="F88" i="11" s="1"/>
  <c r="B94" i="9"/>
  <c r="B100" i="9" s="1"/>
  <c r="B91" i="9"/>
  <c r="B93" i="9" s="1"/>
  <c r="B99" i="9" s="1"/>
  <c r="B82" i="9"/>
  <c r="B84" i="9" s="1"/>
  <c r="B85" i="9" s="1"/>
  <c r="C23" i="6" l="1"/>
  <c r="N83" i="15"/>
  <c r="P83" i="15" s="1"/>
  <c r="H3" i="15"/>
  <c r="H3" i="13"/>
  <c r="H3" i="11"/>
  <c r="H3" i="9"/>
  <c r="H3" i="6"/>
  <c r="H3" i="4"/>
  <c r="H13" i="12"/>
  <c r="H11" i="12"/>
  <c r="H10" i="12"/>
  <c r="C5" i="15"/>
  <c r="C68" i="15" s="1"/>
  <c r="D68" i="15" s="1"/>
  <c r="C6" i="15"/>
  <c r="C8" i="15"/>
  <c r="C48" i="15" s="1"/>
  <c r="C49" i="15" s="1"/>
  <c r="C50" i="15" s="1"/>
  <c r="C37" i="15"/>
  <c r="C43" i="15" s="1"/>
  <c r="C39" i="15"/>
  <c r="C66" i="15"/>
  <c r="D66" i="15" s="1"/>
  <c r="A9" i="14"/>
  <c r="H10" i="14"/>
  <c r="A23" i="14"/>
  <c r="A40" i="14" s="1"/>
  <c r="A24" i="14"/>
  <c r="A39" i="14"/>
  <c r="G39" i="14"/>
  <c r="C67" i="15" l="1"/>
  <c r="D67" i="15" s="1"/>
  <c r="C40" i="15"/>
  <c r="C41" i="15" s="1"/>
  <c r="B13" i="14" s="1"/>
  <c r="B11" i="14"/>
  <c r="E43" i="15"/>
  <c r="H11" i="14" s="1"/>
  <c r="E67" i="15"/>
  <c r="C9" i="15"/>
  <c r="C11" i="15" s="1"/>
  <c r="E68" i="15"/>
  <c r="E66" i="15"/>
  <c r="C5" i="13"/>
  <c r="C66" i="13" s="1"/>
  <c r="D66" i="13" s="1"/>
  <c r="C6" i="13"/>
  <c r="C8" i="13"/>
  <c r="C48" i="13" s="1"/>
  <c r="C49" i="13" s="1"/>
  <c r="C50" i="13" s="1"/>
  <c r="C37" i="13"/>
  <c r="C39" i="13"/>
  <c r="C40" i="13"/>
  <c r="C41" i="13"/>
  <c r="B13" i="12" s="1"/>
  <c r="C43" i="13"/>
  <c r="B11" i="12" s="1"/>
  <c r="A9" i="12"/>
  <c r="A24" i="12"/>
  <c r="A25" i="12"/>
  <c r="A40" i="12"/>
  <c r="G40" i="12"/>
  <c r="A41" i="12"/>
  <c r="E41" i="15" l="1"/>
  <c r="H13" i="14" s="1"/>
  <c r="H25" i="14"/>
  <c r="C67" i="13"/>
  <c r="D67" i="13" s="1"/>
  <c r="C68" i="13"/>
  <c r="D68" i="13" s="1"/>
  <c r="E66" i="13" s="1"/>
  <c r="C9" i="13"/>
  <c r="C10" i="13" s="1"/>
  <c r="H26" i="14"/>
  <c r="C10" i="15"/>
  <c r="E43" i="13"/>
  <c r="C27" i="15"/>
  <c r="H24" i="14"/>
  <c r="H27" i="14"/>
  <c r="C51" i="15"/>
  <c r="B27" i="14" s="1"/>
  <c r="E68" i="13"/>
  <c r="H26" i="12" s="1"/>
  <c r="E67" i="13"/>
  <c r="E41" i="13"/>
  <c r="C11" i="13"/>
  <c r="C5" i="11"/>
  <c r="C68" i="11" s="1"/>
  <c r="D68" i="11" s="1"/>
  <c r="C6" i="11"/>
  <c r="B19" i="10" s="1"/>
  <c r="C8" i="11"/>
  <c r="C48" i="11" s="1"/>
  <c r="C49" i="11" s="1"/>
  <c r="C50" i="11" s="1"/>
  <c r="C40" i="11"/>
  <c r="C38" i="11"/>
  <c r="C39" i="11"/>
  <c r="A8" i="10"/>
  <c r="A19" i="10"/>
  <c r="H19" i="10"/>
  <c r="A46" i="10"/>
  <c r="G46" i="10"/>
  <c r="A47" i="10"/>
  <c r="C12" i="15" l="1"/>
  <c r="C15" i="15" s="1"/>
  <c r="C43" i="11"/>
  <c r="E43" i="11" s="1"/>
  <c r="H20" i="10" s="1"/>
  <c r="C41" i="11"/>
  <c r="B22" i="10" s="1"/>
  <c r="C51" i="13"/>
  <c r="B28" i="12" s="1"/>
  <c r="C66" i="11"/>
  <c r="D66" i="11" s="1"/>
  <c r="C9" i="11"/>
  <c r="C67" i="11"/>
  <c r="D67" i="11" s="1"/>
  <c r="C29" i="15"/>
  <c r="C31" i="15" s="1"/>
  <c r="B26" i="14" s="1"/>
  <c r="C28" i="15"/>
  <c r="C30" i="15" s="1"/>
  <c r="B25" i="14" s="1"/>
  <c r="H27" i="12"/>
  <c r="C27" i="13"/>
  <c r="C12" i="13" s="1"/>
  <c r="B25" i="12" s="1"/>
  <c r="H25" i="12"/>
  <c r="H28" i="12"/>
  <c r="C5" i="9"/>
  <c r="C66" i="9" s="1"/>
  <c r="D66" i="9" s="1"/>
  <c r="C8" i="9"/>
  <c r="C48" i="9" s="1"/>
  <c r="C49" i="9" s="1"/>
  <c r="C50" i="9" s="1"/>
  <c r="C37" i="9"/>
  <c r="C43" i="9" s="1"/>
  <c r="E43" i="9" s="1"/>
  <c r="C38" i="9"/>
  <c r="C39" i="9" s="1"/>
  <c r="G46" i="7"/>
  <c r="A46" i="7"/>
  <c r="A33" i="7"/>
  <c r="A32" i="7"/>
  <c r="A47" i="7" s="1"/>
  <c r="H19" i="7"/>
  <c r="B19" i="7"/>
  <c r="A19" i="7"/>
  <c r="A18" i="7"/>
  <c r="E41" i="11" l="1"/>
  <c r="H22" i="10" s="1"/>
  <c r="B24" i="14"/>
  <c r="C17" i="15"/>
  <c r="C18" i="15" s="1"/>
  <c r="B28" i="14" s="1"/>
  <c r="B20" i="10"/>
  <c r="C40" i="9"/>
  <c r="C67" i="9"/>
  <c r="D67" i="9" s="1"/>
  <c r="C68" i="9"/>
  <c r="D68" i="9" s="1"/>
  <c r="C9" i="9"/>
  <c r="C10" i="9" s="1"/>
  <c r="E66" i="11"/>
  <c r="C10" i="11"/>
  <c r="C11" i="11"/>
  <c r="E67" i="11"/>
  <c r="E68" i="11"/>
  <c r="H34" i="10" s="1"/>
  <c r="H35" i="10"/>
  <c r="C41" i="9"/>
  <c r="B22" i="7" s="1"/>
  <c r="C28" i="13"/>
  <c r="C30" i="13" s="1"/>
  <c r="B26" i="12" s="1"/>
  <c r="C29" i="13"/>
  <c r="C31" i="13" s="1"/>
  <c r="B27" i="12" s="1"/>
  <c r="C15" i="13"/>
  <c r="C17" i="13" s="1"/>
  <c r="H20" i="7"/>
  <c r="B20" i="7"/>
  <c r="C21" i="15" l="1"/>
  <c r="H40" i="14" s="1"/>
  <c r="C11" i="9"/>
  <c r="E67" i="9"/>
  <c r="E68" i="9"/>
  <c r="H36" i="7" s="1"/>
  <c r="E66" i="9"/>
  <c r="C18" i="13"/>
  <c r="B29" i="12" s="1"/>
  <c r="H35" i="7"/>
  <c r="E41" i="9"/>
  <c r="H22" i="7" s="1"/>
  <c r="H33" i="10"/>
  <c r="H36" i="10"/>
  <c r="C51" i="11"/>
  <c r="B36" i="10" s="1"/>
  <c r="C27" i="11"/>
  <c r="H33" i="7"/>
  <c r="C22" i="15" l="1"/>
  <c r="C23" i="15" s="1"/>
  <c r="B43" i="14" s="1"/>
  <c r="C51" i="9"/>
  <c r="B36" i="7" s="1"/>
  <c r="C27" i="9"/>
  <c r="H34" i="7"/>
  <c r="B40" i="14"/>
  <c r="C21" i="13"/>
  <c r="H41" i="12" s="1"/>
  <c r="C28" i="11"/>
  <c r="C30" i="11" s="1"/>
  <c r="B34" i="10" s="1"/>
  <c r="C12" i="11"/>
  <c r="C15" i="11" s="1"/>
  <c r="C17" i="11" s="1"/>
  <c r="C29" i="11"/>
  <c r="C31" i="11" s="1"/>
  <c r="B35" i="10" s="1"/>
  <c r="C28" i="9"/>
  <c r="C30" i="9" s="1"/>
  <c r="B34" i="7" s="1"/>
  <c r="B47" i="14" l="1"/>
  <c r="B48" i="14"/>
  <c r="J48" i="14" s="1"/>
  <c r="B49" i="14"/>
  <c r="J49" i="14" s="1"/>
  <c r="C12" i="9"/>
  <c r="C29" i="9"/>
  <c r="C31" i="9" s="1"/>
  <c r="B35" i="7" s="1"/>
  <c r="C22" i="13"/>
  <c r="C18" i="11"/>
  <c r="B33" i="10"/>
  <c r="C5" i="6"/>
  <c r="C67" i="6" s="1"/>
  <c r="D67" i="6" s="1"/>
  <c r="C6" i="6"/>
  <c r="C48" i="6"/>
  <c r="C49" i="6" s="1"/>
  <c r="C50" i="6" s="1"/>
  <c r="C37" i="6"/>
  <c r="C40" i="6" s="1"/>
  <c r="C39" i="6"/>
  <c r="G40" i="5"/>
  <c r="A40" i="5"/>
  <c r="A24" i="5"/>
  <c r="A41" i="5" s="1"/>
  <c r="H10" i="5"/>
  <c r="A9" i="5"/>
  <c r="A25" i="5" s="1"/>
  <c r="C41" i="6" l="1"/>
  <c r="B13" i="5" s="1"/>
  <c r="C43" i="6"/>
  <c r="B11" i="5" s="1"/>
  <c r="B33" i="7"/>
  <c r="B37" i="10"/>
  <c r="C23" i="13"/>
  <c r="B44" i="12" s="1"/>
  <c r="B41" i="12"/>
  <c r="C21" i="11"/>
  <c r="H47" i="10" s="1"/>
  <c r="C66" i="6"/>
  <c r="D66" i="6" s="1"/>
  <c r="C68" i="6"/>
  <c r="D68" i="6" s="1"/>
  <c r="E68" i="6" l="1"/>
  <c r="H26" i="5" s="1"/>
  <c r="E41" i="6"/>
  <c r="H13" i="5" s="1"/>
  <c r="E43" i="6"/>
  <c r="H11" i="5" s="1"/>
  <c r="E66" i="6"/>
  <c r="C18" i="9"/>
  <c r="B37" i="7" s="1"/>
  <c r="C22" i="11"/>
  <c r="E67" i="6"/>
  <c r="H27" i="5"/>
  <c r="C10" i="6"/>
  <c r="C11" i="6"/>
  <c r="H25" i="5"/>
  <c r="H28" i="5"/>
  <c r="C51" i="6" l="1"/>
  <c r="B28" i="5" s="1"/>
  <c r="C27" i="6"/>
  <c r="C12" i="6"/>
  <c r="H47" i="7"/>
  <c r="C23" i="11"/>
  <c r="B50" i="10" s="1"/>
  <c r="B47" i="10"/>
  <c r="C28" i="6"/>
  <c r="C30" i="6" s="1"/>
  <c r="B26" i="5" s="1"/>
  <c r="C29" i="6"/>
  <c r="C31" i="6" s="1"/>
  <c r="B27" i="5" s="1"/>
  <c r="B51" i="10" l="1"/>
  <c r="B54" i="10"/>
  <c r="J53" i="10"/>
  <c r="B52" i="10"/>
  <c r="J52" i="10" s="1"/>
  <c r="N51" i="10"/>
  <c r="B47" i="7"/>
  <c r="B50" i="7"/>
  <c r="B25" i="5"/>
  <c r="J52" i="7" l="1"/>
  <c r="B53" i="7"/>
  <c r="J53" i="7" s="1"/>
  <c r="B51" i="7"/>
  <c r="J51" i="7" s="1"/>
  <c r="B54" i="7"/>
  <c r="J54" i="7" s="1"/>
  <c r="B55" i="7"/>
  <c r="M51" i="10"/>
  <c r="B29" i="5"/>
  <c r="A24" i="2"/>
  <c r="A39" i="2" s="1"/>
  <c r="H41" i="5" l="1"/>
  <c r="B44" i="5"/>
  <c r="B41" i="5"/>
  <c r="B45" i="5" s="1"/>
  <c r="A25" i="2"/>
  <c r="H11" i="2" l="1"/>
  <c r="C37" i="4" l="1"/>
  <c r="C43" i="4" l="1"/>
  <c r="C40" i="4"/>
  <c r="C41" i="4" s="1"/>
  <c r="E41" i="4"/>
  <c r="C5" i="4"/>
  <c r="C8" i="4"/>
  <c r="C48" i="4" s="1"/>
  <c r="C49" i="4" s="1"/>
  <c r="C50" i="4" s="1"/>
  <c r="C9" i="4" l="1"/>
  <c r="C11" i="4"/>
  <c r="E43" i="4"/>
  <c r="H14" i="2"/>
  <c r="C68" i="4"/>
  <c r="D68" i="4" s="1"/>
  <c r="C66" i="4"/>
  <c r="D66" i="4" s="1"/>
  <c r="C67" i="4"/>
  <c r="D67" i="4" s="1"/>
  <c r="E68" i="4" l="1"/>
  <c r="C51" i="4" s="1"/>
  <c r="B28" i="2" s="1"/>
  <c r="E67" i="4"/>
  <c r="C6" i="4"/>
  <c r="C10" i="4"/>
  <c r="H28" i="2" l="1"/>
  <c r="C27" i="4"/>
  <c r="H25" i="2"/>
  <c r="H26" i="2"/>
  <c r="H27" i="2"/>
  <c r="E66" i="4"/>
  <c r="B14" i="2"/>
  <c r="B12" i="2"/>
  <c r="C12" i="4" l="1"/>
  <c r="C15" i="4" s="1"/>
  <c r="C29" i="4"/>
  <c r="C31" i="4" s="1"/>
  <c r="B27" i="2" s="1"/>
  <c r="C28" i="4"/>
  <c r="C30" i="4" s="1"/>
  <c r="C17" i="4" l="1"/>
  <c r="B26" i="2"/>
  <c r="B25" i="2"/>
  <c r="C21" i="4" l="1"/>
  <c r="C22" i="4" s="1"/>
  <c r="C18" i="4"/>
  <c r="G38" i="2"/>
  <c r="A38" i="2"/>
  <c r="C23" i="4" l="1"/>
  <c r="B29" i="2"/>
  <c r="B39" i="2" l="1"/>
  <c r="H39" i="2"/>
  <c r="B42" i="2" l="1"/>
  <c r="A114" i="11" l="1"/>
  <c r="B78" i="4"/>
  <c r="A78" i="4"/>
  <c r="A78" i="13"/>
  <c r="B78" i="13"/>
  <c r="K54" i="10" l="1"/>
  <c r="B43" i="2"/>
  <c r="J43" i="2"/>
  <c r="K43" i="2"/>
  <c r="K45" i="12" l="1"/>
  <c r="J45" i="12"/>
</calcChain>
</file>

<file path=xl/sharedStrings.xml><?xml version="1.0" encoding="utf-8"?>
<sst xmlns="http://schemas.openxmlformats.org/spreadsheetml/2006/main" count="2275" uniqueCount="346">
  <si>
    <t>Database</t>
  </si>
  <si>
    <t>biochar</t>
  </si>
  <si>
    <t>Activity</t>
  </si>
  <si>
    <t>comment</t>
  </si>
  <si>
    <t>location</t>
  </si>
  <si>
    <t>RER</t>
  </si>
  <si>
    <t>reference product</t>
  </si>
  <si>
    <t>type</t>
  </si>
  <si>
    <t>process</t>
  </si>
  <si>
    <t>unit</t>
  </si>
  <si>
    <t>kilogram</t>
  </si>
  <si>
    <t>Exchanges</t>
  </si>
  <si>
    <t>name</t>
  </si>
  <si>
    <t>amount</t>
  </si>
  <si>
    <t>production</t>
  </si>
  <si>
    <t>technosphere</t>
  </si>
  <si>
    <t>market for heat, district or industrial, other than natural gas</t>
  </si>
  <si>
    <t>Europe without Switzerland</t>
  </si>
  <si>
    <t>megajoule</t>
  </si>
  <si>
    <t>heat, district or industrial, other than natural gas</t>
  </si>
  <si>
    <t>ton kilometer</t>
  </si>
  <si>
    <t>100 km of distance</t>
  </si>
  <si>
    <t>market group for electricity, medium voltage</t>
  </si>
  <si>
    <t>kilowatt hour</t>
  </si>
  <si>
    <t>electricity, medium voltage</t>
  </si>
  <si>
    <t>mini CHP plant construction, common components for heat+electricity</t>
  </si>
  <si>
    <t>CH</t>
  </si>
  <si>
    <t xml:space="preserve">This dataset supplies the application of biochar on mineral soil and the subsequent removal of 1 kilogram of atmospheric carbon dioxide following the application of biochar to soil. The inventory was calculated using the following assumptions and data: application rate: 30t biochar/ha; transportation of biochar from plant to application spot is assumed to be 100km, while the tractor distance for the spreading is assumed to be 5km. The carbon stability factor = 0.7272  - the carbon stability factor, derived from Woolf et al. (2010) https://www.nature.com/articles/ncomms1053, measures the fraction of biochar carbon that remains stable in the soil after 100 years. This factor depends on the soil temperature and pyrolysis process temperature. The global mean soil temperature used in the study is 14.9°C. The analysis focuses on mineral soils since applying biochar to organic soils might lead to positive priming (increased mineralization of soil organic carbon), which could offset the carbon storage benefits. Potential changes in soil emissions, such as reduced N₂O emissions after biochar application, are not included in the analysis. Source: Hoeskuldsdottir, Gudrun. 2022. Life Cycle Assessment of Biochar to Soil Systems: A Parametric Analysis. Master’s thesis, Swiss Federal Institute of Technology Zürich and Paul Scherrer Institute.
</t>
  </si>
  <si>
    <t>carbon dioxide, captured</t>
  </si>
  <si>
    <t>categories</t>
  </si>
  <si>
    <t xml:space="preserve">100 km </t>
  </si>
  <si>
    <t>Carbon dioxide, non-fossil</t>
  </si>
  <si>
    <t>air</t>
  </si>
  <si>
    <t>biosphere</t>
  </si>
  <si>
    <t>Name</t>
  </si>
  <si>
    <t>Formula</t>
  </si>
  <si>
    <t>Result</t>
  </si>
  <si>
    <t>Unit</t>
  </si>
  <si>
    <t>Mini legend</t>
  </si>
  <si>
    <t>WetBiomass</t>
  </si>
  <si>
    <t>t</t>
  </si>
  <si>
    <t>inputs that change per feedstok</t>
  </si>
  <si>
    <t>CF_wet2dry</t>
  </si>
  <si>
    <t>calculated values used in the inventory</t>
  </si>
  <si>
    <t>DryBiomass</t>
  </si>
  <si>
    <t>WetBiomass * CF_wet2dry</t>
  </si>
  <si>
    <t>Fresh_feedstok_per_kg_dry</t>
  </si>
  <si>
    <t>1/CF_wet2dry</t>
  </si>
  <si>
    <t>kg</t>
  </si>
  <si>
    <t>Yield_biochar</t>
  </si>
  <si>
    <t>Biochar_total</t>
  </si>
  <si>
    <t>DryBiomass * Yield_biochar</t>
  </si>
  <si>
    <t>Biochar_total_kg</t>
  </si>
  <si>
    <t>Biomass_per_kg_biochar</t>
  </si>
  <si>
    <t>DryBiomass / Biochar_total</t>
  </si>
  <si>
    <t>Biomass_per_kg_biochar_allocated</t>
  </si>
  <si>
    <t>Biomass_per_kg_biochar*Alloc_biochar</t>
  </si>
  <si>
    <t>Frac_C_biomass</t>
  </si>
  <si>
    <t>elec_total_biochar</t>
  </si>
  <si>
    <t>GJ</t>
  </si>
  <si>
    <t>heat_total_biochar</t>
  </si>
  <si>
    <t>Alloc_biochar</t>
  </si>
  <si>
    <t>Heat_alloc</t>
  </si>
  <si>
    <t>heat_total_biochar * Alloc_biochar</t>
  </si>
  <si>
    <t>Elec_alloc</t>
  </si>
  <si>
    <t>elec_total_biochar * Alloc_biochar</t>
  </si>
  <si>
    <t>Heat_per_kg_biochar_MJ</t>
  </si>
  <si>
    <t>Heat_alloc*1000 / Biochar_total</t>
  </si>
  <si>
    <t>MJ</t>
  </si>
  <si>
    <t>Elec_per_kg_biochar_kWh</t>
  </si>
  <si>
    <t>Elec_alloc*277.777778 / Biochar_total</t>
  </si>
  <si>
    <t>kWh</t>
  </si>
  <si>
    <t>GJ to MJ conversion rate</t>
  </si>
  <si>
    <t>GJ to kWh conversion rate</t>
  </si>
  <si>
    <t>Chipping and drying</t>
  </si>
  <si>
    <t>Water_removed_per_kg</t>
  </si>
  <si>
    <t>1 – CF_wet2dry</t>
  </si>
  <si>
    <t>Elec_chip_per_totalfeedstock</t>
  </si>
  <si>
    <t>WetBiomass* HHV*0.05% of energy in dry feedstock</t>
  </si>
  <si>
    <t>Elec_chip_kWh_per_kg</t>
  </si>
  <si>
    <t>Elec_drying_kWh_per_kg</t>
  </si>
  <si>
    <t>Water_removed_per_kg* electricity per water removed* conversion factor/1000</t>
  </si>
  <si>
    <t>Total electricity</t>
  </si>
  <si>
    <t>Heat_dry_per_kg</t>
  </si>
  <si>
    <t>GJ / t H₂O</t>
  </si>
  <si>
    <t>Heat_drying_per_kg</t>
  </si>
  <si>
    <t>Water_removed_per_kg * Heat_dry_per_kg</t>
  </si>
  <si>
    <t>units of plant needed for pyrolysis</t>
  </si>
  <si>
    <t>unit of plants needed post allocation</t>
  </si>
  <si>
    <t>Biochars</t>
  </si>
  <si>
    <t>HHV Value (MJ/kg)</t>
  </si>
  <si>
    <t>Spruce</t>
  </si>
  <si>
    <t>Oak</t>
  </si>
  <si>
    <t>Rice husk</t>
  </si>
  <si>
    <t>Rice straw</t>
  </si>
  <si>
    <t>Birch</t>
  </si>
  <si>
    <t>Willow</t>
  </si>
  <si>
    <t>Coproduct</t>
  </si>
  <si>
    <t xml:space="preserve">Bio oil </t>
  </si>
  <si>
    <t>Pyrolysis gas</t>
  </si>
  <si>
    <t>Coproducts</t>
  </si>
  <si>
    <t>Yield</t>
  </si>
  <si>
    <t>Energy</t>
  </si>
  <si>
    <t>Allocation rates</t>
  </si>
  <si>
    <t>Bio oil</t>
  </si>
  <si>
    <t>Biochar</t>
  </si>
  <si>
    <t xml:space="preserve">Biomass </t>
  </si>
  <si>
    <t>HHV</t>
  </si>
  <si>
    <t>% of energy in dry feedstock</t>
  </si>
  <si>
    <t>electricity per t water removed (GJ)</t>
  </si>
  <si>
    <t>Shares (yield rates)</t>
  </si>
  <si>
    <t>unit of plant needed to produce 1 kilogram of biochar</t>
  </si>
  <si>
    <t>years</t>
  </si>
  <si>
    <t>t/y</t>
  </si>
  <si>
    <t>plant_lifetime</t>
  </si>
  <si>
    <t>plant_capacity</t>
  </si>
  <si>
    <t>max_biochar_throughout_lifetime_kg</t>
  </si>
  <si>
    <t>max_biochar_throughout_lifetime_t</t>
  </si>
  <si>
    <t>This refers to the amount of carbon that is not stable in the biochar and is lost throughout several years post application, but since this is not a dynamic LCA we account for the loss at this stage.</t>
  </si>
  <si>
    <t>birch, chipped and dried</t>
  </si>
  <si>
    <t>hardwood forestry, birch, sustainable forest management</t>
  </si>
  <si>
    <t>SE</t>
  </si>
  <si>
    <t xml:space="preserve">This dataset supplies 1 kilogram of chipped feedstock before entering the pyrolysis process. The feedstock goes through chipping. The energy requirements for electric chipping are 0.0005 GJ/ MJfsdry. HHV 19.72  MJ/kg feedstock.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t>
  </si>
  <si>
    <t xml:space="preserve">This dataset represents the production of 1 kilogram of biochar through slow pyrolysis. Biochar yield of 26% (of the dry feedstock). Annual plant capacity: 10'000 t fresh feedstock = 6000 t dry feedstock. The energy needed for pyrolysis, excluding chipping and drying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biomass carbon 49%
biochar carbon 0.799
carbon stability factor 0.7272
***Additional notes***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</si>
  <si>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mini CHP plant, common components for heat+electricity</t>
  </si>
  <si>
    <t>carbon dioxide, captured and stored, by birch biochar application on mineral soil</t>
  </si>
  <si>
    <t>wood chips, wet, measured as dry mass</t>
  </si>
  <si>
    <t>drying of birch wood chips</t>
  </si>
  <si>
    <t>biochar production, from birch pyrolysis</t>
  </si>
  <si>
    <t>skip</t>
  </si>
  <si>
    <t>drying of oak wood chips</t>
  </si>
  <si>
    <t xml:space="preserve">This dataset supplies 1 kilogram of chipped feedstock before entering the pyrolysis process. The feedstock goes through chipping. The energy requirements for electric chipping are 0.0005 GJ/ MJfsdry. HHV 19.8507053307631 MJ/kg feedstock.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t>
  </si>
  <si>
    <t>oak, chipped and dried</t>
  </si>
  <si>
    <t>hardwood forestry, oak, sustainable forest management</t>
  </si>
  <si>
    <t>biochar production, from oak pyrolysis</t>
  </si>
  <si>
    <t xml:space="preserve">This dataset represents the production of 1 kilogram of biochar through slow pyrolysis. Biochar yield 0.2766. Annual plant capacity: 10'000 t fresh feedstock = 6000 t dry feedstock. The energy needed for pyrolysis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biomass carbon 50%
biochar carbon 0.789
carbon stability factor 0.7272
***Additional notes***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</si>
  <si>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carbon dioxide, captured and stored, by oak biochar application on mineral soil</t>
  </si>
  <si>
    <t>supply of rice husk</t>
  </si>
  <si>
    <t xml:space="preserve">This dataset represents the production of 1 kg of rice husk. The author assumes that the moisture content is 11%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t>
  </si>
  <si>
    <t>rice husk, fresh</t>
  </si>
  <si>
    <t>drying and chipping of rice husk</t>
  </si>
  <si>
    <t>This dataset supplies 1 kilogram of preprocessed feedstock before entering the pyrolysis process. The feedstock goes through drying and chipping. The energy requirements for drying the feedstock depend on its moisture content. The moisture level is assumed to be 11%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0.89.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t>
  </si>
  <si>
    <t>rice husk, chipped and dried</t>
  </si>
  <si>
    <t>biochar production, from rice husk pyrolysis</t>
  </si>
  <si>
    <t>This dataset represents the production of 1 kilogram of biochar through slow pyrolysis. Biochar yield of 0.40% (of the dry feedstock). Annual plant capacity: 10'000 t fresh feedstock =8900 t dry feedstock. The energy needed for pyrolysis, excluding drying (322.79 GJ electricity and 1553.44 GJ of thermal energy required to produce 3517.16 t biochar),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***Additional notes***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Source: Hoeskuldsdottir, Gudrun. 2022. Life Cycle Assessment of Biochar to Soil Systems: A Parametric Analysis. Master’s thesis, Swiss Federal Institute of Technology Zürich and Paul Scherrer Institute.
biomass carbon 46%
biochar carbon 0.444, carbon stability factor 0.7272</t>
  </si>
  <si>
    <t>carbon dioxide, captured and stored, by rice husk biochar application on mineral soil</t>
  </si>
  <si>
    <t>carbon dioxide, captured and stored, by rice straw biochar application on mineral soil</t>
  </si>
  <si>
    <t>rice straw, chipped and dried</t>
  </si>
  <si>
    <t xml:space="preserve">This dataset represents the production of 1 kilogram of biochar through slow pyrolysis. Biochar yield of 38% (of the dry feedstock). Annual plant capacity: 10'000 t fresh feedstock =9100 t dry feedstock. The energy needed for pyrolysis, excluding drying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***Additional notes***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(58% yield, DAF) with an HHV of 14.9 GJ/Mg and of the pyrolysis Gas (15% yield, DAF) with an HHV of 7.6 GJ/Mg. Source: Hoeskuldsdottir, Gudrun. 2022. Life Cycle Assessment of Biochar to Soil Systems: A Parametric Analysis. Master’s thesis, Swiss Federal Institute of Technology Zürich and Paul Scherrer Institute.
biomass carbon 50%
biochar carbon 0.417826
carbon stability factor 0.7272
</t>
  </si>
  <si>
    <t>biochar production, from rice straw pyrolysis</t>
  </si>
  <si>
    <t>rice straw, fresh</t>
  </si>
  <si>
    <t xml:space="preserve">This dataset supplies 1 kilogram of preprocessed rice straw before entering the pyrolysis process. The straw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0.91.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</si>
  <si>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drying and chipping of rice straw</t>
  </si>
  <si>
    <t>supply of rice straw</t>
  </si>
  <si>
    <t>carbon dioxide, captured and stored, by spruce biochar application on mineral soil</t>
  </si>
  <si>
    <t>spruce, chipped and dried</t>
  </si>
  <si>
    <t xml:space="preserve">This dataset represents the production of 1 kilogram of biochar through slow pyrolysis. Biochar yield of 28% (of the dry feedstock) Annual plant capacity: 10'000 t fresh feedstock = 6000 t dry feedstock. The energy needed for pyrolysis,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</si>
  <si>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biochar production, from spruce pyrolysis</t>
  </si>
  <si>
    <t xml:space="preserve">This dataset supplies 1 kilogram of preprocessed spruce wood chips before entering the pyrolysis process. The wood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0.6.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</si>
  <si>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drying of spruce wood chips</t>
  </si>
  <si>
    <t>carbon dioxide, captured and stored, by willow biochar application on mineral soil</t>
  </si>
  <si>
    <t>willow, chipped and dried</t>
  </si>
  <si>
    <t xml:space="preserve">This dataset represents the production of 1 kilogram of biochar through slow pyrolysis. Biochar yield 0.2766. Annual plant capacity: 10'000 t fresh feedstock = 6000 t dry feedstock. The energy needed for pyrolysis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biomass carbon 50%
biochar carbon 0.789
carbon stability factor 0.7272
***Additional notes***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
</t>
  </si>
  <si>
    <t>biochar production, from willow pyrolysis</t>
  </si>
  <si>
    <t>wood chips and particles, willow</t>
  </si>
  <si>
    <t>drying of willow wood chips</t>
  </si>
  <si>
    <t>market for transport, freight, lorry, &gt;32 metric ton, diesel, EURO 6</t>
  </si>
  <si>
    <t>transport, freight, lorry, &gt;32 metric ton, diesel, EURO 6</t>
  </si>
  <si>
    <t>market for transport, freight, tractor and trailer, diesel, agricultural</t>
  </si>
  <si>
    <t>transport, freight, tractor and trailer, diesel, agricultural</t>
  </si>
  <si>
    <t>willow production, short rotation coppice</t>
  </si>
  <si>
    <t>softwood forestry, spruce, sustainable forest management</t>
  </si>
  <si>
    <t>DE</t>
  </si>
  <si>
    <t>Carbon dioxide, in air</t>
  </si>
  <si>
    <t>natural resource::in air</t>
  </si>
  <si>
    <t>CO2_in_biomass</t>
  </si>
  <si>
    <t>Carbon retained in  biochar</t>
  </si>
  <si>
    <t>CO2 retained in 1 kg of biochar</t>
  </si>
  <si>
    <t>CO2 lost during pyrolysis for 1 kg of biochar</t>
  </si>
  <si>
    <t xml:space="preserve">Stable CO2 in soil </t>
  </si>
  <si>
    <t>Stable CO2 from 1 kg of biochar</t>
  </si>
  <si>
    <t>Biochar needed for 1 kg of CO2 stored</t>
  </si>
  <si>
    <t>CO2 lost from soil application</t>
  </si>
  <si>
    <t>Zinc II</t>
  </si>
  <si>
    <t>soil</t>
  </si>
  <si>
    <t>Release of heavy metals contained in the biomass. See willow production, short rotation coppice.</t>
  </si>
  <si>
    <t>Copper ion</t>
  </si>
  <si>
    <t>Cadmium II</t>
  </si>
  <si>
    <t>Prepared by M.Myridinas &amp; R.Sacchi, July 2025</t>
  </si>
  <si>
    <t>Chromium III</t>
  </si>
  <si>
    <t>PAH, polycyclic aromatic hydrocarbons</t>
  </si>
  <si>
    <t>21.7 mg/g according to table 3 in https://doi.org/10.1016/j.chemosphere.2019.06.237</t>
  </si>
  <si>
    <r>
      <t xml:space="preserve">The authors state that biochar was added to the soil at </t>
    </r>
    <r>
      <rPr>
        <b/>
        <sz val="11"/>
        <color theme="1"/>
        <rFont val="Calibri"/>
        <family val="2"/>
        <scheme val="minor"/>
      </rPr>
      <t>2.5 % of the soil mass</t>
    </r>
  </si>
  <si>
    <r>
      <t xml:space="preserve">In the batch adsorption tests, they used a </t>
    </r>
    <r>
      <rPr>
        <b/>
        <sz val="11"/>
        <color theme="1"/>
        <rFont val="Calibri"/>
        <family val="2"/>
        <scheme val="minor"/>
      </rPr>
      <t>constant 5.0 g of sorbent</t>
    </r>
    <r>
      <rPr>
        <sz val="11"/>
        <color theme="1"/>
        <rFont val="Calibri"/>
        <family val="2"/>
        <scheme val="minor"/>
      </rPr>
      <t xml:space="preserve"> (either soil alone or soil plus biochar) with a </t>
    </r>
    <r>
      <rPr>
        <b/>
        <sz val="11"/>
        <color theme="1"/>
        <rFont val="Calibri"/>
        <family val="2"/>
        <scheme val="minor"/>
      </rPr>
      <t>solid–liquid mass ratio of 1:10</t>
    </r>
  </si>
  <si>
    <r>
      <t xml:space="preserve">Because the soil-plus-biochar mixture contained 2.5 % biochar, 5 g of the mixture contained </t>
    </r>
    <r>
      <rPr>
        <b/>
        <sz val="11"/>
        <color theme="1"/>
        <rFont val="Calibri"/>
        <family val="2"/>
        <scheme val="minor"/>
      </rPr>
      <t>0.125 g (0.000125 kg) of biochar</t>
    </r>
  </si>
  <si>
    <t>soil amended with biochar (mM·kg⁻¹)</t>
  </si>
  <si>
    <t>the extra Cu²⁺ adsorbed (mM·kg⁻¹)</t>
  </si>
  <si>
    <t>Cu(II), maximum adsorption capacity (Cₘ) of soil alone (mM·kg⁻¹)</t>
  </si>
  <si>
    <t>atomic weight of Cu (g·mol⁻¹)</t>
  </si>
  <si>
    <t>mg Cu²⁺ per kilogram of the soil–biochar mixture</t>
  </si>
  <si>
    <t>Since only 2.5 % of that mixture is biochar, the amount adsorbed per kilogram of biochar is:</t>
  </si>
  <si>
    <t>1 kg og rice husk biochar removes 0.01306588 Cu2+ based on https://doi.org/10.3390/agriculture12101689</t>
  </si>
  <si>
    <t>Lead II</t>
  </si>
  <si>
    <t>At a 2 % application, 1 kg of rice husk treats 50 kg of soil.</t>
  </si>
  <si>
    <t>Zn</t>
  </si>
  <si>
    <t>kg of soil treated</t>
  </si>
  <si>
    <t>The initial soil contained (mg Cr kg⁻¹)</t>
  </si>
  <si>
    <t>The initial soil contained (mg Zn kg⁻¹)</t>
  </si>
  <si>
    <t>In 50 kg of soil there is  (kg Cr kg⁻¹)</t>
  </si>
  <si>
    <t>In 50 kg of soil there is  (kg Zn kg⁻¹)</t>
  </si>
  <si>
    <t>Removal rates after 150 days</t>
  </si>
  <si>
    <t>For Zn, 18–49 % removal after 75 days and 46–59 % after 150 days;</t>
  </si>
  <si>
    <t>for Cr, 26–52 % and 55–61 % removal respectively</t>
  </si>
  <si>
    <t>Zn removed (kg per kg RH)</t>
  </si>
  <si>
    <t>Cr removed (kg per kg RH)</t>
  </si>
  <si>
    <t>Zn and Cr absorption from rice husk biochar (source: https://doi.org/10.1016/j.jhazmat.2024.133684)</t>
  </si>
  <si>
    <t>Cu²⁺ absorption capacity of rice husk based on https://doi.org/10.3390/agriculture12101689</t>
  </si>
  <si>
    <r>
      <t xml:space="preserve">Biochar increased soil pH, made the surface charge more negative, and substantially reduced the </t>
    </r>
    <r>
      <rPr>
        <b/>
        <sz val="11"/>
        <color theme="1"/>
        <rFont val="Calibri"/>
        <family val="2"/>
        <scheme val="minor"/>
      </rPr>
      <t>acid‑soluble (mobile)</t>
    </r>
    <r>
      <rPr>
        <sz val="11"/>
        <color theme="1"/>
        <rFont val="Calibri"/>
        <family val="2"/>
        <scheme val="minor"/>
      </rPr>
      <t xml:space="preserve"> fraction of Cu and Pb; Cd was less affected. For the 5 mmol kg⁻¹ dose (typical results), acid‑soluble Cu dropped from 3.56 mmol kg⁻¹ (control) to 2.16 mmol kg⁻¹ (3 % biochar) and 1.89 mmol kg⁻¹ (5 % biochar). Acid‑soluble Pb decreased from 4.05 mmol kg⁻¹ to 2.71 mmol kg⁻¹ (3 %) and 1.97 mmol kg⁻¹ (5 %). Acid‑soluble Cd fell modestly from 4.41 mmol kg⁻¹ to 3.83 mmol kg⁻¹ (3 %) and 4.00 mmol kg⁻¹ (5 %). The reducible and oxidizable fractions increased accordingly, while the residual fraction changed little.</t>
    </r>
  </si>
  <si>
    <t>Source: https://doi.org/10.1016/j.ecoleng.2016.10.057</t>
  </si>
  <si>
    <t>Metal</t>
  </si>
  <si>
    <t>Reduction in acid‑soluble fraction (mmol kg⁻¹ soil)</t>
  </si>
  <si>
    <t>Mass of metal immobilised per kg soil (mg)</t>
  </si>
  <si>
    <t>Cu</t>
  </si>
  <si>
    <t>Pb</t>
  </si>
  <si>
    <t>Cd</t>
  </si>
  <si>
    <t>Post biochar application (mmol kg⁻¹ soil)</t>
  </si>
  <si>
    <t>Control (mmol kg⁻¹ soil)</t>
  </si>
  <si>
    <t>Approx. metal immobilised per 1 kg biochar (kg)</t>
  </si>
  <si>
    <r>
      <t>2.12 g</t>
    </r>
    <r>
      <rPr>
        <sz val="11"/>
        <color theme="1"/>
        <rFont val="Calibri"/>
        <family val="2"/>
        <scheme val="minor"/>
      </rPr>
      <t xml:space="preserve"> of Cu becomes less mobile</t>
    </r>
  </si>
  <si>
    <r>
      <t>8.62 g</t>
    </r>
    <r>
      <rPr>
        <sz val="11"/>
        <color theme="1"/>
        <rFont val="Calibri"/>
        <family val="2"/>
        <scheme val="minor"/>
      </rPr>
      <t xml:space="preserve"> of Pb becomes less mobile</t>
    </r>
  </si>
  <si>
    <r>
      <t>0.92 g</t>
    </r>
    <r>
      <rPr>
        <sz val="11"/>
        <color theme="1"/>
        <rFont val="Calibri"/>
        <family val="2"/>
        <scheme val="minor"/>
      </rPr>
      <t xml:space="preserve"> of Cd becomes less mobile</t>
    </r>
  </si>
  <si>
    <t>!!! The reduction in acid‑soluble metals corresponds to conversion into reducible or oxidizable forms.</t>
  </si>
  <si>
    <t>!!!  The total metal mass remains in the soil, only its mobility changes.</t>
  </si>
  <si>
    <t>soil::agricultural</t>
  </si>
  <si>
    <t>At a 5 % biochar application, 50 g biochar is mixed with 1 kg soil, meaning 1 kg biochar treats 20 kg soil.</t>
  </si>
  <si>
    <t>Biochar applications enhance the phytoextraction potential of Salix smithiana [Willd.] (willow) in heavily contaminated soil: potential for a sustainable remediation method? | Journal of Soils and Sediments</t>
  </si>
  <si>
    <t>Heavy metals immobilization and improvement in maize (Zea mays L.) growth amended with biochar and compost | Scientific Reports</t>
  </si>
  <si>
    <r>
      <t xml:space="preserve">For example, adding 4% rice straw biochar (40 g per kg soil) cut available cadmium from 9.33 to 2.67 mg/kg (a 71% reduction) and Pb from 18.3 to  3.8 mg/kg (≈79% reduction)This equates to roughly </t>
    </r>
    <r>
      <rPr>
        <b/>
        <sz val="11"/>
        <color theme="1"/>
        <rFont val="Calibri"/>
        <family val="2"/>
        <scheme val="minor"/>
      </rPr>
      <t>0.17 mg Cd and 0.36 mg Pb immobilized per gram of biochar</t>
    </r>
    <r>
      <rPr>
        <sz val="11"/>
        <color theme="1"/>
        <rFont val="Calibri"/>
        <family val="2"/>
        <scheme val="minor"/>
      </rPr>
      <t xml:space="preserve"> (i.e. ~170 mg Cd and ~360 mg Pb sequestered per kg of biochar in that scenario</t>
    </r>
  </si>
  <si>
    <t>As long as uncontaminated crop residues are used and biochar is produced at sufficiently high temperature (&gt;500 °C), herbaceous biochars easily meet safety guidelines for trace metals. In fact, one study found Cd and Hg were below detection (&lt;2 mg/kg) in all biochars made from clean biomass. Overall, plant-based biochars tend to have low heavy metal content and thus pose little risk of adding toxins to soil, provided the feedstock isn’t polluted. Instead, they purify soils by binding existing metal contaminants.</t>
  </si>
  <si>
    <t>Biochar's role in mitigating soil nitrous oxide emissions: A review and meta-analysis - ScienceDirect</t>
  </si>
  <si>
    <t xml:space="preserve">reduction of kg N2O emissions per kg of biochar calculated from the supportive information of this paper </t>
  </si>
  <si>
    <t>specific to willow</t>
  </si>
  <si>
    <t>specific to oak</t>
  </si>
  <si>
    <t>BaselineCd_mg_per_kg_soil</t>
  </si>
  <si>
    <t>BaselineZn_mg_per_kg_soil</t>
  </si>
  <si>
    <t>ReductionPercent_Cd</t>
  </si>
  <si>
    <t>ReductionPercent_Zn</t>
  </si>
  <si>
    <t>BiocharRate_t_per_ha</t>
  </si>
  <si>
    <t>Cd immobilized per kg of biochar</t>
  </si>
  <si>
    <t>Pb immobilized per kg of biochar</t>
  </si>
  <si>
    <t>Dinitrogen monoxide</t>
  </si>
  <si>
    <t>air::low population density, long-term</t>
  </si>
  <si>
    <r>
      <t>Willow biochar provided a significant reduction in </t>
    </r>
    <r>
      <rPr>
        <b/>
        <sz val="11"/>
        <color rgb="FF1F1F1F"/>
        <rFont val="Calibri"/>
        <family val="2"/>
        <scheme val="minor"/>
      </rPr>
      <t>Cd and Zn leaching by 97–99% for Cd and 97–98% for Zn</t>
    </r>
    <r>
      <rPr>
        <sz val="11"/>
        <color rgb="FF1F1F1F"/>
        <rFont val="Calibri"/>
        <family val="2"/>
        <scheme val="minor"/>
      </rPr>
      <t> at application doses of </t>
    </r>
    <r>
      <rPr>
        <b/>
        <sz val="11"/>
        <color rgb="FF1F1F1F"/>
        <rFont val="Calibri"/>
        <family val="2"/>
        <scheme val="minor"/>
      </rPr>
      <t>5%, 10%, and 15%</t>
    </r>
    <r>
      <rPr>
        <sz val="11"/>
        <color rgb="FF1F1F1F"/>
        <rFont val="Calibri"/>
        <family val="2"/>
        <scheme val="minor"/>
      </rPr>
      <t> biochar after one month. It also decreased plant tissue concentration of heavy metals by </t>
    </r>
    <r>
      <rPr>
        <b/>
        <sz val="11"/>
        <color rgb="FF1F1F1F"/>
        <rFont val="Calibri"/>
        <family val="2"/>
        <scheme val="minor"/>
      </rPr>
      <t>17%–39%</t>
    </r>
    <r>
      <rPr>
        <sz val="11"/>
        <color rgb="FF1F1F1F"/>
        <rFont val="Calibri"/>
        <family val="2"/>
        <scheme val="minor"/>
      </rPr>
      <t> on average. In one experiment, willow yields in biochar-amended soil were </t>
    </r>
    <r>
      <rPr>
        <b/>
        <sz val="11"/>
        <color rgb="FF1F1F1F"/>
        <rFont val="Calibri"/>
        <family val="2"/>
        <scheme val="minor"/>
      </rPr>
      <t>7 times higher</t>
    </r>
    <r>
      <rPr>
        <sz val="11"/>
        <color rgb="FF1F1F1F"/>
        <rFont val="Calibri"/>
        <family val="2"/>
        <scheme val="minor"/>
      </rPr>
      <t> despite much higher contamination levels, and it reduced the phytotoxicity of metals in soil solution for </t>
    </r>
    <r>
      <rPr>
        <b/>
        <sz val="11"/>
        <color rgb="FF1F1F1F"/>
        <rFont val="Calibri"/>
        <family val="2"/>
        <scheme val="minor"/>
      </rPr>
      <t>two subsequent years</t>
    </r>
    <r>
      <rPr>
        <sz val="11"/>
        <color rgb="FF1F1F1F"/>
        <rFont val="Calibri"/>
        <family val="2"/>
        <scheme val="minor"/>
      </rPr>
      <t>.</t>
    </r>
  </si>
  <si>
    <t>Scenario</t>
  </si>
  <si>
    <t>BulkDensity_kg_per_m3</t>
  </si>
  <si>
    <t>MixingDepth_m</t>
  </si>
  <si>
    <t>SoilMass_kg_per_ha</t>
  </si>
  <si>
    <t>BiocharDose_kg_per_ha</t>
  </si>
  <si>
    <t>Biochar_to_Soil_Ratio_kg_per_kg</t>
  </si>
  <si>
    <t>Cd_reduction_mg_per_kg_soil</t>
  </si>
  <si>
    <t>Zn_reduction_mg_per_kg_soil</t>
  </si>
  <si>
    <t>Cd_reduction_mg_per_kg_biochar</t>
  </si>
  <si>
    <t>Zn_reduction_mg_per_kg_biochar</t>
  </si>
  <si>
    <t>Cd_reduction_kg_per_kg_biochar</t>
  </si>
  <si>
    <t>Zn_reduction_kg_per_kg_biochar</t>
  </si>
  <si>
    <t xml:space="preserve">Reduction of kg N2O emissions per kg of biochar calculated from the supportive information of this paper </t>
  </si>
  <si>
    <t>uncertainty type</t>
  </si>
  <si>
    <t>maximum</t>
  </si>
  <si>
    <t>ID</t>
  </si>
  <si>
    <t>loc</t>
  </si>
  <si>
    <t>scale</t>
  </si>
  <si>
    <t>shape</t>
  </si>
  <si>
    <t>minimum</t>
  </si>
  <si>
    <t>Technology</t>
  </si>
  <si>
    <t>Flow</t>
  </si>
  <si>
    <t>Param mode (ID=1)</t>
  </si>
  <si>
    <t>GSD (ID=1)</t>
  </si>
  <si>
    <t>Std dev (ID=2)</t>
  </si>
  <si>
    <t>Min (ID=3/4)</t>
  </si>
  <si>
    <t>Max (ID=3/4)</t>
  </si>
  <si>
    <t>Use %-bounds? (ID=3/4)</t>
  </si>
  <si>
    <t>Lower % (e.g., 0.2)</t>
  </si>
  <si>
    <t>Upper % (e.g., 0.2)</t>
  </si>
  <si>
    <t>±% (sym, ID=3/4)</t>
  </si>
  <si>
    <t>L95 (ID=1, opt)</t>
  </si>
  <si>
    <t>U95 (ID=1, opt)</t>
  </si>
  <si>
    <t>IDnum (helper)</t>
  </si>
  <si>
    <t>z95 (helper)</t>
  </si>
  <si>
    <t>L95_out (calc)</t>
  </si>
  <si>
    <t>U95_out (calc)</t>
  </si>
  <si>
    <t>GSD_implied (from L95/U95)</t>
  </si>
  <si>
    <t>GSD</t>
  </si>
  <si>
    <t>BAS_WILLOW</t>
  </si>
  <si>
    <t>Zinc II (avoided)</t>
  </si>
  <si>
    <t>Cadmium II (avoided)</t>
  </si>
  <si>
    <t>BAS_SPRUCE</t>
  </si>
  <si>
    <t>Carbon dioxide, non-fossil (to air)</t>
  </si>
  <si>
    <t>carbon dioxide, captured &amp; stored, by spruce biochar on mineral soil</t>
  </si>
  <si>
    <t>BAS_RICE_STRAW</t>
  </si>
  <si>
    <t>drying &amp; chipping of rice straw</t>
  </si>
  <si>
    <t>rice straw, chipped &amp; dried (input)</t>
  </si>
  <si>
    <t>Carbon dioxide, non-fossil (stack)</t>
  </si>
  <si>
    <t>CO₂ captured &amp; stored by rice-straw biochar on mineral soil</t>
  </si>
  <si>
    <t>biochar (input)</t>
  </si>
  <si>
    <t>Carbon dioxide, non-fossil (released later)</t>
  </si>
  <si>
    <t>PAH, polycyclic aromatic hydrocarbons → soil</t>
  </si>
  <si>
    <t>Lead II (avoided)</t>
  </si>
  <si>
    <t>BAS_BIRCH</t>
  </si>
  <si>
    <t>BAS_OAK</t>
  </si>
  <si>
    <t>drying and chipping of rice husk (input mass)</t>
  </si>
  <si>
    <t>biochar production, from rice husk pyrolysis (input)</t>
  </si>
  <si>
    <t>Copper ion (avoided)</t>
  </si>
  <si>
    <t>Chromium III (avoided)</t>
  </si>
  <si>
    <t>BAS_RICE_HUSK</t>
  </si>
  <si>
    <t>heat, district or industrial, other than natural gas (drying)</t>
  </si>
  <si>
    <t>electricity, medium voltage (drying+chipping)</t>
  </si>
  <si>
    <t>heat, district or industrial, other than natural gas (pyrolysis)</t>
  </si>
  <si>
    <t>electricity, medium voltage (pyrolysis)</t>
  </si>
  <si>
    <t>Carbon dioxide, non-fossil (released later, non-stable)</t>
  </si>
  <si>
    <t>mg/kg  source https://doi.org/10.1016/j.envpol.2012.07.009.</t>
  </si>
  <si>
    <t>A (code)</t>
  </si>
  <si>
    <t>B (label)</t>
  </si>
  <si>
    <t>No uncertainty</t>
  </si>
  <si>
    <t>Lognormal</t>
  </si>
  <si>
    <t>Normal</t>
  </si>
  <si>
    <t>Uniform</t>
  </si>
  <si>
    <t>Triangular</t>
  </si>
  <si>
    <t>2 - Lognormal</t>
  </si>
  <si>
    <t>5 - Triangular</t>
  </si>
  <si>
    <t>Median</t>
  </si>
  <si>
    <t>N2O emission reduction from oak biochar</t>
  </si>
  <si>
    <t>N2O emission reduction from rice husk biochar</t>
  </si>
  <si>
    <t>median</t>
  </si>
  <si>
    <t>MEDIAN</t>
  </si>
  <si>
    <t>PROXY FROM PINE WOOD CHIPS SINCE THEY ARE SIMILAR</t>
  </si>
  <si>
    <t>PROXY FROM SYCAMORE WOOD SINCE THEY ARE SIMILAR</t>
  </si>
  <si>
    <t>MEDIAN FROM WHEAT STRAW</t>
  </si>
  <si>
    <t>GSD FROM WHAT STRAW</t>
  </si>
  <si>
    <t xml:space="preserve">Note: for the removal rates when using the triangular we calculate with the positive value but then in the inventory we put minus in front of the median min and max value while for the log normal we only put the minus for the median in the inventory </t>
  </si>
  <si>
    <t>N2O emission reduction from willow biochar</t>
  </si>
  <si>
    <t>N2O emission reduction from spruce biochar</t>
  </si>
  <si>
    <t>N2O emission reduction from birch biochar</t>
  </si>
  <si>
    <t>N2O emission reduction from rice straw biochar</t>
  </si>
  <si>
    <t xml:space="preserve">This dataset represents the production of 1 kg of rice straw. The author assumes that the moisture content is 9%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t>
  </si>
  <si>
    <t>Pyrolysis emissions.</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</si>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</sst>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000"/>
    <numFmt numFmtId="165" formatCode="0.0"/>
    <numFmt numFmtId="166" formatCode="0.000"/>
    <numFmt numFmtId="167" formatCode="0.0000"/>
    <numFmt numFmtId="168" formatCode="0.000000"/>
    <numFmt numFmtId="169" formatCode="0.00000"/>
    <numFmt numFmtId="170" formatCode="0.0000E+00"/>
  </numFmts>
  <fonts count="19" x14ac:knownFonts="1">
    <font>
      <sz val="11"/>
      <color theme="1"/>
      <name val="Calibri"/>
      <family val="2"/>
      <scheme val="minor"/>
    </font>
    <font>
      <b/>
      <sz val="11"/>
      <color theme="1"/>
      <name val="Calibri"/>
      <family val="2"/>
      <scheme val="minor"/>
    </font>
    <font>
      <sz val="10"/>
      <color theme="1"/>
      <name val="Arial Unicode MS"/>
      <family val="2"/>
    </font>
    <font>
      <sz val="11"/>
      <name val="Calibri"/>
      <family val="2"/>
      <scheme val="minor"/>
    </font>
    <font>
      <sz val="11"/>
      <color theme="1"/>
      <name val="Calibri"/>
      <family val="2"/>
      <scheme val="minor"/>
    </font>
    <font>
      <sz val="8"/>
      <color theme="1"/>
      <name val="Calibri"/>
      <family val="2"/>
      <scheme val="minor"/>
    </font>
    <font>
      <sz val="11"/>
      <color rgb="FF9C5700"/>
      <name val="Calibri"/>
      <family val="2"/>
      <scheme val="minor"/>
    </font>
    <font>
      <b/>
      <sz val="11"/>
      <name val="Calibri"/>
      <family val="2"/>
      <scheme val="minor"/>
    </font>
    <font>
      <sz val="11"/>
      <color rgb="FFFF0000"/>
      <name val="Calibri"/>
      <family val="2"/>
      <scheme val="minor"/>
    </font>
    <font>
      <u/>
      <sz val="11"/>
      <color theme="10"/>
      <name val="Calibri"/>
      <family val="2"/>
      <scheme val="minor"/>
    </font>
    <font>
      <sz val="11"/>
      <color rgb="FF1F1F1F"/>
      <name val="Calibri"/>
      <family val="2"/>
      <scheme val="minor"/>
    </font>
    <font>
      <b/>
      <sz val="11"/>
      <color rgb="FF1F1F1F"/>
      <name val="Calibri"/>
      <family val="2"/>
      <scheme val="minor"/>
    </font>
    <font>
      <sz val="11"/>
      <color rgb="FF006100"/>
      <name val="Calibri"/>
      <family val="2"/>
      <scheme val="minor"/>
    </font>
    <font>
      <b/>
      <sz val="10"/>
      <name val="Calibri"/>
      <family val="2"/>
      <scheme val="minor"/>
    </font>
    <font>
      <sz val="10"/>
      <color theme="1"/>
      <name val="Calibri"/>
      <family val="2"/>
      <scheme val="minor"/>
    </font>
    <font>
      <sz val="8"/>
      <name val="Calibri"/>
      <family val="2"/>
      <scheme val="minor"/>
    </font>
    <font>
      <b/>
      <sz val="10"/>
      <color theme="1"/>
      <name val="Calibri"/>
      <family val="2"/>
      <scheme val="minor"/>
    </font>
    <font>
      <sz val="10"/>
      <name val="Calibri"/>
      <family val="2"/>
      <scheme val="minor"/>
    </font>
    <font>
      <i/>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EB9C"/>
      </patternFill>
    </fill>
    <fill>
      <patternFill patternType="solid">
        <fgColor rgb="FFFFFF00"/>
        <bgColor indexed="64"/>
      </patternFill>
    </fill>
    <fill>
      <patternFill patternType="solid">
        <fgColor rgb="FFC6EFCE"/>
      </patternFill>
    </fill>
    <fill>
      <patternFill patternType="solid">
        <fgColor theme="4"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rgb="FFDAEEF3"/>
      </patternFill>
    </fill>
  </fills>
  <borders count="18">
    <border>
      <left/>
      <right/>
      <top/>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medium">
        <color theme="0" tint="-0.34998626667073579"/>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top/>
      <bottom/>
      <diagonal/>
    </border>
    <border>
      <left/>
      <right style="medium">
        <color theme="0" tint="-0.34998626667073579"/>
      </right>
      <top/>
      <bottom/>
      <diagonal/>
    </border>
    <border>
      <left/>
      <right/>
      <top style="medium">
        <color theme="0" tint="-0.34998626667073579"/>
      </top>
      <bottom/>
      <diagonal/>
    </border>
    <border>
      <left/>
      <right/>
      <top/>
      <bottom style="medium">
        <color theme="0" tint="-0.34998626667073579"/>
      </bottom>
      <diagonal/>
    </border>
    <border>
      <left style="thin">
        <color rgb="FF999999"/>
      </left>
      <right style="thin">
        <color rgb="FF999999"/>
      </right>
      <top style="thin">
        <color rgb="FF999999"/>
      </top>
      <bottom style="thin">
        <color rgb="FF999999"/>
      </bottom>
      <diagonal/>
    </border>
  </borders>
  <cellStyleXfs count="11">
    <xf numFmtId="0" fontId="0" fillId="0" borderId="0"/>
    <xf numFmtId="9" fontId="4" fillId="0" borderId="0" applyFont="0" applyFill="0" applyBorder="0" applyAlignment="0" applyProtection="0"/>
    <xf numFmtId="0" fontId="6" fillId="4" borderId="0" applyNumberFormat="0" applyBorder="0" applyAlignment="0" applyProtection="0"/>
    <xf numFmtId="0" fontId="9" fillId="0" borderId="0" applyNumberFormat="0" applyFill="0" applyBorder="0" applyAlignment="0" applyProtection="0"/>
    <xf numFmtId="0" fontId="12"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cellStyleXfs>
  <cellXfs count="19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vertical="center" wrapText="1"/>
    </xf>
    <xf numFmtId="0" fontId="0" fillId="3" borderId="0" xfId="0" applyFill="1" applyAlignment="1">
      <alignment horizontal="center" vertical="center"/>
    </xf>
    <xf numFmtId="0" fontId="0" fillId="3" borderId="0" xfId="0" applyFill="1" applyAlignment="1">
      <alignment vertical="center"/>
    </xf>
    <xf numFmtId="2" fontId="0" fillId="3" borderId="0" xfId="0" applyNumberFormat="1" applyFill="1" applyAlignment="1">
      <alignment horizontal="center"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7" fillId="3" borderId="3" xfId="2" applyFont="1" applyFill="1" applyBorder="1" applyAlignment="1">
      <alignment horizontal="center" vertical="center"/>
    </xf>
    <xf numFmtId="0" fontId="0" fillId="3" borderId="4" xfId="0" applyFill="1" applyBorder="1" applyAlignment="1">
      <alignment horizontal="left" vertical="center"/>
    </xf>
    <xf numFmtId="0" fontId="0" fillId="3" borderId="6" xfId="0" applyFill="1" applyBorder="1" applyAlignment="1">
      <alignment horizontal="left" vertical="center"/>
    </xf>
    <xf numFmtId="2" fontId="0" fillId="3" borderId="7" xfId="0" applyNumberFormat="1" applyFill="1" applyBorder="1" applyAlignment="1">
      <alignment horizontal="center" vertical="center"/>
    </xf>
    <xf numFmtId="0" fontId="0" fillId="3" borderId="9" xfId="0" applyFill="1" applyBorder="1" applyAlignment="1">
      <alignment vertical="center"/>
    </xf>
    <xf numFmtId="0" fontId="0" fillId="3" borderId="10" xfId="0" applyFill="1" applyBorder="1" applyAlignment="1">
      <alignment horizontal="center"/>
    </xf>
    <xf numFmtId="0" fontId="0" fillId="3" borderId="11" xfId="0" applyFill="1" applyBorder="1" applyAlignment="1">
      <alignment vertical="center"/>
    </xf>
    <xf numFmtId="0" fontId="0" fillId="3" borderId="12" xfId="0" applyFill="1" applyBorder="1" applyAlignment="1">
      <alignment horizontal="center"/>
    </xf>
    <xf numFmtId="0" fontId="1" fillId="3" borderId="9" xfId="0" applyFont="1" applyFill="1" applyBorder="1"/>
    <xf numFmtId="0" fontId="1" fillId="3" borderId="10" xfId="0" applyFont="1" applyFill="1" applyBorder="1"/>
    <xf numFmtId="0" fontId="0" fillId="3" borderId="13" xfId="0" applyFill="1" applyBorder="1"/>
    <xf numFmtId="0" fontId="0" fillId="3" borderId="14" xfId="0" applyFill="1" applyBorder="1" applyAlignment="1">
      <alignment horizontal="center" vertical="center"/>
    </xf>
    <xf numFmtId="0" fontId="1" fillId="3" borderId="13" xfId="0" applyFont="1" applyFill="1" applyBorder="1"/>
    <xf numFmtId="0" fontId="1" fillId="3" borderId="14" xfId="0" applyFont="1" applyFill="1" applyBorder="1" applyAlignment="1">
      <alignment horizontal="center" vertical="center"/>
    </xf>
    <xf numFmtId="0" fontId="0" fillId="3" borderId="11" xfId="0" applyFill="1" applyBorder="1"/>
    <xf numFmtId="0" fontId="1" fillId="2" borderId="9"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3" borderId="13" xfId="0" applyFont="1" applyFill="1" applyBorder="1" applyAlignment="1">
      <alignment vertical="center" wrapText="1"/>
    </xf>
    <xf numFmtId="0" fontId="0" fillId="3" borderId="0" xfId="0" applyFill="1" applyAlignment="1">
      <alignment vertical="center" wrapText="1"/>
    </xf>
    <xf numFmtId="11" fontId="0" fillId="3" borderId="0" xfId="0" applyNumberFormat="1" applyFill="1" applyAlignment="1">
      <alignment horizontal="center" vertical="center" wrapText="1"/>
    </xf>
    <xf numFmtId="0" fontId="2" fillId="3" borderId="0" xfId="0" applyFont="1" applyFill="1" applyAlignment="1">
      <alignment vertical="center" wrapText="1"/>
    </xf>
    <xf numFmtId="0" fontId="0" fillId="2" borderId="13" xfId="0" applyFill="1" applyBorder="1" applyAlignment="1">
      <alignment vertical="center"/>
    </xf>
    <xf numFmtId="0" fontId="0" fillId="2" borderId="0" xfId="0" applyFill="1" applyAlignment="1">
      <alignment vertical="center"/>
    </xf>
    <xf numFmtId="0" fontId="0" fillId="2" borderId="14" xfId="0" applyFill="1" applyBorder="1" applyAlignment="1">
      <alignment horizontal="center" vertical="center"/>
    </xf>
    <xf numFmtId="0" fontId="1" fillId="2" borderId="13" xfId="0" applyFont="1" applyFill="1" applyBorder="1" applyAlignment="1">
      <alignment vertical="center"/>
    </xf>
    <xf numFmtId="0" fontId="2" fillId="2" borderId="0" xfId="0" applyFont="1" applyFill="1" applyAlignment="1">
      <alignment vertical="center" wrapText="1"/>
    </xf>
    <xf numFmtId="0" fontId="1" fillId="2" borderId="13" xfId="0" applyFont="1" applyFill="1" applyBorder="1" applyAlignment="1">
      <alignment vertical="center" wrapText="1"/>
    </xf>
    <xf numFmtId="11" fontId="0" fillId="3" borderId="0" xfId="0" applyNumberFormat="1" applyFill="1" applyAlignment="1">
      <alignment horizontal="center" vertical="center"/>
    </xf>
    <xf numFmtId="0" fontId="0" fillId="3" borderId="13" xfId="0" applyFill="1" applyBorder="1" applyAlignment="1">
      <alignment vertical="center"/>
    </xf>
    <xf numFmtId="0" fontId="0" fillId="2" borderId="13" xfId="0" applyFill="1" applyBorder="1" applyAlignment="1">
      <alignment vertical="center" wrapText="1"/>
    </xf>
    <xf numFmtId="0" fontId="0" fillId="2" borderId="0" xfId="0" applyFill="1" applyAlignment="1">
      <alignment vertical="center" wrapText="1"/>
    </xf>
    <xf numFmtId="0" fontId="0" fillId="2" borderId="14" xfId="0" applyFill="1" applyBorder="1" applyAlignment="1">
      <alignment horizontal="center" vertical="center" wrapText="1"/>
    </xf>
    <xf numFmtId="0" fontId="1" fillId="3" borderId="13" xfId="0" applyFont="1" applyFill="1" applyBorder="1" applyAlignment="1">
      <alignment vertical="center"/>
    </xf>
    <xf numFmtId="0" fontId="0" fillId="3" borderId="14" xfId="0" applyFill="1" applyBorder="1" applyAlignment="1">
      <alignment horizontal="center" vertical="center" wrapText="1"/>
    </xf>
    <xf numFmtId="0" fontId="0" fillId="3" borderId="13" xfId="0" applyFill="1" applyBorder="1" applyAlignment="1">
      <alignment horizontal="left" vertical="center" wrapText="1"/>
    </xf>
    <xf numFmtId="0" fontId="5" fillId="3" borderId="0" xfId="0" applyFont="1" applyFill="1" applyAlignment="1">
      <alignment vertical="center"/>
    </xf>
    <xf numFmtId="0" fontId="0" fillId="3" borderId="13" xfId="0" applyFill="1" applyBorder="1" applyAlignment="1">
      <alignment vertical="center" wrapText="1"/>
    </xf>
    <xf numFmtId="11" fontId="3" fillId="3" borderId="0" xfId="0" applyNumberFormat="1" applyFont="1" applyFill="1" applyAlignment="1">
      <alignment horizontal="center" vertical="center" wrapText="1"/>
    </xf>
    <xf numFmtId="0" fontId="1" fillId="3" borderId="13" xfId="0" applyFont="1" applyFill="1" applyBorder="1" applyAlignment="1">
      <alignment horizontal="left" vertical="center" wrapText="1"/>
    </xf>
    <xf numFmtId="0" fontId="0" fillId="2" borderId="11" xfId="0" applyFill="1" applyBorder="1" applyAlignment="1">
      <alignment horizontal="left" vertical="center" wrapText="1"/>
    </xf>
    <xf numFmtId="0" fontId="0" fillId="2" borderId="16" xfId="0" applyFill="1" applyBorder="1" applyAlignment="1">
      <alignment vertical="center"/>
    </xf>
    <xf numFmtId="0" fontId="0" fillId="2" borderId="12" xfId="0" applyFill="1" applyBorder="1" applyAlignment="1">
      <alignment horizontal="center" vertical="center"/>
    </xf>
    <xf numFmtId="0" fontId="0" fillId="3" borderId="0" xfId="0" applyFill="1"/>
    <xf numFmtId="164" fontId="0" fillId="3" borderId="0" xfId="0" applyNumberFormat="1" applyFill="1"/>
    <xf numFmtId="0" fontId="0" fillId="3" borderId="0" xfId="0" applyFill="1" applyAlignment="1">
      <alignment horizontal="center"/>
    </xf>
    <xf numFmtId="10" fontId="0" fillId="3" borderId="10" xfId="1" applyNumberFormat="1" applyFont="1" applyFill="1" applyBorder="1" applyAlignment="1">
      <alignment horizontal="center"/>
    </xf>
    <xf numFmtId="2" fontId="0" fillId="3" borderId="5" xfId="0" applyNumberFormat="1" applyFill="1" applyBorder="1" applyAlignment="1">
      <alignment horizontal="center" vertical="center"/>
    </xf>
    <xf numFmtId="166" fontId="0" fillId="3" borderId="0" xfId="0" applyNumberFormat="1" applyFill="1" applyAlignment="1">
      <alignment horizontal="center" vertical="center" wrapText="1"/>
    </xf>
    <xf numFmtId="167" fontId="1" fillId="2" borderId="15" xfId="0" applyNumberFormat="1" applyFont="1" applyFill="1" applyBorder="1" applyAlignment="1">
      <alignment horizontal="center" vertical="center" wrapText="1"/>
    </xf>
    <xf numFmtId="167" fontId="0" fillId="3" borderId="0" xfId="0" applyNumberFormat="1" applyFill="1" applyAlignment="1">
      <alignment horizontal="center" vertical="center" wrapText="1"/>
    </xf>
    <xf numFmtId="167" fontId="0" fillId="2" borderId="0" xfId="0" applyNumberFormat="1" applyFill="1" applyAlignment="1">
      <alignment horizontal="center" vertical="center"/>
    </xf>
    <xf numFmtId="167" fontId="0" fillId="2" borderId="0" xfId="0" applyNumberFormat="1" applyFill="1" applyAlignment="1">
      <alignment horizontal="center" vertical="center" wrapText="1"/>
    </xf>
    <xf numFmtId="167" fontId="0" fillId="3" borderId="0" xfId="0" applyNumberFormat="1" applyFill="1" applyAlignment="1">
      <alignment horizontal="center" vertical="center"/>
    </xf>
    <xf numFmtId="167" fontId="0" fillId="2" borderId="16" xfId="0" applyNumberFormat="1" applyFill="1" applyBorder="1" applyAlignment="1">
      <alignment horizontal="center" vertical="center"/>
    </xf>
    <xf numFmtId="167" fontId="1" fillId="3" borderId="2" xfId="0" applyNumberFormat="1" applyFont="1" applyFill="1" applyBorder="1" applyAlignment="1">
      <alignment horizontal="center" vertical="center"/>
    </xf>
    <xf numFmtId="167" fontId="0" fillId="0" borderId="0" xfId="0" applyNumberFormat="1" applyAlignment="1">
      <alignment horizontal="center" vertical="center"/>
    </xf>
    <xf numFmtId="165" fontId="0" fillId="3" borderId="0" xfId="0" applyNumberFormat="1" applyFill="1" applyAlignment="1">
      <alignment horizontal="center" vertical="center" wrapText="1"/>
    </xf>
    <xf numFmtId="1" fontId="0" fillId="3" borderId="0" xfId="0" applyNumberFormat="1" applyFill="1" applyAlignment="1">
      <alignment horizontal="center" vertical="center" wrapText="1"/>
    </xf>
    <xf numFmtId="1" fontId="0" fillId="3" borderId="0" xfId="0" applyNumberFormat="1" applyFill="1" applyAlignment="1">
      <alignment horizontal="center" vertical="center"/>
    </xf>
    <xf numFmtId="11" fontId="0" fillId="3" borderId="7" xfId="0" applyNumberFormat="1" applyFill="1" applyBorder="1" applyAlignment="1">
      <alignment horizontal="center" vertical="center"/>
    </xf>
    <xf numFmtId="0" fontId="0" fillId="3" borderId="7" xfId="0" applyFill="1" applyBorder="1" applyAlignment="1">
      <alignment horizontal="center" vertical="center"/>
    </xf>
    <xf numFmtId="0" fontId="0" fillId="3" borderId="5" xfId="0" applyFill="1" applyBorder="1" applyAlignment="1">
      <alignment horizontal="center" vertical="center"/>
    </xf>
    <xf numFmtId="0" fontId="0" fillId="2" borderId="16" xfId="0" applyFill="1" applyBorder="1" applyAlignment="1">
      <alignment horizontal="center" vertical="center"/>
    </xf>
    <xf numFmtId="11" fontId="0" fillId="2" borderId="0" xfId="0" applyNumberFormat="1" applyFill="1" applyAlignment="1">
      <alignment horizontal="center" vertical="center" wrapText="1"/>
    </xf>
    <xf numFmtId="11" fontId="0" fillId="3" borderId="0" xfId="0" applyNumberFormat="1" applyFill="1"/>
    <xf numFmtId="11" fontId="0" fillId="2" borderId="0" xfId="0" applyNumberFormat="1" applyFill="1" applyAlignment="1">
      <alignment horizontal="center" vertical="center"/>
    </xf>
    <xf numFmtId="0" fontId="0" fillId="3" borderId="0" xfId="0" applyFill="1" applyAlignment="1">
      <alignment horizontal="left"/>
    </xf>
    <xf numFmtId="2" fontId="0" fillId="3" borderId="10" xfId="0" applyNumberFormat="1" applyFill="1" applyBorder="1" applyAlignment="1">
      <alignment horizontal="center" vertical="center" wrapText="1"/>
    </xf>
    <xf numFmtId="2" fontId="0" fillId="3" borderId="14" xfId="0" applyNumberFormat="1" applyFill="1" applyBorder="1" applyAlignment="1">
      <alignment horizontal="center" vertical="center" wrapText="1"/>
    </xf>
    <xf numFmtId="2" fontId="0" fillId="3" borderId="12" xfId="0" applyNumberFormat="1" applyFill="1" applyBorder="1" applyAlignment="1">
      <alignment horizontal="center" vertical="center" wrapText="1"/>
    </xf>
    <xf numFmtId="0" fontId="0" fillId="3" borderId="9" xfId="0" applyFill="1" applyBorder="1" applyAlignment="1">
      <alignment horizontal="left" vertical="center" wrapText="1"/>
    </xf>
    <xf numFmtId="0" fontId="0" fillId="3" borderId="11" xfId="0" applyFill="1" applyBorder="1" applyAlignment="1">
      <alignment horizontal="left" vertical="center" wrapText="1"/>
    </xf>
    <xf numFmtId="0" fontId="0" fillId="0" borderId="0" xfId="0" applyAlignment="1">
      <alignment horizontal="left" wrapText="1"/>
    </xf>
    <xf numFmtId="0" fontId="1" fillId="3" borderId="0" xfId="0" applyFont="1" applyFill="1" applyAlignment="1">
      <alignment vertical="center"/>
    </xf>
    <xf numFmtId="0" fontId="1" fillId="0" borderId="0" xfId="0" applyFont="1"/>
    <xf numFmtId="0" fontId="1" fillId="3" borderId="0" xfId="0" applyFont="1" applyFill="1" applyAlignment="1">
      <alignment horizontal="center" vertical="center"/>
    </xf>
    <xf numFmtId="0" fontId="1" fillId="3" borderId="0" xfId="0" applyFont="1" applyFill="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11" fontId="0" fillId="0" borderId="5" xfId="0" applyNumberFormat="1" applyBorder="1"/>
    <xf numFmtId="0" fontId="1"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vertical="center" wrapText="1"/>
    </xf>
    <xf numFmtId="11" fontId="0" fillId="0" borderId="8" xfId="0" applyNumberFormat="1" applyBorder="1"/>
    <xf numFmtId="0" fontId="1" fillId="0" borderId="4" xfId="0" applyFont="1" applyBorder="1" applyAlignment="1">
      <alignment vertical="center" wrapText="1"/>
    </xf>
    <xf numFmtId="0" fontId="8" fillId="3" borderId="0" xfId="0" applyFont="1" applyFill="1" applyAlignment="1">
      <alignment vertical="center"/>
    </xf>
    <xf numFmtId="0" fontId="8" fillId="3" borderId="0" xfId="0" applyFont="1" applyFill="1" applyAlignment="1">
      <alignment horizontal="center" vertical="center"/>
    </xf>
    <xf numFmtId="0" fontId="1" fillId="4" borderId="0" xfId="2" applyFont="1" applyAlignment="1">
      <alignment vertical="center"/>
    </xf>
    <xf numFmtId="167" fontId="1" fillId="4" borderId="0" xfId="2" applyNumberFormat="1" applyFont="1" applyAlignment="1">
      <alignment horizontal="center" vertical="center"/>
    </xf>
    <xf numFmtId="0" fontId="9" fillId="0" borderId="0" xfId="3"/>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wrapText="1"/>
    </xf>
    <xf numFmtId="0" fontId="0" fillId="0" borderId="6" xfId="0" applyBorder="1" applyAlignment="1">
      <alignment horizontal="center" vertical="center" wrapText="1"/>
    </xf>
    <xf numFmtId="0" fontId="0" fillId="5" borderId="7" xfId="0" applyFill="1" applyBorder="1" applyAlignment="1">
      <alignment horizontal="center" vertical="center" wrapText="1"/>
    </xf>
    <xf numFmtId="11" fontId="0" fillId="5" borderId="7" xfId="0" applyNumberFormat="1" applyFill="1" applyBorder="1" applyAlignment="1">
      <alignment horizontal="center" vertical="center" wrapText="1"/>
    </xf>
    <xf numFmtId="166" fontId="0" fillId="3" borderId="0" xfId="0" applyNumberFormat="1" applyFill="1" applyAlignment="1">
      <alignment horizontal="center" vertical="center"/>
    </xf>
    <xf numFmtId="0" fontId="0" fillId="0" borderId="0" xfId="0" applyAlignment="1">
      <alignment horizontal="left" vertical="center" wrapText="1"/>
    </xf>
    <xf numFmtId="2" fontId="6" fillId="4" borderId="0" xfId="2" applyNumberFormat="1" applyAlignment="1">
      <alignment horizontal="center" vertical="center" wrapText="1"/>
    </xf>
    <xf numFmtId="167" fontId="6" fillId="4" borderId="0" xfId="2" applyNumberFormat="1" applyAlignment="1">
      <alignment horizontal="center" vertical="center" wrapText="1"/>
    </xf>
    <xf numFmtId="1" fontId="6" fillId="4" borderId="0" xfId="2" applyNumberFormat="1" applyAlignment="1">
      <alignment horizontal="center" vertical="center" wrapText="1"/>
    </xf>
    <xf numFmtId="2" fontId="6" fillId="4" borderId="14" xfId="2" applyNumberFormat="1" applyBorder="1" applyAlignment="1">
      <alignment horizontal="center" vertical="center"/>
    </xf>
    <xf numFmtId="2" fontId="6" fillId="4" borderId="12" xfId="2" applyNumberFormat="1" applyBorder="1" applyAlignment="1">
      <alignment horizontal="center" vertical="center"/>
    </xf>
    <xf numFmtId="2" fontId="6" fillId="4" borderId="0" xfId="2" applyNumberFormat="1" applyAlignment="1">
      <alignment horizontal="center" vertical="center"/>
    </xf>
    <xf numFmtId="2" fontId="6" fillId="4" borderId="7" xfId="2" applyNumberFormat="1" applyBorder="1" applyAlignment="1">
      <alignment horizontal="center" vertical="center"/>
    </xf>
    <xf numFmtId="0" fontId="6" fillId="4" borderId="12" xfId="2" applyBorder="1" applyAlignment="1">
      <alignment horizontal="center"/>
    </xf>
    <xf numFmtId="0" fontId="6" fillId="4" borderId="0" xfId="2" applyAlignment="1">
      <alignment vertical="center"/>
    </xf>
    <xf numFmtId="0" fontId="6" fillId="4" borderId="0" xfId="2"/>
    <xf numFmtId="167" fontId="12" fillId="6" borderId="0" xfId="4" applyNumberFormat="1" applyAlignment="1">
      <alignment horizontal="center" vertical="center" wrapText="1"/>
    </xf>
    <xf numFmtId="167" fontId="12" fillId="6" borderId="0" xfId="4" applyNumberFormat="1" applyAlignment="1">
      <alignment horizontal="center" vertical="center"/>
    </xf>
    <xf numFmtId="2" fontId="12" fillId="6" borderId="0" xfId="4" applyNumberFormat="1" applyAlignment="1">
      <alignment horizontal="center" vertical="center" wrapText="1"/>
    </xf>
    <xf numFmtId="11" fontId="12" fillId="6" borderId="0" xfId="4" applyNumberFormat="1" applyAlignment="1">
      <alignment horizontal="center" vertical="center"/>
    </xf>
    <xf numFmtId="2" fontId="12" fillId="6" borderId="8" xfId="4" applyNumberFormat="1" applyBorder="1" applyAlignment="1">
      <alignment horizontal="center" vertical="center"/>
    </xf>
    <xf numFmtId="0" fontId="12" fillId="6" borderId="0" xfId="4"/>
    <xf numFmtId="0" fontId="7" fillId="2" borderId="9" xfId="0" applyFont="1" applyFill="1" applyBorder="1" applyAlignment="1">
      <alignment horizontal="center" vertical="center" wrapText="1"/>
    </xf>
    <xf numFmtId="0" fontId="7" fillId="2" borderId="15" xfId="0" applyFont="1" applyFill="1" applyBorder="1" applyAlignment="1">
      <alignment horizontal="center" vertical="center" wrapText="1"/>
    </xf>
    <xf numFmtId="167" fontId="7" fillId="2" borderId="15" xfId="0" applyNumberFormat="1" applyFont="1" applyFill="1" applyBorder="1" applyAlignment="1">
      <alignment horizontal="center" vertical="center" wrapText="1"/>
    </xf>
    <xf numFmtId="0" fontId="7" fillId="2" borderId="10" xfId="0" applyFont="1" applyFill="1" applyBorder="1" applyAlignment="1">
      <alignment horizontal="center" vertical="center" wrapText="1"/>
    </xf>
    <xf numFmtId="2" fontId="6" fillId="4" borderId="12" xfId="2" applyNumberFormat="1" applyBorder="1" applyAlignment="1">
      <alignment horizontal="center"/>
    </xf>
    <xf numFmtId="0" fontId="12" fillId="6" borderId="0" xfId="4" applyAlignment="1">
      <alignment horizontal="center" vertical="center"/>
    </xf>
    <xf numFmtId="11" fontId="6" fillId="4" borderId="0" xfId="2" applyNumberFormat="1" applyAlignment="1">
      <alignment horizontal="center" vertical="center" wrapText="1"/>
    </xf>
    <xf numFmtId="11" fontId="12" fillId="6" borderId="0" xfId="4" applyNumberFormat="1" applyAlignment="1">
      <alignment horizontal="center" vertical="center" wrapText="1"/>
    </xf>
    <xf numFmtId="0" fontId="12" fillId="6" borderId="8" xfId="4" applyBorder="1" applyAlignment="1">
      <alignment horizontal="center" vertical="center"/>
    </xf>
    <xf numFmtId="11" fontId="12" fillId="6" borderId="0" xfId="4" applyNumberFormat="1" applyAlignment="1">
      <alignment vertical="center"/>
    </xf>
    <xf numFmtId="11" fontId="0" fillId="0" borderId="0" xfId="0" applyNumberFormat="1" applyAlignment="1">
      <alignment vertical="center"/>
    </xf>
    <xf numFmtId="0" fontId="0" fillId="0" borderId="0" xfId="0" applyAlignment="1">
      <alignment horizontal="center" wrapText="1"/>
    </xf>
    <xf numFmtId="0" fontId="13" fillId="13" borderId="17" xfId="0" applyFont="1" applyFill="1" applyBorder="1" applyAlignment="1">
      <alignment horizontal="center" vertical="center"/>
    </xf>
    <xf numFmtId="0" fontId="13" fillId="13" borderId="17" xfId="0" applyFont="1" applyFill="1" applyBorder="1" applyAlignment="1">
      <alignment vertical="center"/>
    </xf>
    <xf numFmtId="0" fontId="13" fillId="13" borderId="17" xfId="0" applyFont="1" applyFill="1" applyBorder="1" applyAlignment="1">
      <alignment horizontal="left" vertical="center"/>
    </xf>
    <xf numFmtId="0" fontId="14" fillId="0" borderId="0" xfId="0" applyFont="1" applyAlignment="1">
      <alignment horizontal="center" vertical="center"/>
    </xf>
    <xf numFmtId="0" fontId="13" fillId="13" borderId="17" xfId="0" applyFont="1" applyFill="1" applyBorder="1" applyAlignment="1">
      <alignment horizontal="center"/>
    </xf>
    <xf numFmtId="0" fontId="14" fillId="0" borderId="0" xfId="6" applyFont="1" applyFill="1" applyAlignment="1">
      <alignment horizontal="center" vertical="center"/>
    </xf>
    <xf numFmtId="0" fontId="14" fillId="0" borderId="0" xfId="0" applyFont="1" applyAlignment="1">
      <alignment vertical="center"/>
    </xf>
    <xf numFmtId="0" fontId="14" fillId="0" borderId="0" xfId="0" applyFont="1" applyAlignment="1">
      <alignment horizontal="left" vertical="center"/>
    </xf>
    <xf numFmtId="0" fontId="14" fillId="0" borderId="0" xfId="0" applyFont="1" applyAlignment="1">
      <alignment horizontal="center"/>
    </xf>
    <xf numFmtId="11" fontId="14" fillId="0" borderId="0" xfId="0" applyNumberFormat="1" applyFont="1" applyAlignment="1">
      <alignment horizontal="center" vertical="center"/>
    </xf>
    <xf numFmtId="0" fontId="14" fillId="0" borderId="0" xfId="8" applyFont="1" applyFill="1" applyAlignment="1">
      <alignment horizontal="center" vertical="center"/>
    </xf>
    <xf numFmtId="0" fontId="14" fillId="0" borderId="0" xfId="10" applyFont="1" applyFill="1" applyAlignment="1">
      <alignment horizontal="center" vertical="center"/>
    </xf>
    <xf numFmtId="0" fontId="14" fillId="0" borderId="0" xfId="7" applyFont="1" applyFill="1" applyAlignment="1">
      <alignment horizontal="center" vertical="center"/>
    </xf>
    <xf numFmtId="0" fontId="4" fillId="0" borderId="0" xfId="9" applyFill="1" applyAlignment="1">
      <alignment horizontal="center" vertical="center"/>
    </xf>
    <xf numFmtId="0" fontId="4" fillId="0" borderId="0" xfId="5" applyFill="1" applyAlignment="1">
      <alignment horizontal="center" vertical="center"/>
    </xf>
    <xf numFmtId="0" fontId="0" fillId="0" borderId="0" xfId="0" applyAlignment="1">
      <alignment horizontal="center"/>
    </xf>
    <xf numFmtId="0" fontId="16" fillId="0" borderId="0" xfId="0" applyFont="1"/>
    <xf numFmtId="0" fontId="14" fillId="0" borderId="0" xfId="0" applyFont="1"/>
    <xf numFmtId="0" fontId="14" fillId="0" borderId="0" xfId="0" applyFont="1" applyAlignment="1">
      <alignment wrapText="1"/>
    </xf>
    <xf numFmtId="1" fontId="14" fillId="0" borderId="0" xfId="0" applyNumberFormat="1" applyFont="1"/>
    <xf numFmtId="168" fontId="14" fillId="0" borderId="0" xfId="0" applyNumberFormat="1" applyFont="1"/>
    <xf numFmtId="164" fontId="14" fillId="0" borderId="0" xfId="0" applyNumberFormat="1" applyFont="1"/>
    <xf numFmtId="10" fontId="14" fillId="0" borderId="0" xfId="0" applyNumberFormat="1" applyFont="1"/>
    <xf numFmtId="166" fontId="14" fillId="0" borderId="0" xfId="0" applyNumberFormat="1" applyFont="1"/>
    <xf numFmtId="11" fontId="14" fillId="0" borderId="0" xfId="0" applyNumberFormat="1" applyFont="1"/>
    <xf numFmtId="11" fontId="17" fillId="0" borderId="0" xfId="0" applyNumberFormat="1" applyFont="1"/>
    <xf numFmtId="0" fontId="17" fillId="0" borderId="0" xfId="0" applyFont="1"/>
    <xf numFmtId="0" fontId="14" fillId="3" borderId="0" xfId="0" applyFont="1" applyFill="1" applyAlignment="1">
      <alignment vertical="center"/>
    </xf>
    <xf numFmtId="167" fontId="14" fillId="0" borderId="0" xfId="0" applyNumberFormat="1" applyFont="1"/>
    <xf numFmtId="169" fontId="14" fillId="0" borderId="0" xfId="0" applyNumberFormat="1" applyFont="1"/>
    <xf numFmtId="0" fontId="1" fillId="0" borderId="0" xfId="0" applyFont="1" applyAlignment="1">
      <alignment horizontal="center" vertical="center" wrapText="1"/>
    </xf>
    <xf numFmtId="2" fontId="14" fillId="0" borderId="0" xfId="0" applyNumberFormat="1" applyFont="1"/>
    <xf numFmtId="11" fontId="0" fillId="3" borderId="0" xfId="0" applyNumberFormat="1" applyFill="1" applyAlignment="1">
      <alignment vertical="center"/>
    </xf>
    <xf numFmtId="0" fontId="0" fillId="5" borderId="0" xfId="0" applyFill="1"/>
    <xf numFmtId="11" fontId="6" fillId="4" borderId="0" xfId="2" applyNumberFormat="1" applyAlignment="1">
      <alignment vertical="center"/>
    </xf>
    <xf numFmtId="167" fontId="0" fillId="3" borderId="0" xfId="0" applyNumberFormat="1" applyFill="1" applyAlignment="1">
      <alignment horizontal="left" vertical="center"/>
    </xf>
    <xf numFmtId="11" fontId="0" fillId="0" borderId="0" xfId="0" applyNumberFormat="1" applyAlignment="1">
      <alignment horizontal="center" vertical="center" wrapText="1"/>
    </xf>
    <xf numFmtId="11" fontId="13" fillId="13" borderId="17" xfId="0" applyNumberFormat="1" applyFont="1" applyFill="1" applyBorder="1" applyAlignment="1">
      <alignment horizontal="center" vertical="center"/>
    </xf>
    <xf numFmtId="0" fontId="6" fillId="0" borderId="0" xfId="2" applyFill="1" applyAlignment="1">
      <alignment vertical="center"/>
    </xf>
    <xf numFmtId="11" fontId="0" fillId="5" borderId="0" xfId="0" applyNumberFormat="1" applyFill="1" applyAlignment="1">
      <alignment vertical="center"/>
    </xf>
    <xf numFmtId="167" fontId="14" fillId="0" borderId="0" xfId="0" applyNumberFormat="1" applyFont="1" applyAlignment="1">
      <alignment horizontal="center" vertical="center"/>
    </xf>
    <xf numFmtId="169" fontId="14" fillId="0" borderId="0" xfId="0" applyNumberFormat="1" applyFont="1" applyAlignment="1">
      <alignment horizontal="center" vertical="center"/>
    </xf>
    <xf numFmtId="170" fontId="14" fillId="0" borderId="0" xfId="0" applyNumberFormat="1" applyFont="1"/>
    <xf numFmtId="0" fontId="18" fillId="0" borderId="0" xfId="0" applyFont="1" applyAlignment="1">
      <alignment vertical="center"/>
    </xf>
    <xf numFmtId="0" fontId="0" fillId="3" borderId="0" xfId="0" applyFill="1" applyAlignment="1">
      <alignment horizontal="center" vertical="center"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left" vertical="center"/>
    </xf>
    <xf numFmtId="0" fontId="10" fillId="0" borderId="0" xfId="0" applyFont="1" applyAlignment="1">
      <alignment horizontal="left" vertical="center" wrapText="1"/>
    </xf>
    <xf numFmtId="0" fontId="1" fillId="3" borderId="0" xfId="0" applyFont="1" applyFill="1" applyAlignment="1">
      <alignment horizontal="left" vertical="center" wrapText="1"/>
    </xf>
  </cellXfs>
  <cellStyles count="11">
    <cellStyle name="20% - Accent3" xfId="6" builtinId="38"/>
    <cellStyle name="20% - Accent4" xfId="8" builtinId="42"/>
    <cellStyle name="20% - Accent6" xfId="10" builtinId="50"/>
    <cellStyle name="40% - Accent1" xfId="5" builtinId="31"/>
    <cellStyle name="40% - Accent3" xfId="7" builtinId="39"/>
    <cellStyle name="40% - Accent4" xfId="9" builtinId="43"/>
    <cellStyle name="Good" xfId="4" builtinId="26"/>
    <cellStyle name="Hyperlink" xfId="3" builtinId="8"/>
    <cellStyle name="Neutral" xfId="2" builtinId="28"/>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yridi_m/Downloads/N2O_perkg_Calculator_NEEDED.xlsx" TargetMode="External"/><Relationship Id="rId1" Type="http://schemas.openxmlformats.org/officeDocument/2006/relationships/externalLinkPath" Target="https://dpsich-my.sharepoint.com/personal/romain_sacchi_psi_ch/Documents/CDR%20paper/inventories/N2O_perkg_Calculator_NEE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1"/>
    </sheetNames>
    <sheetDataSet>
      <sheetData sheetId="0">
        <row r="58">
          <cell r="L58">
            <v>1.9014285714285714E-5</v>
          </cell>
          <cell r="P58">
            <v>1.7268547782288333</v>
          </cell>
        </row>
        <row r="93">
          <cell r="L93">
            <v>8.5073891625615778E-5</v>
          </cell>
        </row>
        <row r="128">
          <cell r="L128">
            <v>2.2463571428571431E-6</v>
          </cell>
          <cell r="P128">
            <v>1.476201226198731</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sciencedirect.com/science/article/pii/S0167880913003496?via%3Dihub"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sciencedirect.com/science/article/pii/S0167880913003496?via%3Dihub" TargetMode="External"/><Relationship Id="rId1" Type="http://schemas.openxmlformats.org/officeDocument/2006/relationships/hyperlink" Target="https://link.springer.com/article/10.1007/s11368-021-03104-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0167880913003496?via%3Dihub"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science/article/pii/S0167880913003496?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ciencedirect.com/science/article/pii/S0167880913003496?via%3Dihu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ature.com/articles/s41598-021-97525-8?error=cookies_not_supported&amp;code=9684c08f-fa74-4ba1-9930-2470bfd835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6AC2-48E3-467D-8D57-020D40E41D3C}">
  <dimension ref="A1:R45"/>
  <sheetViews>
    <sheetView zoomScale="101" zoomScaleNormal="100" workbookViewId="0">
      <selection activeCell="O44" sqref="O44"/>
    </sheetView>
  </sheetViews>
  <sheetFormatPr baseColWidth="10" defaultColWidth="8.83203125" defaultRowHeight="14" x14ac:dyDescent="0.2"/>
  <cols>
    <col min="1" max="1" width="54.33203125" style="159" customWidth="1"/>
    <col min="2" max="2" width="13.1640625" style="159" bestFit="1" customWidth="1"/>
    <col min="3" max="6" width="8.83203125" style="159"/>
    <col min="7" max="7" width="26.1640625" style="159" customWidth="1"/>
    <col min="8" max="11" width="9" style="159" bestFit="1" customWidth="1"/>
    <col min="12" max="12" width="8.83203125" style="159"/>
    <col min="13" max="13" width="12" style="159" bestFit="1" customWidth="1"/>
    <col min="14" max="14" width="9" style="159" customWidth="1"/>
    <col min="15" max="16384" width="8.83203125" style="159"/>
  </cols>
  <sheetData>
    <row r="1" spans="1:14" x14ac:dyDescent="0.2">
      <c r="A1" s="158" t="s">
        <v>0</v>
      </c>
      <c r="B1" s="158" t="s">
        <v>1</v>
      </c>
    </row>
    <row r="3" spans="1:14" x14ac:dyDescent="0.2">
      <c r="A3" s="158" t="s">
        <v>2</v>
      </c>
      <c r="B3" s="158" t="s">
        <v>127</v>
      </c>
    </row>
    <row r="4" spans="1:14" x14ac:dyDescent="0.2">
      <c r="A4" s="159" t="s">
        <v>3</v>
      </c>
      <c r="B4" s="159" t="s">
        <v>122</v>
      </c>
    </row>
    <row r="5" spans="1:14" ht="15" x14ac:dyDescent="0.2">
      <c r="A5" s="159" t="s">
        <v>4</v>
      </c>
      <c r="B5" s="160" t="s">
        <v>5</v>
      </c>
    </row>
    <row r="6" spans="1:14" x14ac:dyDescent="0.2">
      <c r="A6" s="159" t="s">
        <v>6</v>
      </c>
      <c r="B6" s="159" t="s">
        <v>119</v>
      </c>
    </row>
    <row r="7" spans="1:14" ht="15" x14ac:dyDescent="0.2">
      <c r="A7" s="159" t="s">
        <v>9</v>
      </c>
      <c r="B7" s="160" t="s">
        <v>10</v>
      </c>
    </row>
    <row r="8" spans="1:14" x14ac:dyDescent="0.2">
      <c r="A8" s="158" t="s">
        <v>11</v>
      </c>
      <c r="B8" s="160"/>
    </row>
    <row r="9" spans="1:14" x14ac:dyDescent="0.2">
      <c r="A9" s="159" t="s">
        <v>12</v>
      </c>
      <c r="B9" s="159" t="s">
        <v>13</v>
      </c>
      <c r="C9" s="159" t="s">
        <v>29</v>
      </c>
      <c r="D9" s="159" t="s">
        <v>4</v>
      </c>
      <c r="E9" s="159" t="s">
        <v>9</v>
      </c>
      <c r="F9" s="159" t="s">
        <v>7</v>
      </c>
      <c r="G9" s="159" t="s">
        <v>6</v>
      </c>
      <c r="H9" s="159" t="s">
        <v>3</v>
      </c>
      <c r="I9" s="159" t="s">
        <v>266</v>
      </c>
      <c r="J9" s="159" t="s">
        <v>269</v>
      </c>
      <c r="K9" s="159" t="s">
        <v>270</v>
      </c>
      <c r="L9" s="159" t="s">
        <v>271</v>
      </c>
      <c r="M9" s="159" t="s">
        <v>272</v>
      </c>
      <c r="N9" s="159" t="s">
        <v>267</v>
      </c>
    </row>
    <row r="10" spans="1:14" x14ac:dyDescent="0.2">
      <c r="A10" s="159" t="str">
        <f>B3</f>
        <v>drying of birch wood chips</v>
      </c>
      <c r="B10" s="159">
        <v>1</v>
      </c>
      <c r="D10" s="159" t="str">
        <f>B5</f>
        <v>RER</v>
      </c>
      <c r="E10" s="159" t="str">
        <f>B7</f>
        <v>kilogram</v>
      </c>
      <c r="F10" s="159" t="s">
        <v>14</v>
      </c>
      <c r="G10" s="159" t="str">
        <f>B6</f>
        <v>birch, chipped and dried</v>
      </c>
    </row>
    <row r="11" spans="1:14" x14ac:dyDescent="0.2">
      <c r="A11" s="159" t="s">
        <v>120</v>
      </c>
      <c r="B11" s="161">
        <v>1</v>
      </c>
      <c r="D11" s="159" t="s">
        <v>121</v>
      </c>
      <c r="E11" s="159" t="s">
        <v>10</v>
      </c>
      <c r="F11" s="159" t="s">
        <v>15</v>
      </c>
      <c r="G11" s="159" t="s">
        <v>126</v>
      </c>
      <c r="H11" s="159" t="str">
        <f>"Conversion factor from wet to dry mass "&amp;TEXT('birch (parameters)'!C4,"0.00")</f>
        <v>Conversion factor from wet to dry mass 0.60</v>
      </c>
    </row>
    <row r="12" spans="1:14" x14ac:dyDescent="0.2">
      <c r="A12" s="159" t="s">
        <v>16</v>
      </c>
      <c r="B12" s="159">
        <f>'birch (parameters)'!C43</f>
        <v>1.08</v>
      </c>
      <c r="D12" s="159" t="s">
        <v>17</v>
      </c>
      <c r="E12" s="159" t="s">
        <v>18</v>
      </c>
      <c r="F12" s="159" t="s">
        <v>15</v>
      </c>
      <c r="G12" s="159" t="s">
        <v>19</v>
      </c>
      <c r="H12" s="159" t="str">
        <f>TEXT('birch (parameters)'!E43,"0")&amp;
" MJ of heat needed for "&amp;TEXT('birch (parameters)'!C3,"0")&amp;
" t of feedstock"</f>
        <v>10800 MJ of heat needed for 10000 t of feedstock</v>
      </c>
      <c r="I12" s="159">
        <v>2</v>
      </c>
      <c r="J12" s="159">
        <f>'Uncertainty table'!R26</f>
        <v>7.6961041136128394E-2</v>
      </c>
      <c r="K12" s="159">
        <f>'Uncertainty table'!S26</f>
        <v>0.26236426446749106</v>
      </c>
    </row>
    <row r="13" spans="1:14" x14ac:dyDescent="0.2">
      <c r="A13" s="159" t="s">
        <v>166</v>
      </c>
      <c r="B13" s="159">
        <v>0.1</v>
      </c>
      <c r="D13" s="159" t="s">
        <v>5</v>
      </c>
      <c r="E13" s="159" t="s">
        <v>20</v>
      </c>
      <c r="F13" s="159" t="s">
        <v>15</v>
      </c>
      <c r="G13" s="159" t="s">
        <v>167</v>
      </c>
      <c r="H13" s="159" t="s">
        <v>21</v>
      </c>
    </row>
    <row r="14" spans="1:14" x14ac:dyDescent="0.2">
      <c r="A14" s="159" t="s">
        <v>22</v>
      </c>
      <c r="B14" s="162">
        <f>'birch (parameters)'!C41</f>
        <v>1.3588888899760003E-2</v>
      </c>
      <c r="D14" s="159" t="s">
        <v>5</v>
      </c>
      <c r="E14" s="159" t="s">
        <v>23</v>
      </c>
      <c r="F14" s="159" t="s">
        <v>15</v>
      </c>
      <c r="G14" s="159" t="s">
        <v>24</v>
      </c>
      <c r="H14" s="159" t="str">
        <f>TEXT('birch (parameters)'!E41,"0.00")&amp;
" kWh for electric chipping and drying for "&amp;TEXT('birch (parameters)'!C3,"0")&amp;
" t of feedstock, conversion rate from GJ to kWh "&amp;TEXT('birch (parameters)'!B33,"0.000")</f>
        <v>135.89 kWh for electric chipping and drying for 10000 t of feedstock, conversion rate from GJ to kWh 277.778</v>
      </c>
      <c r="I14" s="159">
        <v>2</v>
      </c>
      <c r="J14" s="159">
        <f>'Uncertainty table'!R27</f>
        <v>-4.2984946370437767</v>
      </c>
      <c r="K14" s="159">
        <f>'Uncertainty table'!S27</f>
        <v>0.26236426446749106</v>
      </c>
    </row>
    <row r="17" spans="1:14" x14ac:dyDescent="0.2">
      <c r="A17" s="158" t="s">
        <v>2</v>
      </c>
      <c r="B17" s="158" t="s">
        <v>128</v>
      </c>
    </row>
    <row r="18" spans="1:14" x14ac:dyDescent="0.2">
      <c r="A18" s="159" t="s">
        <v>3</v>
      </c>
      <c r="B18" s="159" t="s">
        <v>123</v>
      </c>
    </row>
    <row r="19" spans="1:14" x14ac:dyDescent="0.2">
      <c r="A19" s="159" t="s">
        <v>4</v>
      </c>
      <c r="B19" s="159" t="s">
        <v>5</v>
      </c>
    </row>
    <row r="20" spans="1:14" x14ac:dyDescent="0.2">
      <c r="A20" s="159" t="s">
        <v>6</v>
      </c>
      <c r="B20" s="159" t="s">
        <v>1</v>
      </c>
    </row>
    <row r="21" spans="1:14" x14ac:dyDescent="0.2">
      <c r="A21" s="159" t="s">
        <v>9</v>
      </c>
      <c r="B21" s="159" t="s">
        <v>10</v>
      </c>
    </row>
    <row r="22" spans="1:14" x14ac:dyDescent="0.2">
      <c r="A22" s="158" t="s">
        <v>11</v>
      </c>
    </row>
    <row r="23" spans="1:14" x14ac:dyDescent="0.2">
      <c r="A23" s="159" t="s">
        <v>12</v>
      </c>
      <c r="B23" s="159" t="s">
        <v>13</v>
      </c>
      <c r="C23" s="159" t="s">
        <v>29</v>
      </c>
      <c r="D23" s="159" t="s">
        <v>4</v>
      </c>
      <c r="E23" s="159" t="s">
        <v>9</v>
      </c>
      <c r="F23" s="159" t="s">
        <v>7</v>
      </c>
      <c r="G23" s="159" t="s">
        <v>6</v>
      </c>
      <c r="H23" s="159" t="s">
        <v>3</v>
      </c>
      <c r="I23" s="159" t="s">
        <v>266</v>
      </c>
      <c r="J23" s="159" t="s">
        <v>269</v>
      </c>
      <c r="K23" s="159" t="s">
        <v>270</v>
      </c>
      <c r="L23" s="159" t="s">
        <v>271</v>
      </c>
      <c r="M23" s="159" t="s">
        <v>272</v>
      </c>
      <c r="N23" s="159" t="s">
        <v>267</v>
      </c>
    </row>
    <row r="24" spans="1:14" x14ac:dyDescent="0.2">
      <c r="A24" s="159" t="str">
        <f>B17</f>
        <v>biochar production, from birch pyrolysis</v>
      </c>
      <c r="B24" s="159">
        <v>1</v>
      </c>
      <c r="D24" s="159" t="s">
        <v>5</v>
      </c>
      <c r="E24" s="159" t="s">
        <v>10</v>
      </c>
      <c r="F24" s="159" t="s">
        <v>14</v>
      </c>
      <c r="G24" s="159" t="s">
        <v>1</v>
      </c>
    </row>
    <row r="25" spans="1:14" x14ac:dyDescent="0.2">
      <c r="A25" s="159" t="str">
        <f>A10</f>
        <v>drying of birch wood chips</v>
      </c>
      <c r="B25" s="159">
        <f>'birch (parameters)'!C12</f>
        <v>1.6089543462370257</v>
      </c>
      <c r="D25" s="159" t="s">
        <v>5</v>
      </c>
      <c r="E25" s="159" t="s">
        <v>10</v>
      </c>
      <c r="F25" s="159" t="s">
        <v>15</v>
      </c>
      <c r="G25" s="159" t="s">
        <v>119</v>
      </c>
      <c r="H25" s="159" t="str">
        <f>"biochar yield rate "&amp;TEXT('birch (parameters)'!B68,"0.00")&amp;
", allocation rate of "&amp;TEXT('birch (parameters)'!E68,"0.00")</f>
        <v>biochar yield rate 0.26, allocation rate of 0.42</v>
      </c>
      <c r="I25" s="159">
        <v>2</v>
      </c>
      <c r="J25" s="159">
        <f>'Uncertainty table'!R28</f>
        <v>0.4755844934622605</v>
      </c>
      <c r="K25" s="159">
        <f>'Uncertainty table'!S28</f>
        <v>0.18232155679395459</v>
      </c>
    </row>
    <row r="26" spans="1:14" x14ac:dyDescent="0.2">
      <c r="A26" s="159" t="s">
        <v>16</v>
      </c>
      <c r="B26" s="159">
        <f>'birch (parameters)'!C30</f>
        <v>0.35971392318821183</v>
      </c>
      <c r="D26" s="159" t="s">
        <v>17</v>
      </c>
      <c r="E26" s="159" t="s">
        <v>18</v>
      </c>
      <c r="F26" s="159" t="s">
        <v>15</v>
      </c>
      <c r="G26" s="159" t="s">
        <v>19</v>
      </c>
      <c r="H26" s="159" t="str">
        <f>"total heat for producing "&amp;TEXT('birch (parameters)'!C9,"0.00")&amp;
" tonnes of biochar is "&amp;TEXT('birch (parameters)'!C26,"0.00")&amp;
" GJ (pre-allocation), allocation rate of "&amp;TEXT('birch (parameters)'!E68,"0.00")</f>
        <v>total heat for producing 1562.87 tonnes of biochar is 1341.42 GJ (pre-allocation), allocation rate of 0.42</v>
      </c>
      <c r="I26" s="159">
        <v>2</v>
      </c>
      <c r="J26" s="159">
        <f>'Uncertainty table'!R29</f>
        <v>-1.0224462217736185</v>
      </c>
      <c r="K26" s="159">
        <f>'Uncertainty table'!S29</f>
        <v>0.18232155679395459</v>
      </c>
    </row>
    <row r="27" spans="1:14" x14ac:dyDescent="0.2">
      <c r="A27" s="159" t="s">
        <v>22</v>
      </c>
      <c r="B27" s="163">
        <f>'birch (parameters)'!C31</f>
        <v>2.0762959945782058E-2</v>
      </c>
      <c r="D27" s="159" t="s">
        <v>5</v>
      </c>
      <c r="E27" s="159" t="s">
        <v>23</v>
      </c>
      <c r="F27" s="159" t="s">
        <v>15</v>
      </c>
      <c r="G27" s="159" t="s">
        <v>24</v>
      </c>
      <c r="H27" s="159" t="str">
        <f>"total electricity for producing "&amp;TEXT('birch (parameters)'!C9,"0.00")&amp;
" tonnes of biochar is "&amp;TEXT('birch (parameters)'!C25,"0.00")&amp;
" GJ (pre-allocation), allocation rate of "&amp;TEXT('birch (parameters)'!E68,"0.00")</f>
        <v>total electricity for producing 1562.87 tonnes of biochar is 278.74 GJ (pre-allocation), allocation rate of 0.42</v>
      </c>
      <c r="I27" s="159">
        <v>2</v>
      </c>
      <c r="J27" s="159">
        <f>'Uncertainty table'!R30</f>
        <v>-3.8745846489600337</v>
      </c>
      <c r="K27" s="159">
        <f>'Uncertainty table'!S30</f>
        <v>0.18232155679395459</v>
      </c>
    </row>
    <row r="28" spans="1:14" x14ac:dyDescent="0.2">
      <c r="A28" s="159" t="s">
        <v>25</v>
      </c>
      <c r="B28" s="166">
        <f>'birch (parameters)'!C51</f>
        <v>8.0447717311851279E-9</v>
      </c>
      <c r="D28" s="159" t="s">
        <v>26</v>
      </c>
      <c r="E28" s="159" t="s">
        <v>9</v>
      </c>
      <c r="F28" s="159" t="s">
        <v>15</v>
      </c>
      <c r="G28" s="159" t="s">
        <v>124</v>
      </c>
      <c r="H28" s="159" t="str">
        <f>"lifetime of "&amp;TEXT('birch (parameters)'!C46,"0")&amp;
" years, plant capacity of "&amp;TEXT('birch (parameters)'!C47,"0")&amp;
" tonnes, allocation rate of "&amp;TEXT('birch (parameters)'!E68,"0.00")&amp;
", biochar yield rate of "&amp;TEXT('birch (parameters)'!B68,"0.00")&amp;
", max amount of biochar produced throughout its lifetime "&amp;TEXT('birch (parameters)'!C48,"0.00")&amp; " tonnes "</f>
        <v xml:space="preserve">lifetime of 20 years, plant capacity of 10000 tonnes, allocation rate of 0.42, biochar yield rate of 0.26, max amount of biochar produced throughout its lifetime 52095.73 tonnes </v>
      </c>
    </row>
    <row r="29" spans="1:14" x14ac:dyDescent="0.2">
      <c r="A29" s="159" t="s">
        <v>31</v>
      </c>
      <c r="B29" s="159">
        <f>'birch (parameters)'!C18</f>
        <v>0.5281408731066497</v>
      </c>
      <c r="C29" s="159" t="s">
        <v>32</v>
      </c>
      <c r="E29" s="159" t="s">
        <v>10</v>
      </c>
      <c r="F29" s="159" t="s">
        <v>33</v>
      </c>
      <c r="I29" s="159">
        <v>2</v>
      </c>
      <c r="J29" s="159">
        <f>'Uncertainty table'!R31</f>
        <v>-0.63839222593773737</v>
      </c>
      <c r="K29" s="159">
        <f>'Uncertainty table'!S31</f>
        <v>0.18232155679395459</v>
      </c>
    </row>
    <row r="31" spans="1:14" x14ac:dyDescent="0.2">
      <c r="A31" s="158" t="s">
        <v>2</v>
      </c>
      <c r="B31" s="158" t="s">
        <v>125</v>
      </c>
    </row>
    <row r="32" spans="1:14" x14ac:dyDescent="0.2">
      <c r="A32" s="159" t="s">
        <v>3</v>
      </c>
      <c r="B32" s="159" t="s">
        <v>27</v>
      </c>
    </row>
    <row r="33" spans="1:18" x14ac:dyDescent="0.2">
      <c r="A33" s="159" t="s">
        <v>4</v>
      </c>
      <c r="B33" s="159" t="s">
        <v>5</v>
      </c>
    </row>
    <row r="34" spans="1:18" x14ac:dyDescent="0.2">
      <c r="A34" s="159" t="s">
        <v>6</v>
      </c>
      <c r="B34" s="159" t="s">
        <v>28</v>
      </c>
    </row>
    <row r="35" spans="1:18" x14ac:dyDescent="0.2">
      <c r="A35" s="159" t="s">
        <v>9</v>
      </c>
      <c r="B35" s="159" t="s">
        <v>10</v>
      </c>
    </row>
    <row r="36" spans="1:18" x14ac:dyDescent="0.2">
      <c r="A36" s="158" t="s">
        <v>11</v>
      </c>
    </row>
    <row r="37" spans="1:18" x14ac:dyDescent="0.2">
      <c r="A37" s="159" t="s">
        <v>12</v>
      </c>
      <c r="B37" s="159" t="s">
        <v>13</v>
      </c>
      <c r="C37" s="159" t="s">
        <v>29</v>
      </c>
      <c r="D37" s="159" t="s">
        <v>4</v>
      </c>
      <c r="E37" s="159" t="s">
        <v>9</v>
      </c>
      <c r="F37" s="159" t="s">
        <v>7</v>
      </c>
      <c r="G37" s="159" t="s">
        <v>6</v>
      </c>
      <c r="H37" s="159" t="s">
        <v>3</v>
      </c>
      <c r="I37" s="159" t="s">
        <v>266</v>
      </c>
      <c r="J37" s="159" t="s">
        <v>269</v>
      </c>
      <c r="K37" s="159" t="s">
        <v>270</v>
      </c>
      <c r="L37" s="159" t="s">
        <v>271</v>
      </c>
      <c r="M37" s="159" t="s">
        <v>272</v>
      </c>
      <c r="N37" s="159" t="s">
        <v>267</v>
      </c>
      <c r="O37" s="159" t="s">
        <v>345</v>
      </c>
      <c r="P37" s="164"/>
    </row>
    <row r="38" spans="1:18" x14ac:dyDescent="0.2">
      <c r="A38" s="159" t="str">
        <f>B31</f>
        <v>carbon dioxide, captured and stored, by birch biochar application on mineral soil</v>
      </c>
      <c r="B38" s="159">
        <v>1</v>
      </c>
      <c r="D38" s="159" t="s">
        <v>5</v>
      </c>
      <c r="E38" s="159" t="s">
        <v>10</v>
      </c>
      <c r="F38" s="159" t="s">
        <v>14</v>
      </c>
      <c r="G38" s="159" t="str">
        <f>B34</f>
        <v>carbon dioxide, captured</v>
      </c>
    </row>
    <row r="39" spans="1:18" x14ac:dyDescent="0.2">
      <c r="A39" s="159" t="str">
        <f>A24</f>
        <v>biochar production, from birch pyrolysis</v>
      </c>
      <c r="B39" s="165">
        <f>'birch (parameters)'!C22</f>
        <v>0.58204076003217364</v>
      </c>
      <c r="D39" s="159" t="s">
        <v>5</v>
      </c>
      <c r="E39" s="159" t="s">
        <v>10</v>
      </c>
      <c r="F39" s="159" t="s">
        <v>15</v>
      </c>
      <c r="G39" s="159" t="s">
        <v>1</v>
      </c>
      <c r="H39" s="159" t="str">
        <f>"1 kilogram of biochar stores "&amp;TEXT('birch (parameters)'!C21,"0.000")&amp;
" kg of CO2, and "&amp;TEXT('birch (parameters)'!C20,"0.000")&amp;
" of the carbon content is assumed stable. Carbon content: "&amp;TEXT('birch (parameters)'!C17,"0.000")&amp;
" kg C/kg biochar."</f>
        <v>1 kilogram of biochar stores 1.718 kg of CO2, and 0.727 of the carbon content is assumed stable. Carbon content: 2.363 kg C/kg biochar.</v>
      </c>
      <c r="I39" s="159">
        <v>2</v>
      </c>
      <c r="J39" s="159">
        <f>'Uncertainty table'!R32</f>
        <v>-0.54128483125069926</v>
      </c>
      <c r="K39" s="159">
        <f>'Uncertainty table'!S32</f>
        <v>0.18232155679395459</v>
      </c>
    </row>
    <row r="40" spans="1:18" x14ac:dyDescent="0.2">
      <c r="A40" s="159" t="s">
        <v>166</v>
      </c>
      <c r="B40" s="159">
        <v>0.1</v>
      </c>
      <c r="D40" s="159" t="s">
        <v>5</v>
      </c>
      <c r="E40" s="159" t="s">
        <v>20</v>
      </c>
      <c r="F40" s="159" t="s">
        <v>15</v>
      </c>
      <c r="G40" s="159" t="s">
        <v>167</v>
      </c>
      <c r="H40" s="159" t="s">
        <v>30</v>
      </c>
    </row>
    <row r="41" spans="1:18" x14ac:dyDescent="0.2">
      <c r="A41" s="159" t="s">
        <v>168</v>
      </c>
      <c r="B41" s="159">
        <v>5.0000000000000001E-3</v>
      </c>
      <c r="D41" s="159" t="s">
        <v>26</v>
      </c>
      <c r="E41" s="159" t="s">
        <v>20</v>
      </c>
      <c r="F41" s="159" t="s">
        <v>15</v>
      </c>
      <c r="G41" s="159" t="s">
        <v>169</v>
      </c>
    </row>
    <row r="42" spans="1:18" x14ac:dyDescent="0.2">
      <c r="A42" s="159" t="s">
        <v>31</v>
      </c>
      <c r="B42" s="165">
        <f>'birch (parameters)'!C23</f>
        <v>0.37513751375137516</v>
      </c>
      <c r="C42" s="159" t="s">
        <v>32</v>
      </c>
      <c r="E42" s="159" t="s">
        <v>10</v>
      </c>
      <c r="F42" s="159" t="s">
        <v>33</v>
      </c>
      <c r="H42" s="159" t="s">
        <v>118</v>
      </c>
      <c r="I42" s="159">
        <v>2</v>
      </c>
      <c r="J42" s="159">
        <f>'Uncertainty table'!R33</f>
        <v>-0.98082925301172619</v>
      </c>
      <c r="K42" s="159">
        <f>'Uncertainty table'!S33</f>
        <v>0.18232155679395459</v>
      </c>
    </row>
    <row r="43" spans="1:18" x14ac:dyDescent="0.2">
      <c r="A43" s="159" t="s">
        <v>250</v>
      </c>
      <c r="B43" s="167">
        <f>-B39*'Uncertainty table'!E72</f>
        <v>-1.3074714187322736E-6</v>
      </c>
      <c r="C43" s="159" t="s">
        <v>251</v>
      </c>
      <c r="E43" s="159" t="s">
        <v>10</v>
      </c>
      <c r="F43" s="159" t="s">
        <v>33</v>
      </c>
      <c r="H43" s="166"/>
      <c r="I43" s="159">
        <v>2</v>
      </c>
      <c r="J43" s="166">
        <f>'Uncertainty table'!R72</f>
        <v>-13.006200701440987</v>
      </c>
      <c r="K43" s="166">
        <f>'Uncertainty table'!S72</f>
        <v>0.38947204899886417</v>
      </c>
      <c r="M43" s="159" t="str">
        <f>'Uncertainty table'!U34</f>
        <v/>
      </c>
      <c r="N43" s="159" t="str">
        <f>'Uncertainty table'!V34</f>
        <v/>
      </c>
      <c r="O43" s="168" t="b">
        <v>1</v>
      </c>
      <c r="Q43" s="166"/>
      <c r="R43" s="166"/>
    </row>
    <row r="44" spans="1:18" x14ac:dyDescent="0.2">
      <c r="B44" s="166"/>
      <c r="H44" s="166"/>
      <c r="Q44" s="166"/>
    </row>
    <row r="45" spans="1:18" x14ac:dyDescent="0.2">
      <c r="B45" s="166"/>
      <c r="H45" s="166"/>
      <c r="Q45" s="166"/>
    </row>
  </sheetData>
  <autoFilter ref="A1:G43"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B286-E3CE-E645-8855-39F4A3380E24}">
  <dimension ref="A1:P211"/>
  <sheetViews>
    <sheetView workbookViewId="0">
      <selection activeCell="B82" sqref="B82"/>
    </sheetView>
  </sheetViews>
  <sheetFormatPr baseColWidth="10" defaultColWidth="8.83203125" defaultRowHeight="15" x14ac:dyDescent="0.2"/>
  <cols>
    <col min="1" max="1" width="35" style="3" customWidth="1"/>
    <col min="2" max="2" width="25.83203125" style="3" customWidth="1"/>
    <col min="3" max="3" width="19.5" style="66" customWidth="1"/>
    <col min="4" max="4" width="8.83203125" style="2"/>
    <col min="5" max="5" width="15" bestFit="1" customWidth="1"/>
    <col min="6" max="6" width="38" customWidth="1"/>
    <col min="7" max="16" width="8.83203125" style="53"/>
  </cols>
  <sheetData>
    <row r="1" spans="1:8" ht="16" thickBot="1" x14ac:dyDescent="0.25">
      <c r="A1" s="3" t="s">
        <v>129</v>
      </c>
    </row>
    <row r="2" spans="1:8" ht="16" x14ac:dyDescent="0.2">
      <c r="A2" s="25" t="s">
        <v>34</v>
      </c>
      <c r="B2" s="26" t="s">
        <v>35</v>
      </c>
      <c r="C2" s="59" t="s">
        <v>36</v>
      </c>
      <c r="D2" s="27" t="s">
        <v>37</v>
      </c>
      <c r="E2" s="53"/>
      <c r="F2" s="4" t="s">
        <v>38</v>
      </c>
    </row>
    <row r="3" spans="1:8" ht="16" x14ac:dyDescent="0.2">
      <c r="A3" s="28" t="s">
        <v>39</v>
      </c>
      <c r="B3" s="29"/>
      <c r="C3" s="68">
        <v>10000</v>
      </c>
      <c r="D3" s="21" t="s">
        <v>40</v>
      </c>
      <c r="E3" s="53"/>
      <c r="F3" s="123" t="s">
        <v>41</v>
      </c>
      <c r="H3" s="53">
        <f>44/12</f>
        <v>3.6666666666666665</v>
      </c>
    </row>
    <row r="4" spans="1:8" ht="16" x14ac:dyDescent="0.2">
      <c r="A4" s="28" t="s">
        <v>42</v>
      </c>
      <c r="B4" s="29"/>
      <c r="C4" s="114">
        <v>0.6</v>
      </c>
      <c r="D4" s="21"/>
      <c r="E4" s="53"/>
      <c r="F4" s="129" t="s">
        <v>43</v>
      </c>
    </row>
    <row r="5" spans="1:8" ht="17" x14ac:dyDescent="0.2">
      <c r="A5" s="28" t="s">
        <v>44</v>
      </c>
      <c r="B5" s="31" t="s">
        <v>45</v>
      </c>
      <c r="C5" s="68">
        <f>C3*C4</f>
        <v>6000</v>
      </c>
      <c r="D5" s="21" t="s">
        <v>40</v>
      </c>
      <c r="E5" s="53"/>
      <c r="F5" s="53"/>
    </row>
    <row r="6" spans="1:8" ht="17" x14ac:dyDescent="0.2">
      <c r="A6" s="28" t="s">
        <v>46</v>
      </c>
      <c r="B6" s="31" t="s">
        <v>47</v>
      </c>
      <c r="C6" s="124">
        <f>1/C4</f>
        <v>1.6666666666666667</v>
      </c>
      <c r="D6" s="21" t="s">
        <v>48</v>
      </c>
      <c r="E6" s="53"/>
      <c r="F6" s="53"/>
    </row>
    <row r="7" spans="1:8" x14ac:dyDescent="0.2">
      <c r="A7" s="32"/>
      <c r="B7" s="33"/>
      <c r="C7" s="61"/>
      <c r="D7" s="34"/>
      <c r="E7" s="53"/>
      <c r="F7" s="53"/>
    </row>
    <row r="8" spans="1:8" ht="16" x14ac:dyDescent="0.2">
      <c r="A8" s="28" t="s">
        <v>49</v>
      </c>
      <c r="B8" s="29"/>
      <c r="C8" s="114">
        <f>B68</f>
        <v>0.28023266447956297</v>
      </c>
      <c r="D8" s="21"/>
      <c r="E8" s="53"/>
      <c r="F8" s="53"/>
    </row>
    <row r="9" spans="1:8" ht="17" x14ac:dyDescent="0.2">
      <c r="A9" s="28" t="s">
        <v>50</v>
      </c>
      <c r="B9" s="31" t="s">
        <v>51</v>
      </c>
      <c r="C9" s="60">
        <f>C5*C8</f>
        <v>1681.3959868773777</v>
      </c>
      <c r="D9" s="21" t="s">
        <v>40</v>
      </c>
      <c r="E9" s="53"/>
      <c r="F9" s="53"/>
    </row>
    <row r="10" spans="1:8" ht="16" x14ac:dyDescent="0.2">
      <c r="A10" s="28" t="s">
        <v>52</v>
      </c>
      <c r="B10" s="31"/>
      <c r="C10" s="60">
        <f>1000*C9</f>
        <v>1681395.9868773776</v>
      </c>
      <c r="D10" s="21" t="s">
        <v>48</v>
      </c>
      <c r="E10" s="53"/>
      <c r="F10" s="53"/>
    </row>
    <row r="11" spans="1:8" ht="17" x14ac:dyDescent="0.2">
      <c r="A11" s="28" t="s">
        <v>53</v>
      </c>
      <c r="B11" s="31" t="s">
        <v>54</v>
      </c>
      <c r="C11" s="60">
        <f>C5/C9</f>
        <v>3.5684633761633768</v>
      </c>
      <c r="D11" s="21" t="s">
        <v>48</v>
      </c>
      <c r="E11" s="53"/>
      <c r="F11" s="53"/>
    </row>
    <row r="12" spans="1:8" ht="34" x14ac:dyDescent="0.2">
      <c r="A12" s="28" t="s">
        <v>55</v>
      </c>
      <c r="B12" s="31" t="s">
        <v>56</v>
      </c>
      <c r="C12" s="125">
        <f>C11*C27</f>
        <v>1.726951347827488</v>
      </c>
      <c r="D12" s="21" t="s">
        <v>48</v>
      </c>
      <c r="E12" s="53"/>
      <c r="F12" s="53"/>
    </row>
    <row r="13" spans="1:8" ht="16" x14ac:dyDescent="0.2">
      <c r="A13" s="35"/>
      <c r="B13" s="36"/>
      <c r="C13" s="61"/>
      <c r="D13" s="34"/>
      <c r="E13" s="53"/>
      <c r="F13" s="53"/>
    </row>
    <row r="14" spans="1:8" ht="16" x14ac:dyDescent="0.2">
      <c r="A14" s="28" t="s">
        <v>57</v>
      </c>
      <c r="B14" s="31"/>
      <c r="C14" s="115">
        <v>0.49227665199999998</v>
      </c>
      <c r="D14" s="21"/>
      <c r="E14" s="53"/>
      <c r="F14" s="53"/>
    </row>
    <row r="15" spans="1:8" ht="16" x14ac:dyDescent="0.2">
      <c r="A15" s="28" t="s">
        <v>175</v>
      </c>
      <c r="B15" s="31"/>
      <c r="C15" s="60">
        <f>C14*C12*H3</f>
        <v>3.117172034809812</v>
      </c>
      <c r="D15" s="21" t="s">
        <v>48</v>
      </c>
      <c r="E15" s="53"/>
      <c r="F15" s="53"/>
    </row>
    <row r="16" spans="1:8" ht="16" x14ac:dyDescent="0.2">
      <c r="A16" s="28" t="s">
        <v>176</v>
      </c>
      <c r="B16" s="31"/>
      <c r="C16" s="115">
        <v>0.81734008600725672</v>
      </c>
      <c r="D16" s="21"/>
      <c r="E16" s="53"/>
      <c r="F16" s="53"/>
    </row>
    <row r="17" spans="1:6" ht="16" x14ac:dyDescent="0.2">
      <c r="A17" s="28" t="s">
        <v>177</v>
      </c>
      <c r="B17" s="31"/>
      <c r="C17" s="60">
        <f>C16*C15</f>
        <v>2.5477896590308671</v>
      </c>
      <c r="D17" s="21" t="s">
        <v>48</v>
      </c>
      <c r="E17" s="53"/>
      <c r="F17" s="53"/>
    </row>
    <row r="18" spans="1:6" ht="16" x14ac:dyDescent="0.2">
      <c r="A18" s="28" t="s">
        <v>178</v>
      </c>
      <c r="B18" s="31"/>
      <c r="C18" s="124">
        <f>C15-C17</f>
        <v>0.5693823757789449</v>
      </c>
      <c r="D18" s="21"/>
      <c r="E18" s="53"/>
      <c r="F18" s="53"/>
    </row>
    <row r="19" spans="1:6" ht="16" x14ac:dyDescent="0.2">
      <c r="A19" s="28"/>
      <c r="B19" s="31"/>
      <c r="C19" s="60"/>
      <c r="D19" s="21" t="s">
        <v>48</v>
      </c>
      <c r="E19" s="53"/>
      <c r="F19" s="53"/>
    </row>
    <row r="20" spans="1:6" ht="16" x14ac:dyDescent="0.2">
      <c r="A20" s="28" t="s">
        <v>179</v>
      </c>
      <c r="B20" s="31"/>
      <c r="C20" s="60">
        <v>0.72719999999999996</v>
      </c>
      <c r="D20" s="21" t="s">
        <v>48</v>
      </c>
      <c r="E20" s="53"/>
      <c r="F20" s="53"/>
    </row>
    <row r="21" spans="1:6" ht="16" x14ac:dyDescent="0.2">
      <c r="A21" s="28" t="s">
        <v>180</v>
      </c>
      <c r="B21" s="31"/>
      <c r="C21" s="60">
        <f>C20*C17</f>
        <v>1.8527526400472465</v>
      </c>
      <c r="D21" s="21" t="s">
        <v>48</v>
      </c>
      <c r="E21" s="53"/>
      <c r="F21" s="53"/>
    </row>
    <row r="22" spans="1:6" ht="16" x14ac:dyDescent="0.2">
      <c r="A22" s="28" t="s">
        <v>181</v>
      </c>
      <c r="B22" s="31"/>
      <c r="C22" s="124">
        <f>1/C21</f>
        <v>0.53973745786944305</v>
      </c>
      <c r="D22" s="21" t="s">
        <v>48</v>
      </c>
      <c r="E22" s="53"/>
      <c r="F22" s="53"/>
    </row>
    <row r="23" spans="1:6" ht="16" x14ac:dyDescent="0.2">
      <c r="A23" s="37" t="s">
        <v>182</v>
      </c>
      <c r="B23" s="36"/>
      <c r="C23" s="124">
        <f>(C17-C21)*C22</f>
        <v>0.37513751375137522</v>
      </c>
      <c r="D23" s="21" t="s">
        <v>48</v>
      </c>
      <c r="E23" s="53"/>
      <c r="F23" s="53"/>
    </row>
    <row r="24" spans="1:6" ht="16" x14ac:dyDescent="0.2">
      <c r="A24" s="28"/>
      <c r="B24" s="31"/>
      <c r="C24" s="60"/>
      <c r="D24" s="21"/>
      <c r="E24" s="53"/>
      <c r="F24" s="53"/>
    </row>
    <row r="25" spans="1:6" ht="16" x14ac:dyDescent="0.2">
      <c r="A25" s="28" t="s">
        <v>58</v>
      </c>
      <c r="B25" s="29"/>
      <c r="C25" s="116">
        <v>273.58999999999997</v>
      </c>
      <c r="D25" s="21" t="s">
        <v>59</v>
      </c>
      <c r="E25" s="53"/>
      <c r="F25" s="53"/>
    </row>
    <row r="26" spans="1:6" ht="16" x14ac:dyDescent="0.2">
      <c r="A26" s="28" t="s">
        <v>60</v>
      </c>
      <c r="B26" s="29"/>
      <c r="C26" s="116">
        <v>1316.65</v>
      </c>
      <c r="D26" s="21" t="s">
        <v>59</v>
      </c>
      <c r="E26" s="53"/>
      <c r="F26" s="53"/>
    </row>
    <row r="27" spans="1:6" ht="16" x14ac:dyDescent="0.2">
      <c r="A27" s="28" t="s">
        <v>61</v>
      </c>
      <c r="B27" s="29"/>
      <c r="C27" s="114">
        <f>E68</f>
        <v>0.48394817762826947</v>
      </c>
      <c r="D27" s="21"/>
      <c r="E27" s="53"/>
      <c r="F27" s="53"/>
    </row>
    <row r="28" spans="1:6" ht="34" x14ac:dyDescent="0.2">
      <c r="A28" s="28" t="s">
        <v>62</v>
      </c>
      <c r="B28" s="31" t="s">
        <v>63</v>
      </c>
      <c r="C28" s="60">
        <f>C26*C27</f>
        <v>637.19036807426107</v>
      </c>
      <c r="D28" s="21" t="s">
        <v>59</v>
      </c>
      <c r="E28" s="53"/>
      <c r="F28" s="53"/>
    </row>
    <row r="29" spans="1:6" ht="34" x14ac:dyDescent="0.2">
      <c r="A29" s="28" t="s">
        <v>64</v>
      </c>
      <c r="B29" s="31" t="s">
        <v>65</v>
      </c>
      <c r="C29" s="60">
        <f>C25*C27</f>
        <v>132.40338191731823</v>
      </c>
      <c r="D29" s="21" t="s">
        <v>59</v>
      </c>
      <c r="E29" s="53"/>
      <c r="F29" s="53"/>
    </row>
    <row r="30" spans="1:6" ht="17" x14ac:dyDescent="0.2">
      <c r="A30" s="28" t="s">
        <v>66</v>
      </c>
      <c r="B30" s="31" t="s">
        <v>67</v>
      </c>
      <c r="C30" s="124">
        <f>((C28*B32)/C10)</f>
        <v>0.37896508201951046</v>
      </c>
      <c r="D30" s="21" t="s">
        <v>68</v>
      </c>
      <c r="E30" s="53"/>
      <c r="F30" s="53"/>
    </row>
    <row r="31" spans="1:6" ht="34" x14ac:dyDescent="0.2">
      <c r="A31" s="28" t="s">
        <v>69</v>
      </c>
      <c r="B31" s="31" t="s">
        <v>70</v>
      </c>
      <c r="C31" s="124">
        <f>((C29*B33)/C10)</f>
        <v>2.1873917575467767E-2</v>
      </c>
      <c r="D31" s="21" t="s">
        <v>71</v>
      </c>
      <c r="E31" s="53"/>
      <c r="F31" s="53"/>
    </row>
    <row r="32" spans="1:6" ht="16" x14ac:dyDescent="0.2">
      <c r="A32" s="28" t="s">
        <v>72</v>
      </c>
      <c r="B32" s="6">
        <v>1000</v>
      </c>
      <c r="C32" s="63"/>
      <c r="D32" s="21"/>
      <c r="E32" s="53"/>
      <c r="F32" s="53"/>
    </row>
    <row r="33" spans="1:6" ht="16" x14ac:dyDescent="0.2">
      <c r="A33" s="28" t="s">
        <v>73</v>
      </c>
      <c r="B33" s="6">
        <v>277.77777800000001</v>
      </c>
      <c r="C33" s="63"/>
      <c r="D33" s="21"/>
      <c r="E33" s="53"/>
      <c r="F33" s="53"/>
    </row>
    <row r="34" spans="1:6" x14ac:dyDescent="0.2">
      <c r="A34" s="32"/>
      <c r="B34" s="33"/>
      <c r="C34" s="61"/>
      <c r="D34" s="34"/>
      <c r="E34" s="53"/>
      <c r="F34" s="53"/>
    </row>
    <row r="35" spans="1:6" ht="16" x14ac:dyDescent="0.2">
      <c r="A35" s="28" t="s">
        <v>74</v>
      </c>
      <c r="B35" s="6"/>
      <c r="C35" s="63"/>
      <c r="D35" s="21"/>
      <c r="E35" s="53"/>
      <c r="F35" s="53"/>
    </row>
    <row r="36" spans="1:6" x14ac:dyDescent="0.2">
      <c r="A36" s="39"/>
      <c r="B36" s="6"/>
      <c r="C36" s="63"/>
      <c r="D36" s="21"/>
      <c r="E36" s="53"/>
      <c r="F36" s="53"/>
    </row>
    <row r="37" spans="1:6" ht="17" x14ac:dyDescent="0.2">
      <c r="A37" s="28" t="s">
        <v>75</v>
      </c>
      <c r="B37" s="31" t="s">
        <v>76</v>
      </c>
      <c r="C37" s="115">
        <f>1-C4</f>
        <v>0.4</v>
      </c>
      <c r="D37" s="21"/>
      <c r="E37" s="53"/>
      <c r="F37" s="53"/>
    </row>
    <row r="38" spans="1:6" ht="34" x14ac:dyDescent="0.2">
      <c r="A38" s="28" t="s">
        <v>77</v>
      </c>
      <c r="B38" s="31" t="s">
        <v>78</v>
      </c>
      <c r="C38" s="58">
        <v>0</v>
      </c>
      <c r="D38" s="21" t="s">
        <v>59</v>
      </c>
      <c r="E38" s="53"/>
      <c r="F38" s="53"/>
    </row>
    <row r="39" spans="1:6" ht="16" x14ac:dyDescent="0.2">
      <c r="A39" s="28" t="s">
        <v>79</v>
      </c>
      <c r="B39" s="6"/>
      <c r="C39" s="63">
        <f>(C38/10000)*B33*0.001</f>
        <v>0</v>
      </c>
      <c r="D39" s="21" t="s">
        <v>71</v>
      </c>
      <c r="E39" s="53"/>
      <c r="F39" s="53"/>
    </row>
    <row r="40" spans="1:6" ht="51" x14ac:dyDescent="0.2">
      <c r="A40" s="28" t="s">
        <v>80</v>
      </c>
      <c r="B40" s="31" t="s">
        <v>81</v>
      </c>
      <c r="C40" s="60">
        <f>(C37*B74*B33)/1000</f>
        <v>1.3588888899760003E-2</v>
      </c>
      <c r="D40" s="21" t="s">
        <v>71</v>
      </c>
      <c r="E40" s="53"/>
      <c r="F40" s="53"/>
    </row>
    <row r="41" spans="1:6" ht="16" x14ac:dyDescent="0.2">
      <c r="A41" s="28" t="s">
        <v>82</v>
      </c>
      <c r="B41" s="29"/>
      <c r="C41" s="124">
        <f>SUM(C39:C40)</f>
        <v>1.3588888899760003E-2</v>
      </c>
      <c r="D41" s="21" t="s">
        <v>71</v>
      </c>
      <c r="E41" s="53">
        <f>C41*10000</f>
        <v>135.88888899760002</v>
      </c>
      <c r="F41" s="53"/>
    </row>
    <row r="42" spans="1:6" ht="16" x14ac:dyDescent="0.2">
      <c r="A42" s="28" t="s">
        <v>83</v>
      </c>
      <c r="B42" s="6"/>
      <c r="C42" s="67">
        <v>2.7</v>
      </c>
      <c r="D42" s="21" t="s">
        <v>84</v>
      </c>
      <c r="E42" s="53"/>
      <c r="F42" s="53"/>
    </row>
    <row r="43" spans="1:6" ht="34" x14ac:dyDescent="0.2">
      <c r="A43" s="28" t="s">
        <v>85</v>
      </c>
      <c r="B43" s="31" t="s">
        <v>86</v>
      </c>
      <c r="C43" s="126">
        <f>C37*C42*B32/1000</f>
        <v>1.08</v>
      </c>
      <c r="D43" s="21" t="s">
        <v>68</v>
      </c>
      <c r="E43" s="53">
        <f>C43*C3</f>
        <v>10800</v>
      </c>
      <c r="F43" s="53"/>
    </row>
    <row r="44" spans="1:6" x14ac:dyDescent="0.2">
      <c r="A44" s="40"/>
      <c r="B44" s="41"/>
      <c r="C44" s="62"/>
      <c r="D44" s="42"/>
      <c r="E44" s="53"/>
      <c r="F44" s="53"/>
    </row>
    <row r="45" spans="1:6" x14ac:dyDescent="0.2">
      <c r="A45" s="43" t="s">
        <v>87</v>
      </c>
      <c r="B45" s="29"/>
      <c r="C45" s="60"/>
      <c r="D45" s="44"/>
      <c r="E45" s="53"/>
      <c r="F45" s="53"/>
    </row>
    <row r="46" spans="1:6" ht="16" x14ac:dyDescent="0.2">
      <c r="A46" s="39" t="s">
        <v>114</v>
      </c>
      <c r="B46" s="29"/>
      <c r="C46" s="69">
        <v>20</v>
      </c>
      <c r="D46" s="44" t="s">
        <v>112</v>
      </c>
      <c r="E46" s="53"/>
      <c r="F46" s="53"/>
    </row>
    <row r="47" spans="1:6" ht="16" x14ac:dyDescent="0.2">
      <c r="A47" s="45" t="s">
        <v>115</v>
      </c>
      <c r="B47" s="6"/>
      <c r="C47" s="68">
        <v>10000</v>
      </c>
      <c r="D47" s="21" t="s">
        <v>113</v>
      </c>
      <c r="E47" s="53"/>
      <c r="F47" s="53"/>
    </row>
    <row r="48" spans="1:6" ht="16" x14ac:dyDescent="0.2">
      <c r="A48" s="45" t="s">
        <v>117</v>
      </c>
      <c r="B48" s="6"/>
      <c r="C48" s="30">
        <f>C47*C8*C46</f>
        <v>56046.532895912598</v>
      </c>
      <c r="D48" s="21" t="s">
        <v>40</v>
      </c>
      <c r="E48" s="53"/>
      <c r="F48" s="53"/>
    </row>
    <row r="49" spans="1:6" ht="16" x14ac:dyDescent="0.2">
      <c r="A49" s="45" t="s">
        <v>116</v>
      </c>
      <c r="B49" s="46"/>
      <c r="C49" s="38">
        <f>C48*1000</f>
        <v>56046532.895912595</v>
      </c>
      <c r="D49" s="21" t="s">
        <v>48</v>
      </c>
      <c r="E49" s="53"/>
      <c r="F49" s="53"/>
    </row>
    <row r="50" spans="1:6" ht="32" x14ac:dyDescent="0.2">
      <c r="A50" s="47" t="s">
        <v>111</v>
      </c>
      <c r="B50" s="6"/>
      <c r="C50" s="48">
        <f>1/C49</f>
        <v>1.7842316880816883E-8</v>
      </c>
      <c r="D50" s="21"/>
      <c r="E50" s="53"/>
      <c r="F50" s="53"/>
    </row>
    <row r="51" spans="1:6" ht="16" x14ac:dyDescent="0.2">
      <c r="A51" s="49" t="s">
        <v>88</v>
      </c>
      <c r="B51" s="6"/>
      <c r="C51" s="127">
        <f>C50*E68</f>
        <v>8.6347567391374397E-9</v>
      </c>
      <c r="D51" s="21"/>
      <c r="E51" s="53"/>
      <c r="F51" s="53"/>
    </row>
    <row r="52" spans="1:6" ht="16" thickBot="1" x14ac:dyDescent="0.25">
      <c r="A52" s="50"/>
      <c r="B52" s="51"/>
      <c r="C52" s="64"/>
      <c r="D52" s="52"/>
      <c r="E52" s="53"/>
      <c r="F52" s="53"/>
    </row>
    <row r="53" spans="1:6" ht="16" thickBot="1" x14ac:dyDescent="0.25">
      <c r="A53" s="6"/>
      <c r="B53" s="6"/>
      <c r="C53" s="63"/>
      <c r="D53" s="5"/>
      <c r="E53" s="53"/>
      <c r="F53" s="53"/>
    </row>
    <row r="54" spans="1:6" x14ac:dyDescent="0.2">
      <c r="A54" s="18" t="s">
        <v>89</v>
      </c>
      <c r="B54" s="19" t="s">
        <v>90</v>
      </c>
      <c r="C54" s="63"/>
      <c r="D54" s="5"/>
      <c r="E54" s="53"/>
      <c r="F54" s="53"/>
    </row>
    <row r="55" spans="1:6" x14ac:dyDescent="0.2">
      <c r="A55" s="20" t="s">
        <v>91</v>
      </c>
      <c r="B55" s="21">
        <v>33.9</v>
      </c>
      <c r="C55" s="63"/>
      <c r="D55" s="5"/>
      <c r="E55" s="53"/>
      <c r="F55" s="53"/>
    </row>
    <row r="56" spans="1:6" x14ac:dyDescent="0.2">
      <c r="A56" s="20" t="s">
        <v>92</v>
      </c>
      <c r="B56" s="21">
        <v>32.07</v>
      </c>
      <c r="C56" s="63"/>
      <c r="D56" s="5"/>
      <c r="E56" s="53"/>
      <c r="F56" s="53"/>
    </row>
    <row r="57" spans="1:6" x14ac:dyDescent="0.2">
      <c r="A57" s="20" t="s">
        <v>93</v>
      </c>
      <c r="B57" s="21">
        <v>21.61</v>
      </c>
      <c r="C57" s="63"/>
      <c r="D57" s="5"/>
      <c r="E57" s="53"/>
      <c r="F57" s="53"/>
    </row>
    <row r="58" spans="1:6" x14ac:dyDescent="0.2">
      <c r="A58" s="20" t="s">
        <v>94</v>
      </c>
      <c r="B58" s="21">
        <v>25.63</v>
      </c>
      <c r="C58" s="63"/>
      <c r="D58" s="5"/>
      <c r="E58" s="53"/>
      <c r="F58" s="53"/>
    </row>
    <row r="59" spans="1:6" x14ac:dyDescent="0.2">
      <c r="A59" s="20" t="s">
        <v>95</v>
      </c>
      <c r="B59" s="21">
        <v>30.8</v>
      </c>
      <c r="C59" s="63"/>
      <c r="D59" s="5"/>
      <c r="E59" s="53"/>
      <c r="F59" s="53"/>
    </row>
    <row r="60" spans="1:6" x14ac:dyDescent="0.2">
      <c r="A60" s="20" t="s">
        <v>96</v>
      </c>
      <c r="B60" s="21">
        <v>34.9</v>
      </c>
      <c r="C60" s="63"/>
      <c r="D60" s="5"/>
      <c r="E60" s="53"/>
      <c r="F60" s="53"/>
    </row>
    <row r="61" spans="1:6" x14ac:dyDescent="0.2">
      <c r="A61" s="22" t="s">
        <v>97</v>
      </c>
      <c r="B61" s="23" t="s">
        <v>90</v>
      </c>
      <c r="C61" s="63"/>
      <c r="D61" s="5"/>
      <c r="E61" s="53"/>
      <c r="F61" s="53"/>
    </row>
    <row r="62" spans="1:6" x14ac:dyDescent="0.2">
      <c r="A62" s="20" t="s">
        <v>98</v>
      </c>
      <c r="B62" s="117">
        <v>16.3318217897409</v>
      </c>
      <c r="C62" s="63"/>
      <c r="D62" s="5"/>
      <c r="E62" s="53"/>
      <c r="F62" s="53"/>
    </row>
    <row r="63" spans="1:6" ht="16" thickBot="1" x14ac:dyDescent="0.25">
      <c r="A63" s="24" t="s">
        <v>99</v>
      </c>
      <c r="B63" s="118">
        <v>6.7907301807166363</v>
      </c>
      <c r="C63" s="63"/>
      <c r="D63" s="5"/>
      <c r="E63" s="53"/>
      <c r="F63" s="53"/>
    </row>
    <row r="64" spans="1:6" ht="16" thickBot="1" x14ac:dyDescent="0.25">
      <c r="A64" s="6"/>
      <c r="B64" s="6"/>
      <c r="C64" s="63"/>
      <c r="D64" s="5"/>
      <c r="E64" s="53"/>
      <c r="F64" s="53"/>
    </row>
    <row r="65" spans="1:6" x14ac:dyDescent="0.2">
      <c r="A65" s="8" t="s">
        <v>100</v>
      </c>
      <c r="B65" s="9" t="s">
        <v>110</v>
      </c>
      <c r="C65" s="65" t="s">
        <v>101</v>
      </c>
      <c r="D65" s="9" t="s">
        <v>102</v>
      </c>
      <c r="E65" s="10" t="s">
        <v>103</v>
      </c>
      <c r="F65" s="53"/>
    </row>
    <row r="66" spans="1:6" x14ac:dyDescent="0.2">
      <c r="A66" s="11" t="s">
        <v>104</v>
      </c>
      <c r="B66" s="7">
        <v>0.54933970914715313</v>
      </c>
      <c r="C66" s="38">
        <f>B66*C5</f>
        <v>3296.0382548829189</v>
      </c>
      <c r="D66" s="38">
        <f>C66*B62</f>
        <v>53830.309390916424</v>
      </c>
      <c r="E66" s="57">
        <f>D66/(SUM(D66:D68))</f>
        <v>0.45704191424097251</v>
      </c>
      <c r="F66" s="53"/>
    </row>
    <row r="67" spans="1:6" x14ac:dyDescent="0.2">
      <c r="A67" s="11" t="s">
        <v>99</v>
      </c>
      <c r="B67" s="7">
        <v>0.17057998004204297</v>
      </c>
      <c r="C67" s="38">
        <f>B67*C5</f>
        <v>1023.4798802522579</v>
      </c>
      <c r="D67" s="38">
        <f>C67*B63</f>
        <v>6950.1757121852561</v>
      </c>
      <c r="E67" s="57">
        <f>D67/(SUM(D66:D68))</f>
        <v>5.9009908130758112E-2</v>
      </c>
      <c r="F67" s="53"/>
    </row>
    <row r="68" spans="1:6" ht="16" thickBot="1" x14ac:dyDescent="0.25">
      <c r="A68" s="12" t="s">
        <v>105</v>
      </c>
      <c r="B68" s="13">
        <v>0.28023266447956297</v>
      </c>
      <c r="C68" s="70">
        <f>B68*C5</f>
        <v>1681.3959868773777</v>
      </c>
      <c r="D68" s="70">
        <f>C68*B55</f>
        <v>56999.323955143103</v>
      </c>
      <c r="E68" s="128">
        <f>D68/(SUM(D66:D68))</f>
        <v>0.48394817762826947</v>
      </c>
      <c r="F68" s="53"/>
    </row>
    <row r="69" spans="1:6" ht="16" thickBot="1" x14ac:dyDescent="0.25">
      <c r="A69" s="6"/>
      <c r="B69" s="6"/>
      <c r="C69" s="63"/>
      <c r="D69" s="5"/>
      <c r="E69" s="53"/>
      <c r="F69" s="53"/>
    </row>
    <row r="70" spans="1:6" x14ac:dyDescent="0.2">
      <c r="A70" s="14" t="s">
        <v>106</v>
      </c>
      <c r="B70" s="15" t="s">
        <v>107</v>
      </c>
      <c r="C70" s="63"/>
      <c r="D70" s="5"/>
      <c r="E70" s="53"/>
      <c r="F70" s="53"/>
    </row>
    <row r="71" spans="1:6" ht="16" thickBot="1" x14ac:dyDescent="0.25">
      <c r="A71" s="16" t="s">
        <v>95</v>
      </c>
      <c r="B71" s="134">
        <v>19.36</v>
      </c>
      <c r="C71" s="63"/>
      <c r="D71" s="5"/>
      <c r="E71" s="53"/>
      <c r="F71" s="53"/>
    </row>
    <row r="72" spans="1:6" ht="16" thickBot="1" x14ac:dyDescent="0.25">
      <c r="A72" s="6"/>
      <c r="B72" s="55"/>
      <c r="C72" s="63"/>
      <c r="D72" s="5"/>
      <c r="E72" s="53"/>
      <c r="F72" s="53"/>
    </row>
    <row r="73" spans="1:6" x14ac:dyDescent="0.2">
      <c r="A73" s="14" t="s">
        <v>108</v>
      </c>
      <c r="B73" s="56">
        <v>5.0000000000000001E-4</v>
      </c>
      <c r="C73" s="63"/>
      <c r="D73" s="5"/>
      <c r="E73" s="53"/>
      <c r="F73" s="53"/>
    </row>
    <row r="74" spans="1:6" ht="16" thickBot="1" x14ac:dyDescent="0.25">
      <c r="A74" s="16" t="s">
        <v>109</v>
      </c>
      <c r="B74" s="17">
        <v>0.12230000000000001</v>
      </c>
      <c r="C74" s="63"/>
      <c r="D74" s="5"/>
      <c r="E74" s="53"/>
      <c r="F74" s="53"/>
    </row>
    <row r="75" spans="1:6" x14ac:dyDescent="0.2">
      <c r="A75" s="6"/>
      <c r="B75" s="6"/>
      <c r="C75" s="63"/>
      <c r="D75" s="5"/>
      <c r="E75" s="53"/>
      <c r="F75" s="53"/>
    </row>
    <row r="76" spans="1:6" x14ac:dyDescent="0.2">
      <c r="A76" s="186" t="s">
        <v>240</v>
      </c>
      <c r="B76" s="186"/>
      <c r="C76" s="186"/>
      <c r="D76" s="105" t="s">
        <v>239</v>
      </c>
      <c r="E76" s="53"/>
      <c r="F76" s="53"/>
    </row>
    <row r="77" spans="1:6" x14ac:dyDescent="0.2">
      <c r="A77" s="186"/>
      <c r="B77" s="186"/>
      <c r="C77" s="186"/>
      <c r="D77" s="5"/>
      <c r="F77" s="53"/>
    </row>
    <row r="78" spans="1:6" x14ac:dyDescent="0.2">
      <c r="A78" s="176">
        <f>[1]Data!$L$58</f>
        <v>1.9014285714285714E-5</v>
      </c>
      <c r="B78" s="6">
        <f>[1]Data!$P$58</f>
        <v>1.7268547782288333</v>
      </c>
      <c r="C78" s="6"/>
      <c r="D78" s="5"/>
      <c r="E78" s="53"/>
      <c r="F78" s="53"/>
    </row>
    <row r="79" spans="1:6" x14ac:dyDescent="0.2">
      <c r="A79" s="6" t="s">
        <v>333</v>
      </c>
      <c r="B79" s="6" t="s">
        <v>291</v>
      </c>
      <c r="C79" s="177" t="s">
        <v>334</v>
      </c>
      <c r="D79" s="5"/>
      <c r="E79" s="53"/>
      <c r="F79" s="53"/>
    </row>
    <row r="80" spans="1:6" x14ac:dyDescent="0.2">
      <c r="A80" s="6" t="s">
        <v>188</v>
      </c>
      <c r="B80" s="6"/>
      <c r="C80" s="63"/>
      <c r="D80" s="5"/>
      <c r="E80" s="53"/>
      <c r="F80" s="53"/>
    </row>
    <row r="81" spans="1:6" x14ac:dyDescent="0.2">
      <c r="A81" s="6"/>
      <c r="B81" s="6"/>
      <c r="C81" s="63"/>
      <c r="D81" s="5"/>
      <c r="E81" s="53"/>
      <c r="F81" s="53"/>
    </row>
    <row r="82" spans="1:6" x14ac:dyDescent="0.2">
      <c r="A82" s="6"/>
      <c r="B82" s="6"/>
      <c r="C82" s="63"/>
      <c r="D82" s="5"/>
      <c r="E82" s="53"/>
      <c r="F82" s="53"/>
    </row>
    <row r="83" spans="1:6" x14ac:dyDescent="0.2">
      <c r="A83" s="6"/>
      <c r="B83" s="6"/>
      <c r="C83" s="63"/>
      <c r="D83" s="5"/>
      <c r="E83" s="53"/>
      <c r="F83" s="53"/>
    </row>
    <row r="84" spans="1:6" x14ac:dyDescent="0.2">
      <c r="A84" s="6"/>
      <c r="B84" s="6"/>
      <c r="C84" s="63"/>
      <c r="D84" s="5"/>
      <c r="E84" s="53"/>
      <c r="F84" s="53"/>
    </row>
    <row r="85" spans="1:6" x14ac:dyDescent="0.2">
      <c r="A85" s="6"/>
      <c r="B85" s="6"/>
      <c r="C85" s="63"/>
      <c r="D85" s="5"/>
      <c r="E85" s="53"/>
      <c r="F85" s="53"/>
    </row>
    <row r="86" spans="1:6" x14ac:dyDescent="0.2">
      <c r="A86" s="6"/>
      <c r="B86" s="6"/>
      <c r="C86" s="63"/>
      <c r="D86" s="5"/>
      <c r="E86" s="53"/>
      <c r="F86" s="53"/>
    </row>
    <row r="87" spans="1:6" x14ac:dyDescent="0.2">
      <c r="A87" s="6"/>
      <c r="B87" s="6"/>
      <c r="C87" s="63"/>
      <c r="D87" s="5"/>
      <c r="E87" s="53"/>
      <c r="F87" s="53"/>
    </row>
    <row r="88" spans="1:6" x14ac:dyDescent="0.2">
      <c r="A88" s="6"/>
      <c r="B88" s="6"/>
      <c r="C88" s="63"/>
      <c r="D88" s="5"/>
      <c r="E88" s="53"/>
      <c r="F88" s="53"/>
    </row>
    <row r="89" spans="1:6" x14ac:dyDescent="0.2">
      <c r="A89" s="6"/>
      <c r="B89" s="6"/>
      <c r="C89" s="63"/>
      <c r="D89" s="5"/>
      <c r="E89" s="53"/>
      <c r="F89" s="53"/>
    </row>
    <row r="90" spans="1:6" x14ac:dyDescent="0.2">
      <c r="A90" s="6"/>
      <c r="B90" s="6"/>
      <c r="C90" s="63"/>
      <c r="D90" s="5"/>
      <c r="E90" s="53"/>
      <c r="F90" s="53"/>
    </row>
    <row r="91" spans="1:6" x14ac:dyDescent="0.2">
      <c r="A91" s="6"/>
      <c r="B91" s="6"/>
      <c r="C91" s="63"/>
      <c r="D91" s="5"/>
      <c r="E91" s="53"/>
      <c r="F91" s="53"/>
    </row>
    <row r="92" spans="1:6" x14ac:dyDescent="0.2">
      <c r="A92" s="6"/>
      <c r="B92" s="6"/>
      <c r="C92" s="63"/>
      <c r="D92" s="5"/>
      <c r="E92" s="53"/>
      <c r="F92" s="53"/>
    </row>
    <row r="93" spans="1:6" x14ac:dyDescent="0.2">
      <c r="A93" s="6"/>
      <c r="B93" s="6"/>
      <c r="C93" s="63"/>
      <c r="D93" s="5"/>
      <c r="E93" s="53"/>
      <c r="F93" s="53"/>
    </row>
    <row r="94" spans="1:6" x14ac:dyDescent="0.2">
      <c r="A94" s="6"/>
      <c r="B94" s="6"/>
      <c r="C94" s="63"/>
      <c r="D94" s="5"/>
      <c r="E94" s="53"/>
      <c r="F94" s="53"/>
    </row>
    <row r="95" spans="1:6" x14ac:dyDescent="0.2">
      <c r="A95" s="6"/>
      <c r="B95" s="6"/>
      <c r="C95" s="63"/>
      <c r="D95" s="5"/>
      <c r="E95" s="53"/>
      <c r="F95" s="53"/>
    </row>
    <row r="96" spans="1:6" x14ac:dyDescent="0.2">
      <c r="A96" s="6"/>
      <c r="B96" s="6"/>
      <c r="C96" s="63"/>
      <c r="D96" s="5"/>
      <c r="E96" s="53"/>
      <c r="F96" s="53"/>
    </row>
    <row r="97" spans="1:6" x14ac:dyDescent="0.2">
      <c r="A97" s="6"/>
      <c r="B97" s="6"/>
      <c r="C97" s="63"/>
      <c r="D97" s="5"/>
      <c r="E97" s="53"/>
      <c r="F97" s="53"/>
    </row>
    <row r="98" spans="1:6" x14ac:dyDescent="0.2">
      <c r="A98" s="6"/>
      <c r="B98" s="6"/>
      <c r="C98" s="63"/>
      <c r="D98" s="5"/>
      <c r="E98" s="53"/>
      <c r="F98" s="53"/>
    </row>
    <row r="99" spans="1:6" x14ac:dyDescent="0.2">
      <c r="A99" s="6"/>
      <c r="B99" s="6"/>
      <c r="C99" s="63"/>
      <c r="D99" s="5"/>
      <c r="E99" s="53"/>
      <c r="F99" s="53"/>
    </row>
    <row r="100" spans="1:6" x14ac:dyDescent="0.2">
      <c r="A100" s="6"/>
      <c r="B100" s="6"/>
      <c r="C100" s="63"/>
      <c r="D100" s="5"/>
      <c r="E100" s="53"/>
      <c r="F100" s="53"/>
    </row>
    <row r="101" spans="1:6" x14ac:dyDescent="0.2">
      <c r="A101" s="6"/>
      <c r="B101" s="6"/>
      <c r="C101" s="63"/>
      <c r="D101" s="5"/>
      <c r="E101" s="53"/>
      <c r="F101" s="53"/>
    </row>
    <row r="102" spans="1:6" x14ac:dyDescent="0.2">
      <c r="A102" s="6"/>
      <c r="B102" s="6"/>
      <c r="C102" s="63"/>
      <c r="D102" s="5"/>
      <c r="E102" s="53"/>
      <c r="F102" s="53"/>
    </row>
    <row r="103" spans="1:6" x14ac:dyDescent="0.2">
      <c r="A103" s="6"/>
      <c r="B103" s="6"/>
      <c r="C103" s="63"/>
      <c r="D103" s="5"/>
      <c r="E103" s="53"/>
      <c r="F103" s="53"/>
    </row>
    <row r="104" spans="1:6" x14ac:dyDescent="0.2">
      <c r="A104" s="6"/>
      <c r="B104" s="6"/>
      <c r="C104" s="63"/>
      <c r="D104" s="5"/>
      <c r="E104" s="53"/>
      <c r="F104" s="53"/>
    </row>
    <row r="105" spans="1:6" x14ac:dyDescent="0.2">
      <c r="A105" s="6"/>
      <c r="B105" s="6"/>
      <c r="C105" s="63"/>
      <c r="D105" s="5"/>
      <c r="E105" s="53"/>
      <c r="F105" s="53"/>
    </row>
    <row r="106" spans="1:6" x14ac:dyDescent="0.2">
      <c r="A106" s="6"/>
      <c r="B106" s="6"/>
      <c r="C106" s="63"/>
      <c r="D106" s="5"/>
      <c r="E106" s="53"/>
      <c r="F106" s="53"/>
    </row>
    <row r="107" spans="1:6" x14ac:dyDescent="0.2">
      <c r="A107" s="6"/>
      <c r="B107" s="6"/>
      <c r="C107" s="63"/>
      <c r="D107" s="5"/>
      <c r="E107" s="53"/>
      <c r="F107" s="53"/>
    </row>
    <row r="108" spans="1:6" x14ac:dyDescent="0.2">
      <c r="A108" s="6"/>
      <c r="B108" s="6"/>
      <c r="C108" s="63"/>
      <c r="D108" s="5"/>
      <c r="E108" s="53"/>
      <c r="F108" s="53"/>
    </row>
    <row r="109" spans="1:6" x14ac:dyDescent="0.2">
      <c r="A109" s="6"/>
      <c r="B109" s="6"/>
      <c r="C109" s="63"/>
      <c r="D109" s="5"/>
      <c r="E109" s="53"/>
      <c r="F109" s="53"/>
    </row>
    <row r="110" spans="1:6" x14ac:dyDescent="0.2">
      <c r="A110" s="6"/>
      <c r="B110" s="6"/>
      <c r="C110" s="63"/>
      <c r="D110" s="5"/>
      <c r="E110" s="53"/>
      <c r="F110" s="53"/>
    </row>
    <row r="111" spans="1:6" x14ac:dyDescent="0.2">
      <c r="A111" s="6"/>
      <c r="B111" s="6"/>
      <c r="C111" s="63"/>
      <c r="D111" s="5"/>
      <c r="E111" s="53"/>
      <c r="F111" s="53"/>
    </row>
    <row r="112" spans="1:6" x14ac:dyDescent="0.2">
      <c r="A112" s="6"/>
      <c r="B112" s="6"/>
      <c r="C112" s="63"/>
      <c r="D112" s="5"/>
      <c r="E112" s="53"/>
      <c r="F112" s="53"/>
    </row>
    <row r="113" spans="1:6" x14ac:dyDescent="0.2">
      <c r="A113" s="6"/>
      <c r="B113" s="6"/>
      <c r="C113" s="63"/>
      <c r="D113" s="5"/>
      <c r="E113" s="53"/>
      <c r="F113" s="53"/>
    </row>
    <row r="114" spans="1:6" x14ac:dyDescent="0.2">
      <c r="A114" s="6"/>
      <c r="B114" s="6"/>
      <c r="C114" s="63"/>
      <c r="D114" s="5"/>
      <c r="E114" s="53"/>
      <c r="F114" s="53"/>
    </row>
    <row r="115" spans="1:6" x14ac:dyDescent="0.2">
      <c r="A115" s="6"/>
      <c r="B115" s="6"/>
      <c r="C115" s="63"/>
      <c r="D115" s="5"/>
      <c r="E115" s="53"/>
      <c r="F115" s="53"/>
    </row>
    <row r="116" spans="1:6" x14ac:dyDescent="0.2">
      <c r="A116" s="6"/>
      <c r="B116" s="6"/>
      <c r="C116" s="63"/>
      <c r="D116" s="5"/>
      <c r="E116" s="53"/>
      <c r="F116" s="53"/>
    </row>
    <row r="117" spans="1:6" x14ac:dyDescent="0.2">
      <c r="A117" s="6"/>
      <c r="B117" s="6"/>
      <c r="C117" s="63"/>
      <c r="D117" s="5"/>
      <c r="E117" s="53"/>
      <c r="F117" s="53"/>
    </row>
    <row r="118" spans="1:6" x14ac:dyDescent="0.2">
      <c r="A118" s="6"/>
      <c r="B118" s="6"/>
      <c r="C118" s="63"/>
      <c r="D118" s="5"/>
      <c r="E118" s="53"/>
      <c r="F118" s="53"/>
    </row>
    <row r="119" spans="1:6" x14ac:dyDescent="0.2">
      <c r="A119" s="6"/>
      <c r="B119" s="6"/>
      <c r="C119" s="63"/>
      <c r="D119" s="5"/>
      <c r="E119" s="53"/>
      <c r="F119" s="53"/>
    </row>
    <row r="120" spans="1:6" x14ac:dyDescent="0.2">
      <c r="A120" s="6"/>
      <c r="B120" s="6"/>
      <c r="C120" s="63"/>
      <c r="D120" s="5"/>
      <c r="E120" s="53"/>
      <c r="F120" s="53"/>
    </row>
    <row r="121" spans="1:6" x14ac:dyDescent="0.2">
      <c r="A121" s="6"/>
      <c r="B121" s="6"/>
      <c r="C121" s="63"/>
      <c r="D121" s="5"/>
      <c r="E121" s="53"/>
      <c r="F121" s="53"/>
    </row>
    <row r="122" spans="1:6" x14ac:dyDescent="0.2">
      <c r="A122" s="6"/>
      <c r="B122" s="6"/>
      <c r="C122" s="63"/>
      <c r="D122" s="5"/>
      <c r="E122" s="53"/>
      <c r="F122" s="53"/>
    </row>
    <row r="123" spans="1:6" x14ac:dyDescent="0.2">
      <c r="A123" s="6"/>
      <c r="B123" s="6"/>
      <c r="C123" s="63"/>
      <c r="D123" s="5"/>
      <c r="E123" s="53"/>
      <c r="F123" s="53"/>
    </row>
    <row r="124" spans="1:6" x14ac:dyDescent="0.2">
      <c r="A124" s="6"/>
      <c r="B124" s="6"/>
      <c r="C124" s="63"/>
      <c r="D124" s="5"/>
      <c r="E124" s="53"/>
      <c r="F124" s="53"/>
    </row>
    <row r="125" spans="1:6" x14ac:dyDescent="0.2">
      <c r="A125" s="6"/>
      <c r="B125" s="6"/>
      <c r="C125" s="63"/>
      <c r="D125" s="5"/>
      <c r="E125" s="53"/>
      <c r="F125" s="53"/>
    </row>
    <row r="126" spans="1:6" x14ac:dyDescent="0.2">
      <c r="A126" s="6"/>
      <c r="B126" s="6"/>
      <c r="C126" s="63"/>
      <c r="D126" s="5"/>
      <c r="E126" s="53"/>
      <c r="F126" s="53"/>
    </row>
    <row r="127" spans="1:6" x14ac:dyDescent="0.2">
      <c r="A127" s="6"/>
      <c r="B127" s="6"/>
      <c r="C127" s="63"/>
      <c r="D127" s="5"/>
      <c r="E127" s="53"/>
      <c r="F127" s="53"/>
    </row>
    <row r="128" spans="1:6" x14ac:dyDescent="0.2">
      <c r="A128" s="6"/>
      <c r="B128" s="6"/>
      <c r="C128" s="63"/>
      <c r="D128" s="5"/>
      <c r="E128" s="53"/>
      <c r="F128" s="53"/>
    </row>
    <row r="129" spans="1:6" x14ac:dyDescent="0.2">
      <c r="A129" s="6"/>
      <c r="B129" s="6"/>
      <c r="C129" s="63"/>
      <c r="D129" s="5"/>
      <c r="E129" s="53"/>
      <c r="F129" s="53"/>
    </row>
    <row r="130" spans="1:6" x14ac:dyDescent="0.2">
      <c r="A130" s="6"/>
      <c r="B130" s="6"/>
      <c r="C130" s="63"/>
      <c r="D130" s="5"/>
      <c r="E130" s="53"/>
      <c r="F130" s="53"/>
    </row>
    <row r="131" spans="1:6" x14ac:dyDescent="0.2">
      <c r="A131" s="6"/>
      <c r="B131" s="6"/>
      <c r="C131" s="63"/>
      <c r="D131" s="5"/>
      <c r="E131" s="53"/>
      <c r="F131" s="53"/>
    </row>
    <row r="132" spans="1:6" x14ac:dyDescent="0.2">
      <c r="A132" s="6"/>
      <c r="B132" s="6"/>
      <c r="C132" s="63"/>
      <c r="D132" s="5"/>
      <c r="E132" s="53"/>
      <c r="F132" s="53"/>
    </row>
    <row r="133" spans="1:6" x14ac:dyDescent="0.2">
      <c r="A133" s="6"/>
      <c r="B133" s="6"/>
      <c r="C133" s="63"/>
      <c r="D133" s="5"/>
      <c r="E133" s="53"/>
      <c r="F133" s="53"/>
    </row>
    <row r="134" spans="1:6" x14ac:dyDescent="0.2">
      <c r="A134" s="6"/>
      <c r="B134" s="6"/>
      <c r="C134" s="63"/>
      <c r="D134" s="5"/>
      <c r="E134" s="53"/>
      <c r="F134" s="53"/>
    </row>
    <row r="135" spans="1:6" x14ac:dyDescent="0.2">
      <c r="A135" s="6"/>
      <c r="B135" s="6"/>
      <c r="C135" s="63"/>
      <c r="D135" s="5"/>
      <c r="E135" s="53"/>
      <c r="F135" s="53"/>
    </row>
    <row r="136" spans="1:6" x14ac:dyDescent="0.2">
      <c r="A136" s="6"/>
      <c r="B136" s="6"/>
      <c r="C136" s="63"/>
      <c r="D136" s="5"/>
      <c r="E136" s="53"/>
      <c r="F136" s="53"/>
    </row>
    <row r="137" spans="1:6" x14ac:dyDescent="0.2">
      <c r="A137" s="6"/>
      <c r="B137" s="6"/>
      <c r="C137" s="63"/>
      <c r="D137" s="5"/>
      <c r="E137" s="53"/>
      <c r="F137" s="53"/>
    </row>
    <row r="138" spans="1:6" x14ac:dyDescent="0.2">
      <c r="A138" s="6"/>
      <c r="B138" s="6"/>
      <c r="C138" s="63"/>
      <c r="D138" s="5"/>
      <c r="E138" s="53"/>
      <c r="F138" s="53"/>
    </row>
    <row r="139" spans="1:6" x14ac:dyDescent="0.2">
      <c r="A139" s="6"/>
      <c r="B139" s="6"/>
      <c r="C139" s="63"/>
      <c r="D139" s="5"/>
      <c r="E139" s="53"/>
      <c r="F139" s="53"/>
    </row>
    <row r="140" spans="1:6" x14ac:dyDescent="0.2">
      <c r="A140" s="6"/>
      <c r="B140" s="6"/>
      <c r="C140" s="63"/>
      <c r="D140" s="5"/>
      <c r="E140" s="53"/>
      <c r="F140" s="53"/>
    </row>
    <row r="141" spans="1:6" x14ac:dyDescent="0.2">
      <c r="A141" s="6"/>
      <c r="B141" s="6"/>
      <c r="C141" s="63"/>
      <c r="D141" s="5"/>
      <c r="E141" s="53"/>
      <c r="F141" s="53"/>
    </row>
    <row r="142" spans="1:6" x14ac:dyDescent="0.2">
      <c r="A142" s="6"/>
      <c r="B142" s="6"/>
      <c r="C142" s="63"/>
      <c r="D142" s="5"/>
      <c r="E142" s="53"/>
      <c r="F142" s="53"/>
    </row>
    <row r="143" spans="1:6" x14ac:dyDescent="0.2">
      <c r="A143" s="6"/>
      <c r="B143" s="6"/>
      <c r="C143" s="63"/>
      <c r="D143" s="5"/>
      <c r="E143" s="53"/>
      <c r="F143" s="53"/>
    </row>
    <row r="144" spans="1:6" x14ac:dyDescent="0.2">
      <c r="A144" s="6"/>
      <c r="B144" s="6"/>
      <c r="C144" s="63"/>
      <c r="D144" s="5"/>
      <c r="E144" s="53"/>
      <c r="F144" s="53"/>
    </row>
    <row r="145" spans="1:6" x14ac:dyDescent="0.2">
      <c r="A145" s="6"/>
      <c r="B145" s="6"/>
      <c r="C145" s="63"/>
      <c r="D145" s="5"/>
      <c r="E145" s="53"/>
      <c r="F145" s="53"/>
    </row>
    <row r="146" spans="1:6" x14ac:dyDescent="0.2">
      <c r="A146" s="6"/>
      <c r="B146" s="6"/>
      <c r="C146" s="63"/>
      <c r="D146" s="5"/>
      <c r="E146" s="53"/>
      <c r="F146" s="53"/>
    </row>
    <row r="147" spans="1:6" x14ac:dyDescent="0.2">
      <c r="A147" s="6"/>
      <c r="B147" s="6"/>
      <c r="C147" s="63"/>
      <c r="D147" s="5"/>
      <c r="E147" s="53"/>
      <c r="F147" s="53"/>
    </row>
    <row r="148" spans="1:6" x14ac:dyDescent="0.2">
      <c r="A148" s="6"/>
      <c r="B148" s="6"/>
      <c r="C148" s="63"/>
      <c r="D148" s="5"/>
      <c r="E148" s="53"/>
      <c r="F148" s="53"/>
    </row>
    <row r="149" spans="1:6" x14ac:dyDescent="0.2">
      <c r="A149" s="6"/>
      <c r="B149" s="6"/>
      <c r="C149" s="63"/>
      <c r="D149" s="5"/>
      <c r="E149" s="53"/>
      <c r="F149" s="53"/>
    </row>
    <row r="150" spans="1:6" x14ac:dyDescent="0.2">
      <c r="A150" s="6"/>
      <c r="B150" s="6"/>
      <c r="C150" s="63"/>
      <c r="D150" s="5"/>
      <c r="E150" s="53"/>
      <c r="F150" s="53"/>
    </row>
    <row r="151" spans="1:6" x14ac:dyDescent="0.2">
      <c r="A151" s="6"/>
      <c r="B151" s="6"/>
      <c r="C151" s="63"/>
      <c r="D151" s="5"/>
      <c r="E151" s="53"/>
      <c r="F151" s="53"/>
    </row>
    <row r="152" spans="1:6" x14ac:dyDescent="0.2">
      <c r="A152" s="6"/>
      <c r="B152" s="6"/>
      <c r="C152" s="63"/>
      <c r="D152" s="5"/>
      <c r="E152" s="53"/>
      <c r="F152" s="53"/>
    </row>
    <row r="153" spans="1:6" x14ac:dyDescent="0.2">
      <c r="A153" s="6"/>
      <c r="B153" s="6"/>
      <c r="C153" s="63"/>
      <c r="D153" s="5"/>
      <c r="E153" s="53"/>
      <c r="F153" s="53"/>
    </row>
    <row r="154" spans="1:6" x14ac:dyDescent="0.2">
      <c r="A154" s="6"/>
      <c r="B154" s="6"/>
      <c r="C154" s="63"/>
      <c r="D154" s="5"/>
      <c r="E154" s="53"/>
      <c r="F154" s="53"/>
    </row>
    <row r="155" spans="1:6" x14ac:dyDescent="0.2">
      <c r="A155" s="6"/>
      <c r="B155" s="6"/>
      <c r="C155" s="63"/>
      <c r="D155" s="5"/>
      <c r="E155" s="53"/>
      <c r="F155" s="53"/>
    </row>
    <row r="156" spans="1:6" x14ac:dyDescent="0.2">
      <c r="A156" s="6"/>
      <c r="B156" s="6"/>
      <c r="C156" s="63"/>
      <c r="D156" s="5"/>
      <c r="E156" s="53"/>
      <c r="F156" s="53"/>
    </row>
    <row r="157" spans="1:6" x14ac:dyDescent="0.2">
      <c r="A157" s="6"/>
      <c r="B157" s="6"/>
      <c r="C157" s="63"/>
      <c r="D157" s="5"/>
      <c r="E157" s="53"/>
      <c r="F157" s="53"/>
    </row>
    <row r="158" spans="1:6" x14ac:dyDescent="0.2">
      <c r="A158" s="6"/>
      <c r="B158" s="6"/>
      <c r="C158" s="63"/>
      <c r="D158" s="5"/>
      <c r="E158" s="53"/>
      <c r="F158" s="53"/>
    </row>
    <row r="159" spans="1:6" x14ac:dyDescent="0.2">
      <c r="A159" s="6"/>
      <c r="B159" s="6"/>
      <c r="C159" s="63"/>
      <c r="D159" s="5"/>
      <c r="E159" s="53"/>
      <c r="F159" s="53"/>
    </row>
    <row r="160" spans="1:6" x14ac:dyDescent="0.2">
      <c r="A160" s="6"/>
      <c r="B160" s="6"/>
      <c r="C160" s="63"/>
      <c r="D160" s="5"/>
      <c r="E160" s="53"/>
      <c r="F160" s="53"/>
    </row>
    <row r="161" spans="1:6" x14ac:dyDescent="0.2">
      <c r="A161" s="6"/>
      <c r="B161" s="6"/>
      <c r="C161" s="63"/>
      <c r="D161" s="5"/>
      <c r="E161" s="53"/>
      <c r="F161" s="53"/>
    </row>
    <row r="162" spans="1:6" x14ac:dyDescent="0.2">
      <c r="A162" s="6"/>
      <c r="B162" s="6"/>
      <c r="C162" s="63"/>
      <c r="D162" s="5"/>
      <c r="E162" s="53"/>
      <c r="F162" s="53"/>
    </row>
    <row r="163" spans="1:6" x14ac:dyDescent="0.2">
      <c r="A163" s="6"/>
      <c r="B163" s="6"/>
      <c r="C163" s="63"/>
      <c r="D163" s="5"/>
      <c r="E163" s="53"/>
      <c r="F163" s="53"/>
    </row>
    <row r="164" spans="1:6" x14ac:dyDescent="0.2">
      <c r="A164" s="6"/>
      <c r="B164" s="6"/>
      <c r="C164" s="63"/>
      <c r="D164" s="5"/>
      <c r="E164" s="53"/>
      <c r="F164" s="53"/>
    </row>
    <row r="165" spans="1:6" x14ac:dyDescent="0.2">
      <c r="A165" s="6"/>
      <c r="B165" s="6"/>
      <c r="C165" s="63"/>
      <c r="D165" s="5"/>
      <c r="E165" s="53"/>
      <c r="F165" s="53"/>
    </row>
    <row r="166" spans="1:6" x14ac:dyDescent="0.2">
      <c r="A166" s="6"/>
      <c r="B166" s="6"/>
      <c r="C166" s="63"/>
      <c r="D166" s="5"/>
      <c r="E166" s="53"/>
      <c r="F166" s="53"/>
    </row>
    <row r="167" spans="1:6" x14ac:dyDescent="0.2">
      <c r="A167" s="6"/>
      <c r="B167" s="6"/>
      <c r="C167" s="63"/>
      <c r="D167" s="5"/>
      <c r="E167" s="53"/>
      <c r="F167" s="53"/>
    </row>
    <row r="168" spans="1:6" x14ac:dyDescent="0.2">
      <c r="A168" s="6"/>
      <c r="B168" s="6"/>
      <c r="C168" s="63"/>
      <c r="D168" s="5"/>
      <c r="E168" s="53"/>
      <c r="F168" s="53"/>
    </row>
    <row r="169" spans="1:6" x14ac:dyDescent="0.2">
      <c r="A169" s="6"/>
      <c r="B169" s="6"/>
      <c r="C169" s="63"/>
      <c r="D169" s="5"/>
      <c r="E169" s="53"/>
      <c r="F169" s="53"/>
    </row>
    <row r="170" spans="1:6" x14ac:dyDescent="0.2">
      <c r="A170" s="6"/>
      <c r="B170" s="6"/>
      <c r="C170" s="63"/>
      <c r="D170" s="5"/>
      <c r="E170" s="53"/>
      <c r="F170" s="53"/>
    </row>
    <row r="171" spans="1:6" x14ac:dyDescent="0.2">
      <c r="A171" s="6"/>
      <c r="B171" s="6"/>
      <c r="C171" s="63"/>
      <c r="D171" s="5"/>
      <c r="E171" s="53"/>
      <c r="F171" s="53"/>
    </row>
    <row r="172" spans="1:6" x14ac:dyDescent="0.2">
      <c r="A172" s="6"/>
      <c r="B172" s="6"/>
      <c r="C172" s="63"/>
      <c r="D172" s="5"/>
      <c r="E172" s="53"/>
      <c r="F172" s="53"/>
    </row>
    <row r="173" spans="1:6" x14ac:dyDescent="0.2">
      <c r="A173" s="6"/>
      <c r="B173" s="6"/>
      <c r="C173" s="63"/>
      <c r="D173" s="5"/>
      <c r="E173" s="53"/>
      <c r="F173" s="53"/>
    </row>
    <row r="174" spans="1:6" x14ac:dyDescent="0.2">
      <c r="A174" s="6"/>
      <c r="B174" s="6"/>
      <c r="C174" s="63"/>
      <c r="D174" s="5"/>
      <c r="E174" s="53"/>
      <c r="F174" s="53"/>
    </row>
    <row r="175" spans="1:6" x14ac:dyDescent="0.2">
      <c r="A175" s="6"/>
      <c r="B175" s="6"/>
      <c r="C175" s="63"/>
      <c r="D175" s="5"/>
      <c r="E175" s="53"/>
      <c r="F175" s="53"/>
    </row>
    <row r="176" spans="1:6" x14ac:dyDescent="0.2">
      <c r="A176" s="6"/>
      <c r="B176" s="6"/>
      <c r="C176" s="63"/>
      <c r="D176" s="5"/>
      <c r="E176" s="53"/>
      <c r="F176" s="53"/>
    </row>
    <row r="177" spans="1:6" x14ac:dyDescent="0.2">
      <c r="A177" s="6"/>
      <c r="B177" s="6"/>
      <c r="C177" s="63"/>
      <c r="D177" s="5"/>
      <c r="E177" s="53"/>
      <c r="F177" s="53"/>
    </row>
    <row r="178" spans="1:6" x14ac:dyDescent="0.2">
      <c r="A178" s="6"/>
      <c r="B178" s="6"/>
      <c r="C178" s="63"/>
      <c r="D178" s="5"/>
      <c r="E178" s="53"/>
      <c r="F178" s="53"/>
    </row>
    <row r="179" spans="1:6" x14ac:dyDescent="0.2">
      <c r="A179" s="6"/>
      <c r="B179" s="6"/>
      <c r="C179" s="63"/>
      <c r="D179" s="5"/>
      <c r="E179" s="53"/>
      <c r="F179" s="53"/>
    </row>
    <row r="180" spans="1:6" x14ac:dyDescent="0.2">
      <c r="A180" s="6"/>
      <c r="B180" s="6"/>
      <c r="C180" s="63"/>
      <c r="D180" s="5"/>
      <c r="E180" s="53"/>
      <c r="F180" s="53"/>
    </row>
    <row r="181" spans="1:6" x14ac:dyDescent="0.2">
      <c r="A181" s="6"/>
      <c r="B181" s="6"/>
      <c r="C181" s="63"/>
      <c r="D181" s="5"/>
      <c r="E181" s="53"/>
      <c r="F181" s="53"/>
    </row>
    <row r="182" spans="1:6" x14ac:dyDescent="0.2">
      <c r="A182" s="6"/>
      <c r="B182" s="6"/>
      <c r="C182" s="63"/>
      <c r="D182" s="5"/>
      <c r="E182" s="53"/>
      <c r="F182" s="53"/>
    </row>
    <row r="183" spans="1:6" x14ac:dyDescent="0.2">
      <c r="A183" s="6"/>
      <c r="B183" s="6"/>
      <c r="C183" s="63"/>
      <c r="D183" s="5"/>
      <c r="E183" s="53"/>
      <c r="F183" s="53"/>
    </row>
    <row r="184" spans="1:6" x14ac:dyDescent="0.2">
      <c r="A184" s="6"/>
      <c r="B184" s="6"/>
      <c r="C184" s="63"/>
      <c r="D184" s="5"/>
      <c r="E184" s="53"/>
      <c r="F184" s="53"/>
    </row>
    <row r="185" spans="1:6" x14ac:dyDescent="0.2">
      <c r="A185" s="6"/>
      <c r="B185" s="6"/>
      <c r="C185" s="63"/>
      <c r="D185" s="5"/>
      <c r="E185" s="53"/>
      <c r="F185" s="53"/>
    </row>
    <row r="186" spans="1:6" x14ac:dyDescent="0.2">
      <c r="A186" s="6"/>
      <c r="B186" s="6"/>
      <c r="C186" s="63"/>
      <c r="D186" s="5"/>
      <c r="E186" s="53"/>
      <c r="F186" s="53"/>
    </row>
    <row r="187" spans="1:6" x14ac:dyDescent="0.2">
      <c r="A187" s="6"/>
      <c r="B187" s="6"/>
      <c r="C187" s="63"/>
      <c r="D187" s="5"/>
      <c r="E187" s="53"/>
      <c r="F187" s="53"/>
    </row>
    <row r="188" spans="1:6" x14ac:dyDescent="0.2">
      <c r="A188" s="6"/>
      <c r="B188" s="6"/>
      <c r="C188" s="63"/>
      <c r="D188" s="5"/>
      <c r="E188" s="53"/>
      <c r="F188" s="53"/>
    </row>
    <row r="189" spans="1:6" x14ac:dyDescent="0.2">
      <c r="A189" s="6"/>
      <c r="B189" s="6"/>
      <c r="C189" s="63"/>
      <c r="D189" s="5"/>
      <c r="E189" s="53"/>
      <c r="F189" s="53"/>
    </row>
    <row r="190" spans="1:6" x14ac:dyDescent="0.2">
      <c r="A190" s="6"/>
      <c r="B190" s="6"/>
      <c r="C190" s="63"/>
      <c r="D190" s="5"/>
      <c r="E190" s="53"/>
      <c r="F190" s="53"/>
    </row>
    <row r="191" spans="1:6" x14ac:dyDescent="0.2">
      <c r="A191" s="6"/>
      <c r="B191" s="6"/>
      <c r="C191" s="63"/>
      <c r="D191" s="5"/>
      <c r="E191" s="53"/>
      <c r="F191" s="53"/>
    </row>
    <row r="192" spans="1:6" x14ac:dyDescent="0.2">
      <c r="A192" s="6"/>
      <c r="B192" s="6"/>
      <c r="C192" s="63"/>
      <c r="D192" s="5"/>
      <c r="E192" s="53"/>
      <c r="F192" s="53"/>
    </row>
    <row r="193" spans="1:6" x14ac:dyDescent="0.2">
      <c r="A193" s="6"/>
      <c r="B193" s="6"/>
      <c r="C193" s="63"/>
      <c r="D193" s="5"/>
      <c r="E193" s="53"/>
      <c r="F193" s="53"/>
    </row>
    <row r="194" spans="1:6" x14ac:dyDescent="0.2">
      <c r="A194" s="6"/>
      <c r="B194" s="6"/>
      <c r="C194" s="63"/>
      <c r="D194" s="5"/>
      <c r="E194" s="53"/>
      <c r="F194" s="53"/>
    </row>
    <row r="195" spans="1:6" x14ac:dyDescent="0.2">
      <c r="A195" s="6"/>
      <c r="B195" s="6"/>
      <c r="C195" s="63"/>
      <c r="D195" s="5"/>
      <c r="E195" s="53"/>
      <c r="F195" s="53"/>
    </row>
    <row r="196" spans="1:6" x14ac:dyDescent="0.2">
      <c r="A196" s="6"/>
      <c r="B196" s="6"/>
      <c r="C196" s="63"/>
      <c r="D196" s="5"/>
      <c r="E196" s="53"/>
      <c r="F196" s="53"/>
    </row>
    <row r="197" spans="1:6" x14ac:dyDescent="0.2">
      <c r="A197" s="6"/>
      <c r="B197" s="6"/>
      <c r="C197" s="63"/>
      <c r="D197" s="5"/>
      <c r="E197" s="53"/>
      <c r="F197" s="53"/>
    </row>
    <row r="198" spans="1:6" x14ac:dyDescent="0.2">
      <c r="A198" s="6"/>
      <c r="B198" s="6"/>
      <c r="C198" s="63"/>
      <c r="D198" s="5"/>
      <c r="E198" s="53"/>
      <c r="F198" s="53"/>
    </row>
    <row r="199" spans="1:6" x14ac:dyDescent="0.2">
      <c r="A199" s="6"/>
      <c r="B199" s="6"/>
      <c r="C199" s="63"/>
      <c r="D199" s="5"/>
      <c r="E199" s="53"/>
      <c r="F199" s="53"/>
    </row>
    <row r="200" spans="1:6" x14ac:dyDescent="0.2">
      <c r="A200" s="6"/>
      <c r="B200" s="6"/>
      <c r="C200" s="63"/>
      <c r="D200" s="5"/>
      <c r="E200" s="53"/>
      <c r="F200" s="53"/>
    </row>
    <row r="201" spans="1:6" x14ac:dyDescent="0.2">
      <c r="A201" s="6"/>
      <c r="B201" s="6"/>
      <c r="C201" s="63"/>
      <c r="D201" s="5"/>
      <c r="E201" s="53"/>
      <c r="F201" s="53"/>
    </row>
    <row r="202" spans="1:6" x14ac:dyDescent="0.2">
      <c r="A202" s="6"/>
      <c r="B202" s="6"/>
      <c r="C202" s="63"/>
      <c r="D202" s="5"/>
      <c r="E202" s="53"/>
      <c r="F202" s="53"/>
    </row>
    <row r="203" spans="1:6" x14ac:dyDescent="0.2">
      <c r="A203" s="6"/>
      <c r="B203" s="6"/>
      <c r="C203" s="63"/>
      <c r="D203" s="5"/>
      <c r="E203" s="53"/>
      <c r="F203" s="53"/>
    </row>
    <row r="204" spans="1:6" x14ac:dyDescent="0.2">
      <c r="A204" s="6"/>
      <c r="B204" s="6"/>
      <c r="C204" s="63"/>
      <c r="D204" s="5"/>
      <c r="E204" s="53"/>
      <c r="F204" s="53"/>
    </row>
    <row r="205" spans="1:6" x14ac:dyDescent="0.2">
      <c r="A205" s="6"/>
      <c r="B205" s="6"/>
      <c r="C205" s="63"/>
      <c r="D205" s="5"/>
      <c r="E205" s="53"/>
      <c r="F205" s="53"/>
    </row>
    <row r="206" spans="1:6" x14ac:dyDescent="0.2">
      <c r="A206" s="6"/>
      <c r="B206" s="6"/>
      <c r="C206" s="63"/>
      <c r="D206" s="5"/>
      <c r="E206" s="53"/>
      <c r="F206" s="53"/>
    </row>
    <row r="207" spans="1:6" x14ac:dyDescent="0.2">
      <c r="A207" s="6"/>
      <c r="B207" s="6"/>
      <c r="C207" s="63"/>
      <c r="D207" s="5"/>
      <c r="E207" s="53"/>
      <c r="F207" s="53"/>
    </row>
    <row r="208" spans="1:6" x14ac:dyDescent="0.2">
      <c r="A208" s="6"/>
      <c r="B208" s="6"/>
      <c r="C208" s="63"/>
      <c r="D208" s="5"/>
      <c r="E208" s="53"/>
      <c r="F208" s="53"/>
    </row>
    <row r="209" spans="1:6" x14ac:dyDescent="0.2">
      <c r="A209" s="6"/>
      <c r="B209" s="6"/>
      <c r="C209" s="63"/>
      <c r="D209" s="5"/>
      <c r="E209" s="53"/>
      <c r="F209" s="53"/>
    </row>
    <row r="210" spans="1:6" x14ac:dyDescent="0.2">
      <c r="A210" s="6"/>
      <c r="B210" s="6"/>
      <c r="C210" s="63"/>
      <c r="D210" s="5"/>
      <c r="E210" s="53"/>
      <c r="F210" s="53"/>
    </row>
    <row r="211" spans="1:6" x14ac:dyDescent="0.2">
      <c r="C211" s="63"/>
      <c r="D211" s="5"/>
      <c r="E211" s="53"/>
      <c r="F211" s="53"/>
    </row>
  </sheetData>
  <mergeCells count="1">
    <mergeCell ref="A76:C77"/>
  </mergeCells>
  <hyperlinks>
    <hyperlink ref="D76" r:id="rId1" location="sec0135" display="https://www.sciencedirect.com/science/article/pii/S0167880913003496?via%3Dihub - sec0135" xr:uid="{4E7DEA1A-552B-44CD-9C39-B030356E611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525E-AD7B-B44E-BB20-11D9FA093BCF}">
  <dimension ref="A1:R49"/>
  <sheetViews>
    <sheetView topLeftCell="A8" zoomScaleNormal="100" workbookViewId="0">
      <selection activeCell="O38" sqref="O38"/>
    </sheetView>
  </sheetViews>
  <sheetFormatPr baseColWidth="10" defaultColWidth="8.83203125" defaultRowHeight="14" x14ac:dyDescent="0.2"/>
  <cols>
    <col min="1" max="1" width="33.6640625" style="159" customWidth="1"/>
    <col min="2" max="2" width="12.6640625" style="159" bestFit="1" customWidth="1"/>
    <col min="3" max="7" width="8.83203125" style="159"/>
    <col min="8" max="8" width="9" style="159" bestFit="1" customWidth="1"/>
    <col min="9" max="9" width="9.1640625" style="159" bestFit="1" customWidth="1"/>
    <col min="10" max="10" width="10.5" style="159" bestFit="1" customWidth="1"/>
    <col min="11" max="11" width="9.1640625" style="159" bestFit="1" customWidth="1"/>
    <col min="12" max="12" width="8.83203125" style="159"/>
    <col min="13" max="13" width="10.83203125" style="159" bestFit="1" customWidth="1"/>
    <col min="14" max="14" width="9.1640625" style="159" bestFit="1" customWidth="1"/>
    <col min="15" max="16384" width="8.83203125" style="159"/>
  </cols>
  <sheetData>
    <row r="1" spans="1:14" x14ac:dyDescent="0.2">
      <c r="A1" s="158" t="s">
        <v>2</v>
      </c>
      <c r="B1" s="158" t="s">
        <v>165</v>
      </c>
    </row>
    <row r="2" spans="1:14" x14ac:dyDescent="0.2">
      <c r="A2" s="159" t="s">
        <v>3</v>
      </c>
      <c r="B2" s="159" t="s">
        <v>131</v>
      </c>
    </row>
    <row r="3" spans="1:14" ht="15" x14ac:dyDescent="0.2">
      <c r="A3" s="159" t="s">
        <v>4</v>
      </c>
      <c r="B3" s="160" t="s">
        <v>5</v>
      </c>
    </row>
    <row r="4" spans="1:14" x14ac:dyDescent="0.2">
      <c r="A4" s="159" t="s">
        <v>6</v>
      </c>
      <c r="B4" s="159" t="s">
        <v>161</v>
      </c>
    </row>
    <row r="5" spans="1:14" ht="15" x14ac:dyDescent="0.2">
      <c r="A5" s="159" t="s">
        <v>7</v>
      </c>
      <c r="B5" s="160" t="s">
        <v>8</v>
      </c>
    </row>
    <row r="6" spans="1:14" ht="15" x14ac:dyDescent="0.2">
      <c r="A6" s="159" t="s">
        <v>9</v>
      </c>
      <c r="B6" s="160" t="s">
        <v>10</v>
      </c>
    </row>
    <row r="7" spans="1:14" x14ac:dyDescent="0.2">
      <c r="A7" s="158" t="s">
        <v>11</v>
      </c>
      <c r="B7" s="160"/>
    </row>
    <row r="8" spans="1:14" x14ac:dyDescent="0.2">
      <c r="A8" s="159" t="s">
        <v>12</v>
      </c>
      <c r="B8" s="159" t="s">
        <v>13</v>
      </c>
      <c r="C8" s="159" t="s">
        <v>29</v>
      </c>
      <c r="D8" s="159" t="s">
        <v>4</v>
      </c>
      <c r="E8" s="159" t="s">
        <v>9</v>
      </c>
      <c r="F8" s="159" t="s">
        <v>7</v>
      </c>
      <c r="G8" s="159" t="s">
        <v>6</v>
      </c>
      <c r="H8" s="159" t="s">
        <v>3</v>
      </c>
      <c r="I8" s="159" t="s">
        <v>266</v>
      </c>
      <c r="J8" s="159" t="s">
        <v>269</v>
      </c>
      <c r="K8" s="159" t="s">
        <v>270</v>
      </c>
      <c r="L8" s="159" t="s">
        <v>271</v>
      </c>
      <c r="M8" s="159" t="s">
        <v>272</v>
      </c>
      <c r="N8" s="159" t="s">
        <v>267</v>
      </c>
    </row>
    <row r="9" spans="1:14" x14ac:dyDescent="0.2">
      <c r="A9" s="159" t="str">
        <f>B1</f>
        <v>drying of willow wood chips</v>
      </c>
      <c r="B9" s="159">
        <v>1</v>
      </c>
      <c r="D9" s="159" t="s">
        <v>5</v>
      </c>
      <c r="E9" s="159" t="s">
        <v>10</v>
      </c>
      <c r="F9" s="159" t="s">
        <v>14</v>
      </c>
      <c r="G9" s="159" t="str">
        <f>B4</f>
        <v>willow, chipped and dried</v>
      </c>
    </row>
    <row r="10" spans="1:14" x14ac:dyDescent="0.2">
      <c r="A10" s="159" t="s">
        <v>170</v>
      </c>
      <c r="B10" s="161">
        <v>1</v>
      </c>
      <c r="D10" s="159" t="s">
        <v>172</v>
      </c>
      <c r="E10" s="159" t="s">
        <v>10</v>
      </c>
      <c r="F10" s="159" t="s">
        <v>15</v>
      </c>
      <c r="G10" s="159" t="s">
        <v>164</v>
      </c>
      <c r="H10" s="159" t="str">
        <f>"Conversion factor from wet to dry mass "&amp;TEXT('willow (parameters)'!C4,"0.00")</f>
        <v>Conversion factor from wet to dry mass 0.60</v>
      </c>
    </row>
    <row r="11" spans="1:14" x14ac:dyDescent="0.2">
      <c r="A11" s="159" t="s">
        <v>16</v>
      </c>
      <c r="B11" s="159">
        <f>'willow (parameters)'!C43</f>
        <v>1.08</v>
      </c>
      <c r="D11" s="159" t="s">
        <v>17</v>
      </c>
      <c r="E11" s="159" t="s">
        <v>18</v>
      </c>
      <c r="F11" s="159" t="s">
        <v>15</v>
      </c>
      <c r="G11" s="159" t="s">
        <v>19</v>
      </c>
      <c r="H11" s="159" t="str">
        <f>TEXT('willow (parameters)'!E43,"0")&amp;
" MJ of heat needed for "&amp;TEXT('willow (parameters)'!C3,"0")&amp;
" t of feedstock"</f>
        <v>10800 MJ of heat needed for 10000 t of feedstock</v>
      </c>
      <c r="I11" s="159">
        <v>2</v>
      </c>
      <c r="J11" s="159">
        <f>'Uncertainty table'!R3</f>
        <v>7.6961041136128394E-2</v>
      </c>
      <c r="K11" s="159">
        <f>'Uncertainty table'!S3</f>
        <v>0.26236426446749106</v>
      </c>
    </row>
    <row r="12" spans="1:14" x14ac:dyDescent="0.2">
      <c r="A12" s="159" t="s">
        <v>166</v>
      </c>
      <c r="B12" s="159">
        <v>0.1</v>
      </c>
      <c r="D12" s="159" t="s">
        <v>5</v>
      </c>
      <c r="E12" s="159" t="s">
        <v>20</v>
      </c>
      <c r="F12" s="159" t="s">
        <v>15</v>
      </c>
      <c r="G12" s="159" t="s">
        <v>167</v>
      </c>
      <c r="H12" s="159" t="s">
        <v>21</v>
      </c>
    </row>
    <row r="13" spans="1:14" x14ac:dyDescent="0.2">
      <c r="A13" s="159" t="s">
        <v>22</v>
      </c>
      <c r="B13" s="162">
        <f>'willow (parameters)'!C41</f>
        <v>1.3588888899760003E-2</v>
      </c>
      <c r="D13" s="159" t="s">
        <v>5</v>
      </c>
      <c r="E13" s="159" t="s">
        <v>23</v>
      </c>
      <c r="F13" s="159" t="s">
        <v>15</v>
      </c>
      <c r="G13" s="159" t="s">
        <v>24</v>
      </c>
      <c r="H13" s="159" t="str">
        <f>TEXT('willow (parameters)'!E41,"0.00")&amp;
" kWh for electric chipping and drying for "&amp;TEXT('willow (parameters)'!C3,"0")&amp;
" t of feedstock, conversion rate from GJ to kWh "&amp;TEXT('willow (parameters)'!B33,"0.000")</f>
        <v>135.89 kWh for electric chipping and drying for 10000 t of feedstock, conversion rate from GJ to kWh 277.778</v>
      </c>
      <c r="I13" s="159">
        <v>2</v>
      </c>
      <c r="J13" s="159">
        <f>'Uncertainty table'!R4</f>
        <v>-4.2984946370437767</v>
      </c>
      <c r="K13" s="159">
        <f>'Uncertainty table'!S4</f>
        <v>0.26236426446749106</v>
      </c>
    </row>
    <row r="15" spans="1:14" x14ac:dyDescent="0.2">
      <c r="A15" s="158" t="s">
        <v>2</v>
      </c>
      <c r="B15" s="158" t="s">
        <v>163</v>
      </c>
    </row>
    <row r="16" spans="1:14" x14ac:dyDescent="0.2">
      <c r="A16" s="159" t="s">
        <v>3</v>
      </c>
      <c r="B16" s="159" t="s">
        <v>162</v>
      </c>
    </row>
    <row r="17" spans="1:14" x14ac:dyDescent="0.2">
      <c r="A17" s="159" t="s">
        <v>4</v>
      </c>
      <c r="B17" s="159" t="s">
        <v>5</v>
      </c>
    </row>
    <row r="18" spans="1:14" x14ac:dyDescent="0.2">
      <c r="A18" s="159" t="s">
        <v>6</v>
      </c>
      <c r="B18" s="159" t="s">
        <v>1</v>
      </c>
    </row>
    <row r="19" spans="1:14" x14ac:dyDescent="0.2">
      <c r="A19" s="159" t="s">
        <v>7</v>
      </c>
      <c r="B19" s="159" t="s">
        <v>8</v>
      </c>
    </row>
    <row r="20" spans="1:14" x14ac:dyDescent="0.2">
      <c r="A20" s="159" t="s">
        <v>9</v>
      </c>
      <c r="B20" s="159" t="s">
        <v>10</v>
      </c>
    </row>
    <row r="21" spans="1:14" x14ac:dyDescent="0.2">
      <c r="A21" s="158" t="s">
        <v>11</v>
      </c>
    </row>
    <row r="22" spans="1:14" x14ac:dyDescent="0.2">
      <c r="A22" s="159" t="s">
        <v>12</v>
      </c>
      <c r="B22" s="159" t="s">
        <v>13</v>
      </c>
      <c r="C22" s="159" t="s">
        <v>29</v>
      </c>
      <c r="D22" s="159" t="s">
        <v>4</v>
      </c>
      <c r="E22" s="159" t="s">
        <v>9</v>
      </c>
      <c r="F22" s="159" t="s">
        <v>7</v>
      </c>
      <c r="G22" s="159" t="s">
        <v>6</v>
      </c>
      <c r="H22" s="159" t="s">
        <v>3</v>
      </c>
      <c r="I22" s="159" t="s">
        <v>266</v>
      </c>
      <c r="J22" s="159" t="s">
        <v>269</v>
      </c>
      <c r="K22" s="159" t="s">
        <v>270</v>
      </c>
      <c r="L22" s="159" t="s">
        <v>271</v>
      </c>
      <c r="M22" s="159" t="s">
        <v>272</v>
      </c>
      <c r="N22" s="159" t="s">
        <v>267</v>
      </c>
    </row>
    <row r="23" spans="1:14" x14ac:dyDescent="0.2">
      <c r="A23" s="159" t="str">
        <f>B15</f>
        <v>biochar production, from willow pyrolysis</v>
      </c>
      <c r="B23" s="159">
        <v>1</v>
      </c>
      <c r="D23" s="159" t="s">
        <v>5</v>
      </c>
      <c r="E23" s="159" t="s">
        <v>10</v>
      </c>
      <c r="F23" s="159" t="s">
        <v>14</v>
      </c>
      <c r="G23" s="159" t="s">
        <v>1</v>
      </c>
    </row>
    <row r="24" spans="1:14" x14ac:dyDescent="0.2">
      <c r="A24" s="159" t="str">
        <f>B1</f>
        <v>drying of willow wood chips</v>
      </c>
      <c r="B24" s="159">
        <f>'willow (parameters)'!C12</f>
        <v>1.6856750160911189</v>
      </c>
      <c r="D24" s="159" t="s">
        <v>5</v>
      </c>
      <c r="E24" s="159" t="s">
        <v>10</v>
      </c>
      <c r="F24" s="159" t="s">
        <v>15</v>
      </c>
      <c r="G24" s="159" t="s">
        <v>161</v>
      </c>
      <c r="H24" s="159" t="str">
        <f>"biochar yield rate "&amp;TEXT('willow (parameters)'!B68,"0.00")&amp;
", allocation rate of "&amp;TEXT('willow (parameters)'!E68,"0.00")</f>
        <v>biochar yield rate 0.29, allocation rate of 0.49</v>
      </c>
      <c r="I24" s="159">
        <v>2</v>
      </c>
      <c r="J24" s="159">
        <f>'Uncertainty table'!R5</f>
        <v>0.52216608655173891</v>
      </c>
      <c r="K24" s="159">
        <f>'Uncertainty table'!S5</f>
        <v>0.18232155679395459</v>
      </c>
    </row>
    <row r="25" spans="1:14" x14ac:dyDescent="0.2">
      <c r="A25" s="159" t="s">
        <v>16</v>
      </c>
      <c r="B25" s="159">
        <f>'willow (parameters)'!C30</f>
        <v>0.37231504080404548</v>
      </c>
      <c r="D25" s="159" t="s">
        <v>17</v>
      </c>
      <c r="E25" s="159" t="s">
        <v>18</v>
      </c>
      <c r="F25" s="159" t="s">
        <v>15</v>
      </c>
      <c r="G25" s="159" t="s">
        <v>19</v>
      </c>
      <c r="H25" s="159" t="str">
        <f>"total heat for producing "&amp;TEXT('willow (parameters)'!C9,"0.00")&amp;
" tonnes of biochar is "&amp;TEXT('willow (parameters)'!C26,"0.00")&amp;
" GJ (pre-allocation), allocation rate of "&amp;TEXT('willow (parameters)'!E68,"0.00")</f>
        <v>total heat for producing 1749.44 tonnes of biochar is 1325.22 GJ (pre-allocation), allocation rate of 0.49</v>
      </c>
      <c r="I25" s="159">
        <v>2</v>
      </c>
      <c r="J25" s="159">
        <f>'Uncertainty table'!R6</f>
        <v>-0.98801489870465198</v>
      </c>
      <c r="K25" s="159">
        <f>'Uncertainty table'!S6</f>
        <v>0.18232155679395459</v>
      </c>
    </row>
    <row r="26" spans="1:14" x14ac:dyDescent="0.2">
      <c r="A26" s="159" t="s">
        <v>22</v>
      </c>
      <c r="B26" s="163">
        <f>'willow (parameters)'!C31</f>
        <v>2.1490015257053657E-2</v>
      </c>
      <c r="D26" s="159" t="s">
        <v>5</v>
      </c>
      <c r="E26" s="159" t="s">
        <v>23</v>
      </c>
      <c r="F26" s="159" t="s">
        <v>15</v>
      </c>
      <c r="G26" s="159" t="s">
        <v>24</v>
      </c>
      <c r="H26" s="159" t="str">
        <f>"total electricity for producing "&amp;TEXT('willow (parameters)'!C9,"0.00")&amp;
" tonnes of biochar is "&amp;TEXT('willow (parameters)'!C25,"0.00")&amp;
" GJ (pre-allocation), allocation rate of "&amp;TEXT('willow (parameters)'!E68,"0.00")</f>
        <v>total electricity for producing 1749.44 tonnes of biochar is 275.37 GJ (pre-allocation), allocation rate of 0.49</v>
      </c>
      <c r="I26" s="159">
        <v>2</v>
      </c>
      <c r="J26" s="159">
        <f>'Uncertainty table'!R7</f>
        <v>-3.840166870328892</v>
      </c>
      <c r="K26" s="159">
        <f>'Uncertainty table'!S7</f>
        <v>0.18232155679395459</v>
      </c>
    </row>
    <row r="27" spans="1:14" x14ac:dyDescent="0.2">
      <c r="A27" s="159" t="s">
        <v>25</v>
      </c>
      <c r="B27" s="159">
        <f>'willow (parameters)'!C51</f>
        <v>8.4283750804555964E-9</v>
      </c>
      <c r="D27" s="159" t="s">
        <v>26</v>
      </c>
      <c r="E27" s="159" t="s">
        <v>9</v>
      </c>
      <c r="F27" s="159" t="s">
        <v>15</v>
      </c>
      <c r="G27" s="159" t="s">
        <v>124</v>
      </c>
      <c r="H27" s="159" t="str">
        <f>"lifetime of "&amp;TEXT('willow (parameters)'!C46,"0")&amp;
" years, plant capacity of "&amp;TEXT('willow (parameters)'!C47,"0")&amp;
" tonnes, allocation rate of "&amp;TEXT('willow (parameters)'!E68,"0.00")&amp;
", biochar yield rate of "&amp;TEXT('willow (parameters)'!B68,"0.00")&amp;
", max amount of biochar produced throughout its lifetime "&amp;TEXT('willow (parameters)'!C48,"0.00")&amp; " tonnes "</f>
        <v xml:space="preserve">lifetime of 20 years, plant capacity of 10000 tonnes, allocation rate of 0.49, biochar yield rate of 0.29, max amount of biochar produced throughout its lifetime 58314.71 tonnes </v>
      </c>
    </row>
    <row r="28" spans="1:14" x14ac:dyDescent="0.2">
      <c r="A28" s="159" t="s">
        <v>31</v>
      </c>
      <c r="B28" s="159">
        <f>'willow (parameters)'!C18</f>
        <v>0.53852628829965088</v>
      </c>
      <c r="C28" s="159" t="s">
        <v>32</v>
      </c>
      <c r="E28" s="159" t="s">
        <v>10</v>
      </c>
      <c r="F28" s="159" t="s">
        <v>33</v>
      </c>
      <c r="I28" s="159">
        <v>2</v>
      </c>
      <c r="J28" s="159">
        <f>'Uncertainty table'!R8</f>
        <v>-0.5838162631889916</v>
      </c>
      <c r="K28" s="159">
        <f>'Uncertainty table'!S8</f>
        <v>0.18232155679395459</v>
      </c>
    </row>
    <row r="31" spans="1:14" x14ac:dyDescent="0.2">
      <c r="A31" s="158" t="s">
        <v>2</v>
      </c>
      <c r="B31" s="158" t="s">
        <v>160</v>
      </c>
    </row>
    <row r="32" spans="1:14" x14ac:dyDescent="0.2">
      <c r="A32" s="159" t="s">
        <v>3</v>
      </c>
      <c r="B32" s="159" t="s">
        <v>27</v>
      </c>
    </row>
    <row r="33" spans="1:18" x14ac:dyDescent="0.2">
      <c r="A33" s="159" t="s">
        <v>4</v>
      </c>
      <c r="B33" s="159" t="s">
        <v>5</v>
      </c>
    </row>
    <row r="34" spans="1:18" x14ac:dyDescent="0.2">
      <c r="A34" s="159" t="s">
        <v>6</v>
      </c>
      <c r="B34" s="159" t="s">
        <v>28</v>
      </c>
    </row>
    <row r="35" spans="1:18" x14ac:dyDescent="0.2">
      <c r="A35" s="159" t="s">
        <v>7</v>
      </c>
      <c r="B35" s="159" t="s">
        <v>8</v>
      </c>
    </row>
    <row r="36" spans="1:18" x14ac:dyDescent="0.2">
      <c r="A36" s="159" t="s">
        <v>9</v>
      </c>
      <c r="B36" s="159" t="s">
        <v>10</v>
      </c>
    </row>
    <row r="37" spans="1:18" x14ac:dyDescent="0.2">
      <c r="A37" s="158" t="s">
        <v>11</v>
      </c>
    </row>
    <row r="38" spans="1:18" x14ac:dyDescent="0.2">
      <c r="A38" s="159" t="s">
        <v>12</v>
      </c>
      <c r="B38" s="159" t="s">
        <v>13</v>
      </c>
      <c r="C38" s="159" t="s">
        <v>29</v>
      </c>
      <c r="D38" s="159" t="s">
        <v>4</v>
      </c>
      <c r="E38" s="159" t="s">
        <v>9</v>
      </c>
      <c r="F38" s="159" t="s">
        <v>7</v>
      </c>
      <c r="G38" s="159" t="s">
        <v>6</v>
      </c>
      <c r="H38" s="159" t="s">
        <v>3</v>
      </c>
      <c r="I38" s="159" t="s">
        <v>266</v>
      </c>
      <c r="J38" s="159" t="s">
        <v>269</v>
      </c>
      <c r="K38" s="159" t="s">
        <v>270</v>
      </c>
      <c r="L38" s="159" t="s">
        <v>271</v>
      </c>
      <c r="M38" s="159" t="s">
        <v>272</v>
      </c>
      <c r="N38" s="159" t="s">
        <v>267</v>
      </c>
      <c r="O38" s="159" t="s">
        <v>345</v>
      </c>
      <c r="P38" s="164"/>
    </row>
    <row r="39" spans="1:18" x14ac:dyDescent="0.2">
      <c r="A39" s="159" t="str">
        <f>B31</f>
        <v>carbon dioxide, captured and stored, by willow biochar application on mineral soil</v>
      </c>
      <c r="B39" s="159">
        <v>1</v>
      </c>
      <c r="D39" s="159" t="s">
        <v>5</v>
      </c>
      <c r="E39" s="159" t="s">
        <v>10</v>
      </c>
      <c r="F39" s="159" t="s">
        <v>14</v>
      </c>
      <c r="G39" s="159" t="str">
        <f>B34</f>
        <v>carbon dioxide, captured</v>
      </c>
    </row>
    <row r="40" spans="1:18" x14ac:dyDescent="0.2">
      <c r="A40" s="159" t="str">
        <f>A23</f>
        <v>biochar production, from willow pyrolysis</v>
      </c>
      <c r="B40" s="159">
        <f>'willow (parameters)'!C22</f>
        <v>0.57066294206159884</v>
      </c>
      <c r="D40" s="159" t="s">
        <v>5</v>
      </c>
      <c r="E40" s="159" t="s">
        <v>10</v>
      </c>
      <c r="F40" s="159" t="s">
        <v>15</v>
      </c>
      <c r="G40" s="159" t="s">
        <v>1</v>
      </c>
      <c r="H40" s="159" t="str">
        <f>"1 kilogram of biochar stores "&amp;TEXT('willow (parameters)'!C21,"0.000")&amp;
" kg of CO2, and "&amp;TEXT('willow (parameters)'!C20,"0.000")&amp;
" of the carbon content is assumed stable. Carbon content: "&amp;TEXT('willow (parameters)'!C17,"0.000")&amp;
" kg C/kg biochar."</f>
        <v>1 kilogram of biochar stores 1.752 kg of CO2, and 0.727 of the carbon content is assumed stable. Carbon content: 2.410 kg C/kg biochar.</v>
      </c>
      <c r="I40" s="159">
        <v>2</v>
      </c>
      <c r="J40" s="159">
        <f>'Uncertainty table'!R9</f>
        <v>-0.59605924009076128</v>
      </c>
      <c r="K40" s="159">
        <f>'Uncertainty table'!S9</f>
        <v>0.18232155679395459</v>
      </c>
    </row>
    <row r="41" spans="1:18" x14ac:dyDescent="0.2">
      <c r="A41" s="159" t="s">
        <v>166</v>
      </c>
      <c r="B41" s="159">
        <v>0.1</v>
      </c>
      <c r="D41" s="159" t="s">
        <v>5</v>
      </c>
      <c r="E41" s="159" t="s">
        <v>20</v>
      </c>
      <c r="F41" s="159" t="s">
        <v>15</v>
      </c>
      <c r="G41" s="159" t="s">
        <v>167</v>
      </c>
      <c r="H41" s="159" t="s">
        <v>30</v>
      </c>
    </row>
    <row r="42" spans="1:18" x14ac:dyDescent="0.2">
      <c r="A42" s="159" t="s">
        <v>168</v>
      </c>
      <c r="B42" s="159">
        <v>5.0000000000000001E-3</v>
      </c>
      <c r="D42" s="159" t="s">
        <v>26</v>
      </c>
      <c r="E42" s="159" t="s">
        <v>20</v>
      </c>
      <c r="F42" s="159" t="s">
        <v>15</v>
      </c>
      <c r="G42" s="159" t="s">
        <v>169</v>
      </c>
    </row>
    <row r="43" spans="1:18" x14ac:dyDescent="0.2">
      <c r="A43" s="159" t="s">
        <v>31</v>
      </c>
      <c r="B43" s="159">
        <f>'willow (parameters)'!C23</f>
        <v>0.37513751375137516</v>
      </c>
      <c r="C43" s="159" t="s">
        <v>32</v>
      </c>
      <c r="E43" s="159" t="s">
        <v>10</v>
      </c>
      <c r="F43" s="159" t="s">
        <v>33</v>
      </c>
      <c r="H43" s="159" t="s">
        <v>118</v>
      </c>
      <c r="I43" s="159">
        <v>2</v>
      </c>
      <c r="J43" s="159">
        <f>'Uncertainty table'!R10</f>
        <v>-0.98046261623120545</v>
      </c>
      <c r="K43" s="159">
        <f>'Uncertainty table'!S10</f>
        <v>0.18232155679395459</v>
      </c>
    </row>
    <row r="44" spans="1:18" x14ac:dyDescent="0.2">
      <c r="A44" s="159" t="s">
        <v>183</v>
      </c>
      <c r="B44" s="166">
        <v>7.0247763087541381E-6</v>
      </c>
      <c r="C44" s="159" t="s">
        <v>184</v>
      </c>
      <c r="E44" s="159" t="s">
        <v>10</v>
      </c>
      <c r="F44" s="159" t="s">
        <v>33</v>
      </c>
      <c r="H44" s="166" t="s">
        <v>185</v>
      </c>
      <c r="I44" s="159">
        <v>2</v>
      </c>
      <c r="J44" s="159">
        <f>'Uncertainty table'!R11</f>
        <v>-11.866747339926555</v>
      </c>
      <c r="K44" s="159">
        <f>'Uncertainty table'!S11</f>
        <v>0.69314718055994529</v>
      </c>
      <c r="M44" s="159" t="str">
        <f>'Uncertainty table'!U11</f>
        <v/>
      </c>
      <c r="Q44" s="166"/>
      <c r="R44" s="166"/>
    </row>
    <row r="45" spans="1:18" x14ac:dyDescent="0.2">
      <c r="A45" s="159" t="s">
        <v>186</v>
      </c>
      <c r="B45" s="166">
        <v>1.046841888717241E-6</v>
      </c>
      <c r="C45" s="159" t="s">
        <v>184</v>
      </c>
      <c r="E45" s="159" t="s">
        <v>10</v>
      </c>
      <c r="F45" s="159" t="s">
        <v>33</v>
      </c>
      <c r="H45" s="166" t="s">
        <v>185</v>
      </c>
      <c r="I45" s="159">
        <v>2</v>
      </c>
      <c r="J45" s="159">
        <f>'Uncertainty table'!R12</f>
        <v>-13.766720393794841</v>
      </c>
      <c r="K45" s="159">
        <f>'Uncertainty table'!S12</f>
        <v>0.69314718055994529</v>
      </c>
      <c r="M45" s="159" t="str">
        <f>'Uncertainty table'!U12</f>
        <v/>
      </c>
      <c r="Q45" s="166"/>
    </row>
    <row r="46" spans="1:18" x14ac:dyDescent="0.2">
      <c r="A46" s="159" t="s">
        <v>187</v>
      </c>
      <c r="B46" s="166">
        <v>2.5913983980180112E-8</v>
      </c>
      <c r="C46" s="159" t="s">
        <v>184</v>
      </c>
      <c r="E46" s="159" t="s">
        <v>10</v>
      </c>
      <c r="F46" s="159" t="s">
        <v>33</v>
      </c>
      <c r="H46" s="166" t="s">
        <v>185</v>
      </c>
      <c r="I46" s="159">
        <v>2</v>
      </c>
      <c r="J46" s="159">
        <f>'Uncertainty table'!R13</f>
        <v>-17.46902286824092</v>
      </c>
      <c r="K46" s="159">
        <f>'Uncertainty table'!S13</f>
        <v>0.69314718055994529</v>
      </c>
      <c r="M46" s="159" t="str">
        <f>'Uncertainty table'!U13</f>
        <v/>
      </c>
      <c r="Q46" s="166"/>
    </row>
    <row r="47" spans="1:18" x14ac:dyDescent="0.2">
      <c r="A47" s="159" t="s">
        <v>250</v>
      </c>
      <c r="B47" s="166">
        <f>-B40*'Uncertainty table'!E70</f>
        <v>-2.030211804150905E-6</v>
      </c>
      <c r="C47" s="159" t="s">
        <v>251</v>
      </c>
      <c r="E47" s="159" t="s">
        <v>10</v>
      </c>
      <c r="F47" s="159" t="s">
        <v>33</v>
      </c>
      <c r="I47" s="159">
        <v>2</v>
      </c>
      <c r="J47" s="166">
        <f>'Uncertainty table'!R70</f>
        <v>-12.546413895602081</v>
      </c>
      <c r="K47" s="166">
        <f>'Uncertainty table'!S70</f>
        <v>1.247768281366006</v>
      </c>
      <c r="M47" s="159" t="str">
        <f>'Uncertainty table'!U14</f>
        <v/>
      </c>
      <c r="N47" s="159" t="str">
        <f>'Uncertainty table'!V14</f>
        <v/>
      </c>
      <c r="O47" s="159" t="b">
        <v>1</v>
      </c>
    </row>
    <row r="48" spans="1:18" x14ac:dyDescent="0.2">
      <c r="A48" s="159" t="s">
        <v>183</v>
      </c>
      <c r="B48" s="166">
        <f>-B40*'Uncertainty table'!E15</f>
        <v>-9.6936611758196928E-6</v>
      </c>
      <c r="C48" s="159" t="s">
        <v>184</v>
      </c>
      <c r="E48" s="159" t="s">
        <v>10</v>
      </c>
      <c r="F48" s="159" t="s">
        <v>33</v>
      </c>
      <c r="H48" s="166"/>
      <c r="I48" s="159">
        <v>5</v>
      </c>
      <c r="J48" s="166">
        <f>B48</f>
        <v>-9.6936611758196928E-6</v>
      </c>
      <c r="M48" s="166">
        <f>-'Uncertainty table'!V15*B40</f>
        <v>-1.2924881567759593E-5</v>
      </c>
      <c r="N48" s="166">
        <f>-'Uncertainty table'!U15*B40</f>
        <v>-4.8468305879098464E-6</v>
      </c>
      <c r="Q48" s="166"/>
      <c r="R48" s="166"/>
    </row>
    <row r="49" spans="1:17" x14ac:dyDescent="0.2">
      <c r="A49" s="159" t="s">
        <v>187</v>
      </c>
      <c r="B49" s="166">
        <f>-'Uncertainty table'!E16*willow!B40</f>
        <v>-2.3986865664655871E-6</v>
      </c>
      <c r="C49" s="159" t="s">
        <v>184</v>
      </c>
      <c r="E49" s="159" t="s">
        <v>10</v>
      </c>
      <c r="F49" s="159" t="s">
        <v>33</v>
      </c>
      <c r="H49" s="166"/>
      <c r="I49" s="159">
        <v>5</v>
      </c>
      <c r="J49" s="166">
        <f>B49</f>
        <v>-2.3986865664655871E-6</v>
      </c>
      <c r="M49" s="166">
        <f>-'Uncertainty table'!V16*B40</f>
        <v>-3.1982487552874496E-6</v>
      </c>
      <c r="N49" s="166">
        <f>-'Uncertainty table'!U16*B40</f>
        <v>-1.1993432832327935E-6</v>
      </c>
      <c r="Q49" s="1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BDA3-2510-284B-B8BB-6A2D4B9D5448}">
  <dimension ref="A1:Q171"/>
  <sheetViews>
    <sheetView workbookViewId="0">
      <selection activeCell="C15" sqref="C15"/>
    </sheetView>
  </sheetViews>
  <sheetFormatPr baseColWidth="10" defaultColWidth="8.83203125" defaultRowHeight="15" x14ac:dyDescent="0.2"/>
  <cols>
    <col min="1" max="1" width="35.5" style="3" customWidth="1"/>
    <col min="2" max="2" width="25.83203125" style="3" customWidth="1"/>
    <col min="3" max="3" width="19.5" style="66" customWidth="1"/>
    <col min="4" max="4" width="16.5" style="2" customWidth="1"/>
    <col min="5" max="5" width="15" bestFit="1" customWidth="1"/>
    <col min="6" max="6" width="36.33203125" bestFit="1" customWidth="1"/>
    <col min="7" max="7" width="22.6640625" style="53" bestFit="1" customWidth="1"/>
    <col min="8" max="8" width="16" style="53" bestFit="1" customWidth="1"/>
    <col min="9" max="9" width="19.33203125" style="53" bestFit="1" customWidth="1"/>
    <col min="10" max="10" width="22.5" style="53" bestFit="1" customWidth="1"/>
    <col min="11" max="11" width="31" style="53" bestFit="1" customWidth="1"/>
    <col min="12" max="12" width="28.33203125" style="53" bestFit="1" customWidth="1"/>
    <col min="13" max="13" width="28.1640625" style="53" bestFit="1" customWidth="1"/>
    <col min="14" max="14" width="31.83203125" style="53" bestFit="1" customWidth="1"/>
    <col min="15" max="15" width="31.6640625" style="53" bestFit="1" customWidth="1"/>
    <col min="16" max="16" width="31.1640625" style="53" bestFit="1" customWidth="1"/>
    <col min="17" max="17" width="31" bestFit="1" customWidth="1"/>
  </cols>
  <sheetData>
    <row r="1" spans="1:8" ht="16" thickBot="1" x14ac:dyDescent="0.25">
      <c r="A1" s="3" t="s">
        <v>129</v>
      </c>
    </row>
    <row r="2" spans="1:8" ht="16" x14ac:dyDescent="0.2">
      <c r="A2" s="25" t="s">
        <v>34</v>
      </c>
      <c r="B2" s="26" t="s">
        <v>35</v>
      </c>
      <c r="C2" s="59" t="s">
        <v>36</v>
      </c>
      <c r="D2" s="27" t="s">
        <v>37</v>
      </c>
      <c r="E2" s="53"/>
      <c r="F2" s="4" t="s">
        <v>38</v>
      </c>
    </row>
    <row r="3" spans="1:8" ht="16" x14ac:dyDescent="0.2">
      <c r="A3" s="28" t="s">
        <v>39</v>
      </c>
      <c r="B3" s="29"/>
      <c r="C3" s="68">
        <v>10000</v>
      </c>
      <c r="D3" s="21" t="s">
        <v>40</v>
      </c>
      <c r="E3" s="53"/>
      <c r="F3" s="123" t="s">
        <v>41</v>
      </c>
      <c r="H3" s="53">
        <f>44/12</f>
        <v>3.6666666666666665</v>
      </c>
    </row>
    <row r="4" spans="1:8" ht="16" x14ac:dyDescent="0.2">
      <c r="A4" s="28" t="s">
        <v>42</v>
      </c>
      <c r="B4" s="29"/>
      <c r="C4" s="114">
        <v>0.6</v>
      </c>
      <c r="D4" s="21"/>
      <c r="E4" s="53"/>
      <c r="F4" s="129" t="s">
        <v>43</v>
      </c>
    </row>
    <row r="5" spans="1:8" ht="17" x14ac:dyDescent="0.2">
      <c r="A5" s="28" t="s">
        <v>44</v>
      </c>
      <c r="B5" s="31" t="s">
        <v>45</v>
      </c>
      <c r="C5" s="68">
        <f>C3*C4</f>
        <v>6000</v>
      </c>
      <c r="D5" s="21" t="s">
        <v>40</v>
      </c>
      <c r="E5" s="53"/>
      <c r="F5" s="53"/>
    </row>
    <row r="6" spans="1:8" ht="17" x14ac:dyDescent="0.2">
      <c r="A6" s="28" t="s">
        <v>46</v>
      </c>
      <c r="B6" s="31" t="s">
        <v>47</v>
      </c>
      <c r="C6" s="124">
        <f>1/C4</f>
        <v>1.6666666666666667</v>
      </c>
      <c r="D6" s="21" t="s">
        <v>48</v>
      </c>
      <c r="E6" s="53"/>
      <c r="F6" s="53"/>
    </row>
    <row r="7" spans="1:8" x14ac:dyDescent="0.2">
      <c r="A7" s="32"/>
      <c r="B7" s="33"/>
      <c r="C7" s="61"/>
      <c r="D7" s="34"/>
      <c r="E7" s="53"/>
      <c r="F7" s="53"/>
    </row>
    <row r="8" spans="1:8" ht="16" x14ac:dyDescent="0.2">
      <c r="A8" s="28" t="s">
        <v>49</v>
      </c>
      <c r="B8" s="29"/>
      <c r="C8" s="114">
        <f>B68</f>
        <v>0.2915735682397172</v>
      </c>
      <c r="D8" s="21"/>
      <c r="E8" s="53"/>
      <c r="F8" s="53"/>
    </row>
    <row r="9" spans="1:8" ht="17" x14ac:dyDescent="0.2">
      <c r="A9" s="28" t="s">
        <v>50</v>
      </c>
      <c r="B9" s="31" t="s">
        <v>51</v>
      </c>
      <c r="C9" s="60">
        <f>C5*C8</f>
        <v>1749.4414094383033</v>
      </c>
      <c r="D9" s="21" t="s">
        <v>40</v>
      </c>
      <c r="E9" s="53"/>
      <c r="F9" s="53"/>
    </row>
    <row r="10" spans="1:8" ht="16" x14ac:dyDescent="0.2">
      <c r="A10" s="28" t="s">
        <v>52</v>
      </c>
      <c r="B10" s="31"/>
      <c r="C10" s="60">
        <f>1000*C9</f>
        <v>1749441.4094383032</v>
      </c>
      <c r="D10" s="21" t="s">
        <v>48</v>
      </c>
      <c r="E10" s="53"/>
      <c r="F10" s="53"/>
    </row>
    <row r="11" spans="1:8" ht="17" x14ac:dyDescent="0.2">
      <c r="A11" s="28" t="s">
        <v>53</v>
      </c>
      <c r="B11" s="31" t="s">
        <v>54</v>
      </c>
      <c r="C11" s="60">
        <f>C5/C9</f>
        <v>3.4296661595122711</v>
      </c>
      <c r="D11" s="21" t="s">
        <v>48</v>
      </c>
      <c r="E11" s="53"/>
      <c r="F11" s="53"/>
    </row>
    <row r="12" spans="1:8" ht="34" x14ac:dyDescent="0.2">
      <c r="A12" s="28" t="s">
        <v>55</v>
      </c>
      <c r="B12" s="31" t="s">
        <v>56</v>
      </c>
      <c r="C12" s="125">
        <f>C11*C27</f>
        <v>1.6856750160911189</v>
      </c>
      <c r="D12" s="21" t="s">
        <v>48</v>
      </c>
      <c r="E12" s="53"/>
      <c r="F12" s="53"/>
    </row>
    <row r="13" spans="1:8" ht="16" x14ac:dyDescent="0.2">
      <c r="A13" s="35"/>
      <c r="B13" s="36"/>
      <c r="C13" s="61"/>
      <c r="D13" s="34"/>
      <c r="E13" s="53"/>
      <c r="F13" s="53"/>
    </row>
    <row r="14" spans="1:8" ht="16" x14ac:dyDescent="0.2">
      <c r="A14" s="28" t="s">
        <v>57</v>
      </c>
      <c r="B14" s="31"/>
      <c r="C14" s="115">
        <v>0.47699999999999998</v>
      </c>
      <c r="D14" s="21"/>
      <c r="E14" s="53"/>
      <c r="F14" s="53"/>
    </row>
    <row r="15" spans="1:8" ht="16" x14ac:dyDescent="0.2">
      <c r="A15" s="28" t="s">
        <v>175</v>
      </c>
      <c r="B15" s="31"/>
      <c r="C15" s="60">
        <f>C14*C12*H3</f>
        <v>2.9482456031433668</v>
      </c>
      <c r="D15" s="21" t="s">
        <v>48</v>
      </c>
      <c r="E15" s="53"/>
      <c r="F15" s="53"/>
    </row>
    <row r="16" spans="1:8" ht="16" x14ac:dyDescent="0.2">
      <c r="A16" s="28" t="s">
        <v>176</v>
      </c>
      <c r="B16" s="31"/>
      <c r="C16" s="114">
        <v>0.81734008600725672</v>
      </c>
      <c r="D16" s="21"/>
      <c r="E16" s="53"/>
      <c r="F16" s="53"/>
    </row>
    <row r="17" spans="1:16" ht="16" x14ac:dyDescent="0.2">
      <c r="A17" s="28" t="s">
        <v>177</v>
      </c>
      <c r="B17" s="31"/>
      <c r="C17" s="60">
        <f>C16*C15</f>
        <v>2.4097193148437159</v>
      </c>
      <c r="D17" s="21" t="s">
        <v>48</v>
      </c>
      <c r="E17" s="53"/>
      <c r="F17" s="53"/>
    </row>
    <row r="18" spans="1:16" ht="16" x14ac:dyDescent="0.2">
      <c r="A18" s="28" t="s">
        <v>178</v>
      </c>
      <c r="B18" s="31"/>
      <c r="C18" s="124">
        <f>C15-C17</f>
        <v>0.53852628829965088</v>
      </c>
      <c r="D18" s="21"/>
      <c r="E18" s="53"/>
      <c r="F18" s="53"/>
    </row>
    <row r="19" spans="1:16" ht="16" x14ac:dyDescent="0.2">
      <c r="A19" s="28"/>
      <c r="B19" s="31"/>
      <c r="C19" s="60"/>
      <c r="D19" s="21" t="s">
        <v>48</v>
      </c>
      <c r="E19" s="53"/>
      <c r="F19" s="53"/>
    </row>
    <row r="20" spans="1:16" ht="16" x14ac:dyDescent="0.2">
      <c r="A20" s="28" t="s">
        <v>179</v>
      </c>
      <c r="B20" s="31"/>
      <c r="C20" s="60">
        <v>0.72719999999999996</v>
      </c>
      <c r="D20" s="21" t="s">
        <v>48</v>
      </c>
      <c r="E20" s="53"/>
      <c r="F20" s="53"/>
    </row>
    <row r="21" spans="1:16" ht="16" x14ac:dyDescent="0.2">
      <c r="A21" s="28" t="s">
        <v>180</v>
      </c>
      <c r="B21" s="31"/>
      <c r="C21" s="60">
        <f>C20*C17</f>
        <v>1.7523478857543502</v>
      </c>
      <c r="D21" s="21" t="s">
        <v>48</v>
      </c>
      <c r="E21" s="53"/>
      <c r="F21" s="53"/>
    </row>
    <row r="22" spans="1:16" ht="16" x14ac:dyDescent="0.2">
      <c r="A22" s="28" t="s">
        <v>181</v>
      </c>
      <c r="B22" s="31"/>
      <c r="C22" s="124">
        <f>1/C21</f>
        <v>0.57066294206159884</v>
      </c>
      <c r="D22" s="21" t="s">
        <v>48</v>
      </c>
      <c r="E22" s="53"/>
      <c r="F22" s="53"/>
    </row>
    <row r="23" spans="1:16" ht="16" x14ac:dyDescent="0.2">
      <c r="A23" s="37" t="s">
        <v>182</v>
      </c>
      <c r="B23" s="36"/>
      <c r="C23" s="124">
        <f>(C17-C21)*C22</f>
        <v>0.37513751375137516</v>
      </c>
      <c r="D23" s="21" t="s">
        <v>48</v>
      </c>
      <c r="E23" s="53"/>
      <c r="F23" s="53"/>
    </row>
    <row r="24" spans="1:16" x14ac:dyDescent="0.2">
      <c r="A24" s="53"/>
      <c r="B24" s="53"/>
      <c r="C24" s="53"/>
      <c r="D24" s="21"/>
      <c r="E24" s="53"/>
      <c r="F24" s="53"/>
      <c r="L24"/>
      <c r="M24"/>
      <c r="N24"/>
      <c r="O24"/>
      <c r="P24"/>
    </row>
    <row r="25" spans="1:16" ht="16" x14ac:dyDescent="0.2">
      <c r="A25" s="28" t="s">
        <v>58</v>
      </c>
      <c r="B25" s="29"/>
      <c r="C25" s="116">
        <v>275.37</v>
      </c>
      <c r="D25" s="21" t="s">
        <v>59</v>
      </c>
      <c r="E25" s="53"/>
      <c r="F25" s="53"/>
    </row>
    <row r="26" spans="1:16" ht="16" x14ac:dyDescent="0.2">
      <c r="A26" s="28" t="s">
        <v>60</v>
      </c>
      <c r="B26" s="29"/>
      <c r="C26" s="116">
        <v>1325.22</v>
      </c>
      <c r="D26" s="21" t="s">
        <v>59</v>
      </c>
      <c r="E26" s="53"/>
      <c r="F26" s="53"/>
    </row>
    <row r="27" spans="1:16" ht="16" x14ac:dyDescent="0.2">
      <c r="A27" s="28" t="s">
        <v>61</v>
      </c>
      <c r="B27" s="29"/>
      <c r="C27" s="114">
        <f>E68</f>
        <v>0.49149827933423029</v>
      </c>
      <c r="D27" s="21"/>
      <c r="E27" s="53"/>
      <c r="F27" s="53"/>
    </row>
    <row r="28" spans="1:16" ht="34" x14ac:dyDescent="0.2">
      <c r="A28" s="28" t="s">
        <v>62</v>
      </c>
      <c r="B28" s="31" t="s">
        <v>63</v>
      </c>
      <c r="C28" s="60">
        <f>C26*C27</f>
        <v>651.34334973930868</v>
      </c>
      <c r="D28" s="21" t="s">
        <v>59</v>
      </c>
      <c r="E28" s="53"/>
      <c r="F28" s="53"/>
    </row>
    <row r="29" spans="1:16" ht="34" x14ac:dyDescent="0.2">
      <c r="A29" s="28" t="s">
        <v>64</v>
      </c>
      <c r="B29" s="31" t="s">
        <v>65</v>
      </c>
      <c r="C29" s="60">
        <f>C25*C27</f>
        <v>135.343881180267</v>
      </c>
      <c r="D29" s="21" t="s">
        <v>59</v>
      </c>
      <c r="E29" s="53"/>
      <c r="F29" s="53"/>
    </row>
    <row r="30" spans="1:16" ht="17" x14ac:dyDescent="0.2">
      <c r="A30" s="28" t="s">
        <v>66</v>
      </c>
      <c r="B30" s="31" t="s">
        <v>67</v>
      </c>
      <c r="C30" s="124">
        <f>((C28*B32)/C10)</f>
        <v>0.37231504080404548</v>
      </c>
      <c r="D30" s="21" t="s">
        <v>68</v>
      </c>
      <c r="E30" s="53"/>
      <c r="F30" s="53"/>
    </row>
    <row r="31" spans="1:16" ht="34" x14ac:dyDescent="0.2">
      <c r="A31" s="28" t="s">
        <v>69</v>
      </c>
      <c r="B31" s="31" t="s">
        <v>70</v>
      </c>
      <c r="C31" s="124">
        <f>((C29*B33)/C10)</f>
        <v>2.1490015257053657E-2</v>
      </c>
      <c r="D31" s="21" t="s">
        <v>71</v>
      </c>
      <c r="E31" s="53"/>
      <c r="F31" s="53"/>
    </row>
    <row r="32" spans="1:16" ht="16" x14ac:dyDescent="0.2">
      <c r="A32" s="28" t="s">
        <v>72</v>
      </c>
      <c r="B32" s="6">
        <v>1000</v>
      </c>
      <c r="C32" s="63"/>
      <c r="D32" s="21"/>
      <c r="E32" s="53"/>
      <c r="F32" s="53"/>
    </row>
    <row r="33" spans="1:6" ht="16" x14ac:dyDescent="0.2">
      <c r="A33" s="28" t="s">
        <v>73</v>
      </c>
      <c r="B33" s="6">
        <v>277.77777800000001</v>
      </c>
      <c r="C33" s="63"/>
      <c r="D33" s="21"/>
      <c r="E33" s="53"/>
      <c r="F33" s="53"/>
    </row>
    <row r="34" spans="1:6" x14ac:dyDescent="0.2">
      <c r="A34" s="32"/>
      <c r="B34" s="33"/>
      <c r="C34" s="61"/>
      <c r="D34" s="34"/>
      <c r="E34" s="53"/>
      <c r="F34" s="53"/>
    </row>
    <row r="35" spans="1:6" ht="16" x14ac:dyDescent="0.2">
      <c r="A35" s="28" t="s">
        <v>74</v>
      </c>
      <c r="B35" s="6"/>
      <c r="C35" s="63"/>
      <c r="D35" s="21"/>
      <c r="E35" s="53"/>
      <c r="F35" s="53"/>
    </row>
    <row r="36" spans="1:6" x14ac:dyDescent="0.2">
      <c r="A36" s="39"/>
      <c r="B36" s="6"/>
      <c r="C36" s="63"/>
      <c r="D36" s="21"/>
      <c r="E36" s="53"/>
      <c r="F36" s="53"/>
    </row>
    <row r="37" spans="1:6" ht="17" x14ac:dyDescent="0.2">
      <c r="A37" s="28" t="s">
        <v>75</v>
      </c>
      <c r="B37" s="31" t="s">
        <v>76</v>
      </c>
      <c r="C37" s="115">
        <f>1-C4</f>
        <v>0.4</v>
      </c>
      <c r="D37" s="21"/>
      <c r="E37" s="53"/>
      <c r="F37" s="53"/>
    </row>
    <row r="38" spans="1:6" ht="34" x14ac:dyDescent="0.2">
      <c r="A38" s="28" t="s">
        <v>77</v>
      </c>
      <c r="B38" s="31" t="s">
        <v>78</v>
      </c>
      <c r="C38" s="58">
        <v>0</v>
      </c>
      <c r="D38" s="21" t="s">
        <v>59</v>
      </c>
      <c r="E38" s="53"/>
      <c r="F38" s="53"/>
    </row>
    <row r="39" spans="1:6" ht="16" x14ac:dyDescent="0.2">
      <c r="A39" s="28" t="s">
        <v>79</v>
      </c>
      <c r="B39" s="6"/>
      <c r="C39" s="63">
        <f>(C38/10000)*B33*0.001</f>
        <v>0</v>
      </c>
      <c r="D39" s="21" t="s">
        <v>71</v>
      </c>
      <c r="E39" s="53"/>
      <c r="F39" s="53"/>
    </row>
    <row r="40" spans="1:6" ht="51" x14ac:dyDescent="0.2">
      <c r="A40" s="28" t="s">
        <v>80</v>
      </c>
      <c r="B40" s="31" t="s">
        <v>81</v>
      </c>
      <c r="C40" s="60">
        <f>(C37*B74*B33)/1000</f>
        <v>1.3588888899760003E-2</v>
      </c>
      <c r="D40" s="21" t="s">
        <v>71</v>
      </c>
      <c r="E40" s="53"/>
      <c r="F40" s="53"/>
    </row>
    <row r="41" spans="1:6" ht="16" x14ac:dyDescent="0.2">
      <c r="A41" s="28" t="s">
        <v>82</v>
      </c>
      <c r="B41" s="29"/>
      <c r="C41" s="124">
        <f>SUM(C39:C40)</f>
        <v>1.3588888899760003E-2</v>
      </c>
      <c r="D41" s="21" t="s">
        <v>71</v>
      </c>
      <c r="E41" s="53">
        <f>C41*10000</f>
        <v>135.88888899760002</v>
      </c>
      <c r="F41" s="53"/>
    </row>
    <row r="42" spans="1:6" ht="16" x14ac:dyDescent="0.2">
      <c r="A42" s="28" t="s">
        <v>83</v>
      </c>
      <c r="B42" s="6"/>
      <c r="C42" s="67">
        <v>2.7</v>
      </c>
      <c r="D42" s="21" t="s">
        <v>84</v>
      </c>
      <c r="E42" s="53"/>
      <c r="F42" s="53"/>
    </row>
    <row r="43" spans="1:6" ht="34" x14ac:dyDescent="0.2">
      <c r="A43" s="28" t="s">
        <v>85</v>
      </c>
      <c r="B43" s="31" t="s">
        <v>86</v>
      </c>
      <c r="C43" s="126">
        <f>C37*C42*B32/1000</f>
        <v>1.08</v>
      </c>
      <c r="D43" s="21" t="s">
        <v>68</v>
      </c>
      <c r="E43" s="53">
        <f>C43*C3</f>
        <v>10800</v>
      </c>
      <c r="F43" s="53"/>
    </row>
    <row r="44" spans="1:6" x14ac:dyDescent="0.2">
      <c r="A44" s="40"/>
      <c r="B44" s="41"/>
      <c r="C44" s="62"/>
      <c r="D44" s="42"/>
      <c r="E44" s="53"/>
      <c r="F44" s="53"/>
    </row>
    <row r="45" spans="1:6" x14ac:dyDescent="0.2">
      <c r="A45" s="43" t="s">
        <v>87</v>
      </c>
      <c r="B45" s="29"/>
      <c r="C45" s="60"/>
      <c r="D45" s="44"/>
      <c r="E45" s="53"/>
      <c r="F45" s="53"/>
    </row>
    <row r="46" spans="1:6" ht="16" x14ac:dyDescent="0.2">
      <c r="A46" s="39" t="s">
        <v>114</v>
      </c>
      <c r="B46" s="29"/>
      <c r="C46" s="69">
        <v>20</v>
      </c>
      <c r="D46" s="44" t="s">
        <v>112</v>
      </c>
      <c r="E46" s="53"/>
      <c r="F46" s="53"/>
    </row>
    <row r="47" spans="1:6" ht="16" x14ac:dyDescent="0.2">
      <c r="A47" s="45" t="s">
        <v>115</v>
      </c>
      <c r="B47" s="6"/>
      <c r="C47" s="68">
        <v>10000</v>
      </c>
      <c r="D47" s="21" t="s">
        <v>113</v>
      </c>
      <c r="E47" s="53"/>
      <c r="F47" s="53"/>
    </row>
    <row r="48" spans="1:6" ht="16" x14ac:dyDescent="0.2">
      <c r="A48" s="45" t="s">
        <v>117</v>
      </c>
      <c r="B48" s="6"/>
      <c r="C48" s="30">
        <f>C47*C8*C46</f>
        <v>58314.713647943434</v>
      </c>
      <c r="D48" s="21" t="s">
        <v>40</v>
      </c>
      <c r="E48" s="53"/>
      <c r="F48" s="53"/>
    </row>
    <row r="49" spans="1:6" ht="16" x14ac:dyDescent="0.2">
      <c r="A49" s="45" t="s">
        <v>116</v>
      </c>
      <c r="B49" s="46"/>
      <c r="C49" s="38">
        <f>C48*1000</f>
        <v>58314713.647943437</v>
      </c>
      <c r="D49" s="21" t="s">
        <v>48</v>
      </c>
      <c r="E49" s="53"/>
      <c r="F49" s="53"/>
    </row>
    <row r="50" spans="1:6" ht="32" x14ac:dyDescent="0.2">
      <c r="A50" s="47" t="s">
        <v>111</v>
      </c>
      <c r="B50" s="6"/>
      <c r="C50" s="48">
        <f>1/C49</f>
        <v>1.7148330797561358E-8</v>
      </c>
      <c r="D50" s="21"/>
      <c r="E50" s="53"/>
      <c r="F50" s="53"/>
    </row>
    <row r="51" spans="1:6" ht="16" x14ac:dyDescent="0.2">
      <c r="A51" s="49" t="s">
        <v>88</v>
      </c>
      <c r="B51" s="6"/>
      <c r="C51" s="127">
        <f>C50*E68</f>
        <v>8.4283750804555964E-9</v>
      </c>
      <c r="D51" s="21"/>
      <c r="E51" s="53"/>
      <c r="F51" s="53"/>
    </row>
    <row r="52" spans="1:6" ht="16" thickBot="1" x14ac:dyDescent="0.25">
      <c r="A52" s="50"/>
      <c r="B52" s="51"/>
      <c r="C52" s="64"/>
      <c r="D52" s="52"/>
      <c r="E52" s="53"/>
      <c r="F52" s="53"/>
    </row>
    <row r="53" spans="1:6" ht="16" thickBot="1" x14ac:dyDescent="0.25">
      <c r="A53" s="6"/>
      <c r="B53" s="6"/>
      <c r="C53" s="63"/>
      <c r="D53" s="5"/>
      <c r="E53" s="53"/>
      <c r="F53" s="53"/>
    </row>
    <row r="54" spans="1:6" x14ac:dyDescent="0.2">
      <c r="A54" s="18" t="s">
        <v>89</v>
      </c>
      <c r="B54" s="19" t="s">
        <v>90</v>
      </c>
      <c r="C54" s="63"/>
      <c r="D54" s="5"/>
      <c r="E54" s="53"/>
      <c r="F54" s="53"/>
    </row>
    <row r="55" spans="1:6" x14ac:dyDescent="0.2">
      <c r="A55" s="20" t="s">
        <v>91</v>
      </c>
      <c r="B55" s="21">
        <v>33.9</v>
      </c>
      <c r="C55" s="63"/>
      <c r="D55" s="5"/>
      <c r="E55" s="53"/>
      <c r="F55" s="53"/>
    </row>
    <row r="56" spans="1:6" x14ac:dyDescent="0.2">
      <c r="A56" s="20" t="s">
        <v>92</v>
      </c>
      <c r="B56" s="21">
        <v>32.07</v>
      </c>
      <c r="C56" s="63"/>
      <c r="D56" s="5"/>
      <c r="E56" s="53"/>
      <c r="F56" s="53"/>
    </row>
    <row r="57" spans="1:6" x14ac:dyDescent="0.2">
      <c r="A57" s="20" t="s">
        <v>93</v>
      </c>
      <c r="B57" s="21">
        <v>21.61</v>
      </c>
      <c r="C57" s="63"/>
      <c r="D57" s="5"/>
      <c r="E57" s="53"/>
      <c r="F57" s="53"/>
    </row>
    <row r="58" spans="1:6" x14ac:dyDescent="0.2">
      <c r="A58" s="20" t="s">
        <v>94</v>
      </c>
      <c r="B58" s="21">
        <v>25.63</v>
      </c>
      <c r="C58" s="63"/>
      <c r="D58" s="5"/>
      <c r="E58" s="53"/>
      <c r="F58" s="53"/>
    </row>
    <row r="59" spans="1:6" x14ac:dyDescent="0.2">
      <c r="A59" s="20" t="s">
        <v>95</v>
      </c>
      <c r="B59" s="21">
        <v>30.8</v>
      </c>
      <c r="C59" s="63"/>
      <c r="D59" s="5"/>
      <c r="E59" s="53"/>
      <c r="F59" s="53"/>
    </row>
    <row r="60" spans="1:6" x14ac:dyDescent="0.2">
      <c r="A60" s="20" t="s">
        <v>96</v>
      </c>
      <c r="B60" s="21">
        <v>34.9</v>
      </c>
      <c r="C60" s="63"/>
      <c r="D60" s="5"/>
      <c r="E60" s="53"/>
      <c r="F60" s="53"/>
    </row>
    <row r="61" spans="1:6" x14ac:dyDescent="0.2">
      <c r="A61" s="22" t="s">
        <v>97</v>
      </c>
      <c r="B61" s="23" t="s">
        <v>90</v>
      </c>
      <c r="C61" s="63"/>
      <c r="D61" s="5"/>
      <c r="E61" s="53"/>
      <c r="F61" s="53"/>
    </row>
    <row r="62" spans="1:6" x14ac:dyDescent="0.2">
      <c r="A62" s="20" t="s">
        <v>98</v>
      </c>
      <c r="B62" s="117">
        <v>16.948732546154535</v>
      </c>
      <c r="C62" s="63"/>
      <c r="D62" s="5"/>
      <c r="E62" s="53"/>
      <c r="F62" s="53"/>
    </row>
    <row r="63" spans="1:6" ht="16" thickBot="1" x14ac:dyDescent="0.25">
      <c r="A63" s="24" t="s">
        <v>99</v>
      </c>
      <c r="B63" s="118">
        <v>7.5575179617470107</v>
      </c>
      <c r="C63" s="63"/>
      <c r="D63" s="5"/>
      <c r="E63" s="53"/>
      <c r="F63" s="53"/>
    </row>
    <row r="64" spans="1:6" ht="16" thickBot="1" x14ac:dyDescent="0.25">
      <c r="A64" s="6"/>
      <c r="B64" s="6"/>
      <c r="C64" s="63"/>
      <c r="D64" s="5"/>
      <c r="E64" s="53"/>
      <c r="F64" s="53"/>
    </row>
    <row r="65" spans="1:6" x14ac:dyDescent="0.2">
      <c r="A65" s="8" t="s">
        <v>100</v>
      </c>
      <c r="B65" s="9" t="s">
        <v>110</v>
      </c>
      <c r="C65" s="65" t="s">
        <v>101</v>
      </c>
      <c r="D65" s="9" t="s">
        <v>102</v>
      </c>
      <c r="E65" s="10" t="s">
        <v>103</v>
      </c>
      <c r="F65" s="53"/>
    </row>
    <row r="66" spans="1:6" x14ac:dyDescent="0.2">
      <c r="A66" s="11" t="s">
        <v>104</v>
      </c>
      <c r="B66" s="7">
        <v>0.55444282643361198</v>
      </c>
      <c r="C66" s="38">
        <f>B66*C5</f>
        <v>3326.6569586016717</v>
      </c>
      <c r="D66" s="38">
        <f>C66*B62</f>
        <v>56382.619064143611</v>
      </c>
      <c r="E66" s="57">
        <f>D66/(SUM(D66:D68))</f>
        <v>0.45388143408887166</v>
      </c>
      <c r="F66" s="53"/>
    </row>
    <row r="67" spans="1:6" x14ac:dyDescent="0.2">
      <c r="A67" s="11" t="s">
        <v>99</v>
      </c>
      <c r="B67" s="7">
        <v>0.14963264859882208</v>
      </c>
      <c r="C67" s="38">
        <f>B67*C5</f>
        <v>897.79589159293255</v>
      </c>
      <c r="D67" s="38">
        <f>C67*B63</f>
        <v>6785.1085766962597</v>
      </c>
      <c r="E67" s="57">
        <f>D67/(SUM(D66:D68))</f>
        <v>5.4620286576898075E-2</v>
      </c>
      <c r="F67" s="53"/>
    </row>
    <row r="68" spans="1:6" ht="16" thickBot="1" x14ac:dyDescent="0.25">
      <c r="A68" s="12" t="s">
        <v>105</v>
      </c>
      <c r="B68" s="13">
        <v>0.2915735682397172</v>
      </c>
      <c r="C68" s="70">
        <f>B68*C5</f>
        <v>1749.4414094383033</v>
      </c>
      <c r="D68" s="70">
        <f>C68*B60</f>
        <v>61055.505189396783</v>
      </c>
      <c r="E68" s="128">
        <f>D68/(SUM(D66:D68))</f>
        <v>0.49149827933423029</v>
      </c>
      <c r="F68" s="53"/>
    </row>
    <row r="69" spans="1:6" ht="16" thickBot="1" x14ac:dyDescent="0.25">
      <c r="A69" s="6"/>
      <c r="B69" s="6"/>
      <c r="C69" s="63"/>
      <c r="D69" s="5"/>
      <c r="E69" s="53"/>
      <c r="F69" s="53"/>
    </row>
    <row r="70" spans="1:6" x14ac:dyDescent="0.2">
      <c r="A70" s="14" t="s">
        <v>106</v>
      </c>
      <c r="B70" s="15" t="s">
        <v>107</v>
      </c>
      <c r="C70" s="63"/>
      <c r="D70" s="5"/>
      <c r="E70" s="53"/>
      <c r="F70" s="53"/>
    </row>
    <row r="71" spans="1:6" ht="16" thickBot="1" x14ac:dyDescent="0.25">
      <c r="A71" s="16" t="s">
        <v>95</v>
      </c>
      <c r="B71" s="134">
        <v>19.485851431987626</v>
      </c>
      <c r="C71" s="63"/>
      <c r="D71" s="5"/>
      <c r="E71" s="53"/>
      <c r="F71" s="53"/>
    </row>
    <row r="72" spans="1:6" ht="16" thickBot="1" x14ac:dyDescent="0.25">
      <c r="A72" s="6"/>
      <c r="B72" s="55"/>
      <c r="C72" s="63"/>
      <c r="D72" s="5"/>
      <c r="E72" s="53"/>
      <c r="F72" s="53"/>
    </row>
    <row r="73" spans="1:6" x14ac:dyDescent="0.2">
      <c r="A73" s="14" t="s">
        <v>108</v>
      </c>
      <c r="B73" s="56">
        <v>5.0000000000000001E-4</v>
      </c>
      <c r="C73" s="63"/>
      <c r="D73" s="5"/>
      <c r="E73" s="53"/>
      <c r="F73" s="53"/>
    </row>
    <row r="74" spans="1:6" ht="16" thickBot="1" x14ac:dyDescent="0.25">
      <c r="A74" s="16" t="s">
        <v>109</v>
      </c>
      <c r="B74" s="17">
        <v>0.12230000000000001</v>
      </c>
      <c r="C74" s="63"/>
      <c r="D74" s="5"/>
      <c r="E74" s="53"/>
      <c r="F74" s="53"/>
    </row>
    <row r="75" spans="1:6" x14ac:dyDescent="0.2">
      <c r="A75" s="6"/>
      <c r="B75" s="6"/>
      <c r="C75" s="63"/>
      <c r="D75" s="5"/>
      <c r="E75" s="53"/>
      <c r="F75" s="53"/>
    </row>
    <row r="76" spans="1:6" x14ac:dyDescent="0.2">
      <c r="A76" s="6"/>
      <c r="B76" s="6"/>
      <c r="C76" s="63"/>
      <c r="D76" s="5"/>
      <c r="E76" s="53"/>
      <c r="F76" s="53"/>
    </row>
    <row r="77" spans="1:6" ht="17.25" customHeight="1" x14ac:dyDescent="0.2">
      <c r="A77" s="190" t="s">
        <v>252</v>
      </c>
      <c r="B77" s="190"/>
      <c r="C77" s="190"/>
      <c r="D77" s="190"/>
      <c r="E77" s="105" t="s">
        <v>235</v>
      </c>
      <c r="F77" s="53"/>
    </row>
    <row r="78" spans="1:6" x14ac:dyDescent="0.2">
      <c r="A78" s="190"/>
      <c r="B78" s="190"/>
      <c r="C78" s="190"/>
      <c r="D78" s="190"/>
      <c r="E78" s="53"/>
      <c r="F78" s="53"/>
    </row>
    <row r="79" spans="1:6" x14ac:dyDescent="0.2">
      <c r="A79" s="190"/>
      <c r="B79" s="190"/>
      <c r="C79" s="190"/>
      <c r="D79" s="190"/>
      <c r="E79" s="53"/>
      <c r="F79" s="53"/>
    </row>
    <row r="80" spans="1:6" ht="41.25" customHeight="1" x14ac:dyDescent="0.2">
      <c r="A80" s="190"/>
      <c r="B80" s="190"/>
      <c r="C80" s="190"/>
      <c r="D80" s="190"/>
      <c r="E80" s="53"/>
      <c r="F80" s="53"/>
    </row>
    <row r="81" spans="1:17" ht="16" thickBot="1" x14ac:dyDescent="0.25">
      <c r="A81" s="6"/>
      <c r="B81" s="6"/>
      <c r="C81" s="63"/>
      <c r="D81" s="5"/>
      <c r="E81" s="53"/>
      <c r="F81" s="53"/>
    </row>
    <row r="82" spans="1:17" s="108" customFormat="1" ht="32" x14ac:dyDescent="0.2">
      <c r="A82" s="106" t="s">
        <v>253</v>
      </c>
      <c r="B82" s="107" t="s">
        <v>243</v>
      </c>
      <c r="C82" s="107" t="s">
        <v>244</v>
      </c>
      <c r="D82" s="107" t="s">
        <v>245</v>
      </c>
      <c r="E82" s="107" t="s">
        <v>246</v>
      </c>
      <c r="F82" s="107" t="s">
        <v>247</v>
      </c>
      <c r="G82" s="107" t="s">
        <v>254</v>
      </c>
      <c r="H82" s="107" t="s">
        <v>255</v>
      </c>
      <c r="I82" s="107" t="s">
        <v>256</v>
      </c>
      <c r="J82" s="107" t="s">
        <v>257</v>
      </c>
      <c r="K82" s="107" t="s">
        <v>258</v>
      </c>
      <c r="L82" s="107" t="s">
        <v>259</v>
      </c>
      <c r="M82" s="107" t="s">
        <v>260</v>
      </c>
      <c r="N82" s="107" t="s">
        <v>261</v>
      </c>
      <c r="O82" s="107" t="s">
        <v>262</v>
      </c>
      <c r="P82" s="107" t="s">
        <v>263</v>
      </c>
      <c r="Q82" s="107" t="s">
        <v>264</v>
      </c>
    </row>
    <row r="83" spans="1:17" s="96" customFormat="1" ht="16" thickBot="1" x14ac:dyDescent="0.25">
      <c r="A83" s="109"/>
      <c r="B83" s="96">
        <v>0.05</v>
      </c>
      <c r="C83" s="96">
        <v>0.2</v>
      </c>
      <c r="D83" s="96">
        <v>97</v>
      </c>
      <c r="E83" s="96">
        <v>98</v>
      </c>
      <c r="F83" s="96">
        <v>30</v>
      </c>
      <c r="G83" s="96">
        <v>1300</v>
      </c>
      <c r="H83" s="96">
        <v>0.2</v>
      </c>
      <c r="I83" s="96">
        <f t="shared" ref="I83" si="0">IFERROR(G83*H83*10000,"")</f>
        <v>2600000</v>
      </c>
      <c r="J83" s="96">
        <f>IFERROR(F83*1000,"")</f>
        <v>30000</v>
      </c>
      <c r="K83" s="96">
        <f>IFERROR(J83/I83,"")</f>
        <v>1.1538461538461539E-2</v>
      </c>
      <c r="L83" s="96">
        <f>IFERROR(B83*(D83/100),"")</f>
        <v>4.8500000000000001E-2</v>
      </c>
      <c r="M83" s="96">
        <f>IFERROR(C83*(E83/100),"")</f>
        <v>0.19600000000000001</v>
      </c>
      <c r="N83" s="96">
        <f>IFERROR(L83/K83,"")</f>
        <v>4.2033333333333331</v>
      </c>
      <c r="O83" s="96">
        <f>IFERROR(M83/K83,"")</f>
        <v>16.986666666666668</v>
      </c>
      <c r="P83" s="110">
        <f>IFERROR(N83/1000000,"")</f>
        <v>4.2033333333333335E-6</v>
      </c>
      <c r="Q83" s="111">
        <f t="shared" ref="Q83" si="1">IFERROR(O83/1000000,"")</f>
        <v>1.6986666666666668E-5</v>
      </c>
    </row>
    <row r="84" spans="1:17" x14ac:dyDescent="0.2">
      <c r="A84" s="6"/>
      <c r="B84" s="6"/>
      <c r="C84" s="63"/>
      <c r="D84" s="5"/>
      <c r="E84" s="53"/>
      <c r="F84" s="53"/>
    </row>
    <row r="85" spans="1:17" x14ac:dyDescent="0.2">
      <c r="A85" s="191" t="s">
        <v>265</v>
      </c>
      <c r="B85" s="191"/>
      <c r="C85" s="191"/>
      <c r="D85" s="105" t="s">
        <v>239</v>
      </c>
      <c r="E85" s="53"/>
      <c r="F85" s="53"/>
    </row>
    <row r="86" spans="1:17" x14ac:dyDescent="0.2">
      <c r="A86" s="191"/>
      <c r="B86" s="191"/>
      <c r="C86" s="191"/>
      <c r="D86" s="5"/>
      <c r="F86" s="53"/>
    </row>
    <row r="87" spans="1:17" x14ac:dyDescent="0.2">
      <c r="A87" s="122"/>
      <c r="B87" s="6" t="s">
        <v>241</v>
      </c>
      <c r="C87" s="63"/>
      <c r="D87" s="5"/>
      <c r="E87" s="53"/>
      <c r="F87" s="53"/>
    </row>
    <row r="88" spans="1:17" x14ac:dyDescent="0.2">
      <c r="A88" s="6">
        <v>3.5576373626373633E-6</v>
      </c>
      <c r="B88" s="6">
        <v>3.4825621795275867</v>
      </c>
      <c r="C88" s="63"/>
      <c r="D88" s="5"/>
      <c r="E88" s="53"/>
      <c r="F88" s="53"/>
    </row>
    <row r="89" spans="1:17" x14ac:dyDescent="0.2">
      <c r="A89" s="6" t="s">
        <v>333</v>
      </c>
      <c r="B89" s="6" t="s">
        <v>291</v>
      </c>
      <c r="C89" s="63"/>
      <c r="D89" s="5"/>
      <c r="E89" s="53"/>
      <c r="F89" s="53"/>
    </row>
    <row r="90" spans="1:17" x14ac:dyDescent="0.2">
      <c r="A90" s="6" t="s">
        <v>188</v>
      </c>
      <c r="B90" s="6"/>
      <c r="C90" s="63"/>
      <c r="D90" s="5"/>
      <c r="E90" s="53"/>
      <c r="F90" s="53"/>
    </row>
    <row r="91" spans="1:17" x14ac:dyDescent="0.2">
      <c r="A91" s="6"/>
      <c r="B91" s="6"/>
      <c r="C91" s="63"/>
      <c r="D91" s="5"/>
      <c r="E91" s="53"/>
      <c r="F91" s="53"/>
    </row>
    <row r="92" spans="1:17" s="53" customFormat="1" x14ac:dyDescent="0.2">
      <c r="A92" s="6"/>
      <c r="B92" s="6"/>
      <c r="C92" s="63"/>
      <c r="D92" s="5"/>
    </row>
    <row r="93" spans="1:17" s="53" customFormat="1" x14ac:dyDescent="0.2">
      <c r="A93" s="6"/>
      <c r="B93" s="6"/>
      <c r="C93" s="63"/>
      <c r="D93" s="5"/>
    </row>
    <row r="94" spans="1:17" s="53" customFormat="1" x14ac:dyDescent="0.2">
      <c r="A94" s="6"/>
      <c r="B94" s="6"/>
      <c r="C94" s="63"/>
      <c r="D94" s="5"/>
    </row>
    <row r="95" spans="1:17" s="53" customFormat="1" x14ac:dyDescent="0.2">
      <c r="A95" s="6"/>
      <c r="B95" s="6"/>
      <c r="C95" s="63"/>
      <c r="D95" s="5"/>
    </row>
    <row r="96" spans="1:17" s="53" customFormat="1" x14ac:dyDescent="0.2">
      <c r="A96" s="6"/>
      <c r="B96" s="6"/>
      <c r="C96" s="63"/>
      <c r="D96" s="5"/>
    </row>
    <row r="97" spans="1:6" x14ac:dyDescent="0.2">
      <c r="A97" s="6"/>
      <c r="B97" s="6"/>
      <c r="C97" s="63"/>
      <c r="D97" s="5"/>
      <c r="E97" s="53"/>
      <c r="F97" s="53"/>
    </row>
    <row r="98" spans="1:6" x14ac:dyDescent="0.2">
      <c r="A98" s="6"/>
      <c r="B98" s="6"/>
      <c r="C98" s="63"/>
      <c r="D98" s="5"/>
      <c r="E98" s="53"/>
      <c r="F98" s="53"/>
    </row>
    <row r="99" spans="1:6" x14ac:dyDescent="0.2">
      <c r="A99" s="6"/>
      <c r="B99" s="6"/>
      <c r="C99" s="63"/>
      <c r="D99" s="5"/>
      <c r="E99" s="53"/>
      <c r="F99" s="53"/>
    </row>
    <row r="100" spans="1:6" x14ac:dyDescent="0.2">
      <c r="A100" s="6"/>
      <c r="B100" s="6"/>
      <c r="C100" s="63"/>
      <c r="D100" s="5"/>
      <c r="E100" s="53"/>
      <c r="F100" s="53"/>
    </row>
    <row r="101" spans="1:6" x14ac:dyDescent="0.2">
      <c r="A101" s="6"/>
      <c r="B101" s="6"/>
      <c r="C101" s="63"/>
      <c r="D101" s="5"/>
      <c r="E101" s="53"/>
      <c r="F101" s="53"/>
    </row>
    <row r="102" spans="1:6" x14ac:dyDescent="0.2">
      <c r="A102" s="6"/>
      <c r="B102" s="6"/>
      <c r="C102" s="63"/>
      <c r="D102" s="5"/>
      <c r="E102" s="53"/>
      <c r="F102" s="53"/>
    </row>
    <row r="103" spans="1:6" x14ac:dyDescent="0.2">
      <c r="A103" s="6"/>
      <c r="B103" s="6"/>
      <c r="C103" s="63"/>
      <c r="D103" s="5"/>
      <c r="E103" s="53"/>
      <c r="F103" s="53"/>
    </row>
    <row r="104" spans="1:6" x14ac:dyDescent="0.2">
      <c r="A104" s="6"/>
      <c r="B104" s="6"/>
      <c r="C104" s="63"/>
      <c r="D104" s="5"/>
      <c r="E104" s="53"/>
      <c r="F104" s="53"/>
    </row>
    <row r="105" spans="1:6" x14ac:dyDescent="0.2">
      <c r="A105" s="6"/>
      <c r="B105" s="6"/>
      <c r="C105" s="63"/>
      <c r="D105" s="5"/>
      <c r="E105" s="53"/>
      <c r="F105" s="53"/>
    </row>
    <row r="106" spans="1:6" x14ac:dyDescent="0.2">
      <c r="A106" s="6"/>
      <c r="B106" s="6"/>
      <c r="C106" s="63"/>
      <c r="D106" s="5"/>
      <c r="E106" s="53"/>
      <c r="F106" s="53"/>
    </row>
    <row r="107" spans="1:6" x14ac:dyDescent="0.2">
      <c r="A107" s="6"/>
      <c r="B107" s="6"/>
      <c r="C107" s="63"/>
      <c r="D107" s="5"/>
      <c r="E107" s="53"/>
      <c r="F107" s="53"/>
    </row>
    <row r="108" spans="1:6" x14ac:dyDescent="0.2">
      <c r="A108" s="6"/>
      <c r="B108" s="6"/>
      <c r="C108" s="63"/>
      <c r="D108" s="5"/>
      <c r="E108" s="53"/>
      <c r="F108" s="53"/>
    </row>
    <row r="109" spans="1:6" x14ac:dyDescent="0.2">
      <c r="A109" s="6"/>
      <c r="B109" s="6"/>
      <c r="C109" s="63"/>
      <c r="D109" s="5"/>
      <c r="E109" s="53"/>
      <c r="F109" s="53"/>
    </row>
    <row r="110" spans="1:6" x14ac:dyDescent="0.2">
      <c r="A110" s="6"/>
      <c r="B110" s="6"/>
      <c r="C110" s="63"/>
      <c r="D110" s="5"/>
      <c r="E110" s="53"/>
      <c r="F110" s="53"/>
    </row>
    <row r="111" spans="1:6" x14ac:dyDescent="0.2">
      <c r="A111" s="6"/>
      <c r="B111" s="6"/>
      <c r="C111" s="63"/>
      <c r="D111" s="5"/>
      <c r="E111" s="53"/>
      <c r="F111" s="53"/>
    </row>
    <row r="112" spans="1:6" x14ac:dyDescent="0.2">
      <c r="A112" s="6"/>
      <c r="B112" s="6"/>
      <c r="C112" s="63"/>
      <c r="D112" s="5"/>
      <c r="E112" s="53"/>
      <c r="F112" s="53"/>
    </row>
    <row r="113" spans="1:6" x14ac:dyDescent="0.2">
      <c r="A113" s="6"/>
      <c r="B113" s="6"/>
      <c r="C113" s="63"/>
      <c r="D113" s="5"/>
      <c r="E113" s="53"/>
      <c r="F113" s="53"/>
    </row>
    <row r="114" spans="1:6" x14ac:dyDescent="0.2">
      <c r="A114" s="6"/>
      <c r="B114" s="6"/>
      <c r="C114" s="63"/>
      <c r="D114" s="5"/>
      <c r="E114" s="53"/>
      <c r="F114" s="53"/>
    </row>
    <row r="115" spans="1:6" x14ac:dyDescent="0.2">
      <c r="A115" s="6"/>
      <c r="B115" s="6"/>
      <c r="C115" s="63"/>
      <c r="D115" s="5"/>
      <c r="E115" s="53"/>
      <c r="F115" s="53"/>
    </row>
    <row r="116" spans="1:6" x14ac:dyDescent="0.2">
      <c r="A116" s="6"/>
      <c r="B116" s="6"/>
      <c r="C116" s="63"/>
      <c r="D116" s="5"/>
      <c r="E116" s="53"/>
      <c r="F116" s="53"/>
    </row>
    <row r="117" spans="1:6" x14ac:dyDescent="0.2">
      <c r="A117" s="6"/>
      <c r="B117" s="6"/>
      <c r="C117" s="63"/>
      <c r="D117" s="5"/>
      <c r="E117" s="53"/>
      <c r="F117" s="53"/>
    </row>
    <row r="118" spans="1:6" x14ac:dyDescent="0.2">
      <c r="A118" s="6"/>
      <c r="B118" s="6"/>
      <c r="C118" s="63"/>
      <c r="D118" s="5"/>
      <c r="E118" s="53"/>
      <c r="F118" s="53"/>
    </row>
    <row r="119" spans="1:6" x14ac:dyDescent="0.2">
      <c r="A119" s="6"/>
      <c r="B119" s="6"/>
      <c r="C119" s="63"/>
      <c r="D119" s="5"/>
      <c r="E119" s="53"/>
      <c r="F119" s="53"/>
    </row>
    <row r="120" spans="1:6" x14ac:dyDescent="0.2">
      <c r="A120" s="6"/>
      <c r="B120" s="6"/>
      <c r="C120" s="63"/>
      <c r="D120" s="5"/>
      <c r="E120" s="53"/>
      <c r="F120" s="53"/>
    </row>
    <row r="121" spans="1:6" x14ac:dyDescent="0.2">
      <c r="A121" s="6"/>
      <c r="B121" s="6"/>
      <c r="C121" s="63"/>
      <c r="D121" s="5"/>
      <c r="E121" s="53"/>
      <c r="F121" s="53"/>
    </row>
    <row r="122" spans="1:6" x14ac:dyDescent="0.2">
      <c r="A122" s="6"/>
      <c r="B122" s="6"/>
      <c r="C122" s="63"/>
      <c r="D122" s="5"/>
      <c r="E122" s="53"/>
      <c r="F122" s="53"/>
    </row>
    <row r="123" spans="1:6" x14ac:dyDescent="0.2">
      <c r="A123" s="6"/>
      <c r="B123" s="6"/>
      <c r="C123" s="63"/>
      <c r="D123" s="5"/>
      <c r="E123" s="53"/>
      <c r="F123" s="53"/>
    </row>
    <row r="124" spans="1:6" x14ac:dyDescent="0.2">
      <c r="A124" s="6"/>
      <c r="B124" s="6"/>
      <c r="C124" s="63"/>
      <c r="D124" s="5"/>
      <c r="E124" s="53"/>
      <c r="F124" s="53"/>
    </row>
    <row r="125" spans="1:6" x14ac:dyDescent="0.2">
      <c r="A125" s="6"/>
      <c r="B125" s="6"/>
      <c r="C125" s="63"/>
      <c r="D125" s="5"/>
      <c r="E125" s="53"/>
      <c r="F125" s="53"/>
    </row>
    <row r="126" spans="1:6" x14ac:dyDescent="0.2">
      <c r="A126" s="6"/>
      <c r="B126" s="6"/>
      <c r="C126" s="63"/>
      <c r="D126" s="5"/>
      <c r="E126" s="53"/>
      <c r="F126" s="53"/>
    </row>
    <row r="127" spans="1:6" x14ac:dyDescent="0.2">
      <c r="A127" s="6"/>
      <c r="B127" s="6"/>
      <c r="C127" s="63"/>
      <c r="D127" s="5"/>
      <c r="E127" s="53"/>
      <c r="F127" s="53"/>
    </row>
    <row r="128" spans="1:6" x14ac:dyDescent="0.2">
      <c r="A128" s="6"/>
      <c r="B128" s="6"/>
      <c r="C128" s="63"/>
      <c r="D128" s="5"/>
      <c r="E128" s="53"/>
      <c r="F128" s="53"/>
    </row>
    <row r="129" spans="1:6" x14ac:dyDescent="0.2">
      <c r="A129" s="6"/>
      <c r="B129" s="6"/>
      <c r="C129" s="63"/>
      <c r="D129" s="5"/>
      <c r="E129" s="53"/>
      <c r="F129" s="53"/>
    </row>
    <row r="130" spans="1:6" x14ac:dyDescent="0.2">
      <c r="A130" s="6"/>
      <c r="B130" s="6"/>
      <c r="C130" s="63"/>
      <c r="D130" s="5"/>
      <c r="E130" s="53"/>
      <c r="F130" s="53"/>
    </row>
    <row r="131" spans="1:6" x14ac:dyDescent="0.2">
      <c r="A131" s="6"/>
      <c r="B131" s="6"/>
      <c r="C131" s="63"/>
      <c r="D131" s="5"/>
      <c r="E131" s="53"/>
      <c r="F131" s="53"/>
    </row>
    <row r="132" spans="1:6" x14ac:dyDescent="0.2">
      <c r="A132" s="6"/>
      <c r="B132" s="6"/>
      <c r="C132" s="63"/>
      <c r="D132" s="5"/>
      <c r="E132" s="53"/>
      <c r="F132" s="53"/>
    </row>
    <row r="133" spans="1:6" x14ac:dyDescent="0.2">
      <c r="A133" s="6"/>
      <c r="B133" s="6"/>
      <c r="C133" s="63"/>
      <c r="D133" s="5"/>
      <c r="E133" s="53"/>
      <c r="F133" s="53"/>
    </row>
    <row r="134" spans="1:6" x14ac:dyDescent="0.2">
      <c r="A134" s="6"/>
      <c r="B134" s="6"/>
      <c r="C134" s="63"/>
      <c r="D134" s="5"/>
      <c r="E134" s="53"/>
      <c r="F134" s="53"/>
    </row>
    <row r="135" spans="1:6" x14ac:dyDescent="0.2">
      <c r="A135" s="6"/>
      <c r="B135" s="6"/>
      <c r="C135" s="63"/>
      <c r="D135" s="5"/>
      <c r="E135" s="53"/>
      <c r="F135" s="53"/>
    </row>
    <row r="136" spans="1:6" x14ac:dyDescent="0.2">
      <c r="A136" s="6"/>
      <c r="B136" s="6"/>
      <c r="C136" s="63"/>
      <c r="D136" s="5"/>
      <c r="E136" s="53"/>
      <c r="F136" s="53"/>
    </row>
    <row r="137" spans="1:6" x14ac:dyDescent="0.2">
      <c r="A137" s="6"/>
      <c r="B137" s="6"/>
      <c r="C137" s="63"/>
      <c r="D137" s="5"/>
      <c r="E137" s="53"/>
      <c r="F137" s="53"/>
    </row>
    <row r="138" spans="1:6" x14ac:dyDescent="0.2">
      <c r="A138" s="6"/>
      <c r="B138" s="6"/>
      <c r="C138" s="63"/>
      <c r="D138" s="5"/>
      <c r="E138" s="53"/>
      <c r="F138" s="53"/>
    </row>
    <row r="139" spans="1:6" x14ac:dyDescent="0.2">
      <c r="A139" s="6"/>
      <c r="B139" s="6"/>
      <c r="C139" s="63"/>
      <c r="D139" s="5"/>
      <c r="E139" s="53"/>
      <c r="F139" s="53"/>
    </row>
    <row r="140" spans="1:6" x14ac:dyDescent="0.2">
      <c r="A140" s="6"/>
      <c r="B140" s="6"/>
      <c r="C140" s="63"/>
      <c r="D140" s="5"/>
      <c r="E140" s="53"/>
      <c r="F140" s="53"/>
    </row>
    <row r="141" spans="1:6" x14ac:dyDescent="0.2">
      <c r="A141" s="6"/>
      <c r="B141" s="6"/>
      <c r="C141" s="63"/>
      <c r="D141" s="5"/>
      <c r="E141" s="53"/>
      <c r="F141" s="53"/>
    </row>
    <row r="142" spans="1:6" x14ac:dyDescent="0.2">
      <c r="A142" s="6"/>
      <c r="B142" s="6"/>
      <c r="C142" s="63"/>
      <c r="D142" s="5"/>
      <c r="E142" s="53"/>
      <c r="F142" s="53"/>
    </row>
    <row r="143" spans="1:6" x14ac:dyDescent="0.2">
      <c r="A143" s="6"/>
      <c r="B143" s="6"/>
      <c r="C143" s="63"/>
      <c r="D143" s="5"/>
      <c r="E143" s="53"/>
      <c r="F143" s="53"/>
    </row>
    <row r="144" spans="1:6" x14ac:dyDescent="0.2">
      <c r="A144" s="6"/>
      <c r="B144" s="6"/>
      <c r="C144" s="63"/>
      <c r="D144" s="5"/>
      <c r="E144" s="53"/>
      <c r="F144" s="53"/>
    </row>
    <row r="145" spans="1:6" x14ac:dyDescent="0.2">
      <c r="A145" s="6"/>
      <c r="B145" s="6"/>
      <c r="C145" s="63"/>
      <c r="D145" s="5"/>
      <c r="E145" s="53"/>
      <c r="F145" s="53"/>
    </row>
    <row r="146" spans="1:6" x14ac:dyDescent="0.2">
      <c r="A146" s="6"/>
      <c r="B146" s="6"/>
      <c r="C146" s="63"/>
      <c r="D146" s="5"/>
      <c r="E146" s="53"/>
      <c r="F146" s="53"/>
    </row>
    <row r="147" spans="1:6" x14ac:dyDescent="0.2">
      <c r="A147" s="6"/>
      <c r="B147" s="6"/>
      <c r="C147" s="63"/>
      <c r="D147" s="5"/>
      <c r="E147" s="53"/>
      <c r="F147" s="53"/>
    </row>
    <row r="148" spans="1:6" x14ac:dyDescent="0.2">
      <c r="A148" s="6"/>
      <c r="B148" s="6"/>
      <c r="C148" s="63"/>
      <c r="D148" s="5"/>
      <c r="E148" s="53"/>
      <c r="F148" s="53"/>
    </row>
    <row r="149" spans="1:6" x14ac:dyDescent="0.2">
      <c r="A149" s="6"/>
      <c r="B149" s="6"/>
      <c r="C149" s="63"/>
      <c r="D149" s="5"/>
      <c r="E149" s="53"/>
      <c r="F149" s="53"/>
    </row>
    <row r="150" spans="1:6" x14ac:dyDescent="0.2">
      <c r="A150" s="6"/>
      <c r="B150" s="6"/>
      <c r="C150" s="63"/>
      <c r="D150" s="5"/>
      <c r="E150" s="53"/>
      <c r="F150" s="53"/>
    </row>
    <row r="151" spans="1:6" x14ac:dyDescent="0.2">
      <c r="A151" s="6"/>
      <c r="B151" s="6"/>
      <c r="C151" s="63"/>
      <c r="D151" s="5"/>
      <c r="E151" s="53"/>
      <c r="F151" s="53"/>
    </row>
    <row r="152" spans="1:6" x14ac:dyDescent="0.2">
      <c r="A152" s="6"/>
      <c r="B152" s="6"/>
      <c r="C152" s="63"/>
      <c r="D152" s="5"/>
      <c r="E152" s="53"/>
      <c r="F152" s="53"/>
    </row>
    <row r="153" spans="1:6" x14ac:dyDescent="0.2">
      <c r="A153" s="6"/>
      <c r="B153" s="6"/>
      <c r="C153" s="63"/>
      <c r="D153" s="5"/>
      <c r="E153" s="53"/>
      <c r="F153" s="53"/>
    </row>
    <row r="154" spans="1:6" x14ac:dyDescent="0.2">
      <c r="A154" s="6"/>
      <c r="B154" s="6"/>
      <c r="C154" s="63"/>
      <c r="D154" s="5"/>
      <c r="E154" s="53"/>
      <c r="F154" s="53"/>
    </row>
    <row r="155" spans="1:6" x14ac:dyDescent="0.2">
      <c r="A155" s="6"/>
      <c r="B155" s="6"/>
      <c r="C155" s="63"/>
      <c r="D155" s="5"/>
      <c r="E155" s="53"/>
      <c r="F155" s="53"/>
    </row>
    <row r="156" spans="1:6" x14ac:dyDescent="0.2">
      <c r="A156" s="6"/>
      <c r="B156" s="6"/>
      <c r="C156" s="63"/>
      <c r="D156" s="5"/>
      <c r="E156" s="53"/>
      <c r="F156" s="53"/>
    </row>
    <row r="157" spans="1:6" x14ac:dyDescent="0.2">
      <c r="A157" s="6"/>
      <c r="B157" s="6"/>
      <c r="C157" s="63"/>
      <c r="D157" s="5"/>
      <c r="E157" s="53"/>
      <c r="F157" s="53"/>
    </row>
    <row r="158" spans="1:6" x14ac:dyDescent="0.2">
      <c r="A158" s="6"/>
      <c r="B158" s="6"/>
      <c r="C158" s="63"/>
      <c r="D158" s="5"/>
      <c r="E158" s="53"/>
      <c r="F158" s="53"/>
    </row>
    <row r="159" spans="1:6" x14ac:dyDescent="0.2">
      <c r="A159" s="6"/>
      <c r="B159" s="6"/>
      <c r="C159" s="63"/>
      <c r="D159" s="5"/>
      <c r="E159" s="53"/>
      <c r="F159" s="53"/>
    </row>
    <row r="160" spans="1:6" x14ac:dyDescent="0.2">
      <c r="A160" s="6"/>
      <c r="B160" s="6"/>
      <c r="C160" s="63"/>
      <c r="D160" s="5"/>
      <c r="E160" s="53"/>
      <c r="F160" s="53"/>
    </row>
    <row r="161" spans="1:6" x14ac:dyDescent="0.2">
      <c r="A161" s="6"/>
      <c r="B161" s="6"/>
      <c r="C161" s="63"/>
      <c r="D161" s="5"/>
      <c r="E161" s="53"/>
      <c r="F161" s="53"/>
    </row>
    <row r="162" spans="1:6" x14ac:dyDescent="0.2">
      <c r="A162" s="6"/>
      <c r="B162" s="6"/>
      <c r="C162" s="63"/>
      <c r="D162" s="5"/>
      <c r="E162" s="53"/>
      <c r="F162" s="53"/>
    </row>
    <row r="163" spans="1:6" x14ac:dyDescent="0.2">
      <c r="A163" s="6"/>
      <c r="B163" s="6"/>
      <c r="C163" s="63"/>
      <c r="D163" s="5"/>
      <c r="E163" s="53"/>
      <c r="F163" s="53"/>
    </row>
    <row r="164" spans="1:6" x14ac:dyDescent="0.2">
      <c r="A164" s="6"/>
      <c r="B164" s="6"/>
      <c r="C164" s="63"/>
      <c r="D164" s="5"/>
      <c r="E164" s="53"/>
      <c r="F164" s="53"/>
    </row>
    <row r="165" spans="1:6" x14ac:dyDescent="0.2">
      <c r="A165" s="6"/>
      <c r="B165" s="6"/>
      <c r="C165" s="63"/>
      <c r="D165" s="5"/>
      <c r="E165" s="53"/>
      <c r="F165" s="53"/>
    </row>
    <row r="166" spans="1:6" x14ac:dyDescent="0.2">
      <c r="A166" s="6"/>
      <c r="B166" s="6"/>
      <c r="C166" s="63"/>
      <c r="D166" s="5"/>
      <c r="E166" s="53"/>
      <c r="F166" s="53"/>
    </row>
    <row r="167" spans="1:6" x14ac:dyDescent="0.2">
      <c r="A167" s="6"/>
      <c r="B167" s="6"/>
      <c r="C167" s="63"/>
      <c r="D167" s="5"/>
      <c r="E167" s="53"/>
      <c r="F167" s="53"/>
    </row>
    <row r="168" spans="1:6" x14ac:dyDescent="0.2">
      <c r="A168" s="6"/>
      <c r="B168" s="6"/>
      <c r="C168" s="63"/>
      <c r="D168" s="5"/>
      <c r="E168" s="53"/>
      <c r="F168" s="53"/>
    </row>
    <row r="169" spans="1:6" x14ac:dyDescent="0.2">
      <c r="A169" s="6"/>
      <c r="B169" s="6"/>
      <c r="C169" s="63"/>
      <c r="D169" s="5"/>
      <c r="E169" s="53"/>
      <c r="F169" s="53"/>
    </row>
    <row r="170" spans="1:6" x14ac:dyDescent="0.2">
      <c r="A170" s="6"/>
      <c r="B170" s="6"/>
      <c r="C170" s="63"/>
      <c r="D170" s="5"/>
      <c r="E170" s="53"/>
      <c r="F170" s="53"/>
    </row>
    <row r="171" spans="1:6" x14ac:dyDescent="0.2">
      <c r="C171" s="63"/>
      <c r="D171" s="5"/>
      <c r="E171" s="53"/>
      <c r="F171" s="53"/>
    </row>
  </sheetData>
  <mergeCells count="2">
    <mergeCell ref="A77:D80"/>
    <mergeCell ref="A85:C86"/>
  </mergeCells>
  <hyperlinks>
    <hyperlink ref="E77" r:id="rId1" display="https://link.springer.com/article/10.1007/s11368-021-03104-9" xr:uid="{A4F1CA10-3BB2-4C86-8A57-8EC478AA7388}"/>
    <hyperlink ref="D85" r:id="rId2" location="sec0135" display="https://www.sciencedirect.com/science/article/pii/S0167880913003496?via%3Dihub - sec0135" xr:uid="{77B532CC-064A-48F9-B3A8-11401EB9E7A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8223-B04A-456B-AD11-74EEF0B501AC}">
  <dimension ref="A1:AB179"/>
  <sheetViews>
    <sheetView zoomScale="101" workbookViewId="0">
      <pane ySplit="2" topLeftCell="A28" activePane="bottomLeft" state="frozen"/>
      <selection pane="bottomLeft" activeCell="E67" sqref="E67"/>
    </sheetView>
  </sheetViews>
  <sheetFormatPr baseColWidth="10" defaultColWidth="9.1640625" defaultRowHeight="15" x14ac:dyDescent="0.2"/>
  <cols>
    <col min="1" max="1" width="16.6640625" style="92" bestFit="1" customWidth="1"/>
    <col min="2" max="2" width="30.6640625" style="93" customWidth="1"/>
    <col min="3" max="3" width="39.33203125" style="113" customWidth="1"/>
    <col min="4" max="4" width="10.6640625" style="92" customWidth="1"/>
    <col min="5" max="5" width="18" style="178" customWidth="1"/>
    <col min="6" max="19" width="18" style="92" customWidth="1"/>
    <col min="20" max="20" width="14.6640625" style="92" customWidth="1"/>
    <col min="21" max="21" width="11.5" style="92" customWidth="1"/>
    <col min="22" max="22" width="13.1640625" style="92" customWidth="1"/>
    <col min="23" max="23" width="26.83203125" style="141" customWidth="1"/>
    <col min="24" max="24" width="10.5" style="141" customWidth="1"/>
    <col min="25" max="25" width="12" style="141" customWidth="1"/>
    <col min="26" max="26" width="12" style="141" bestFit="1" customWidth="1"/>
    <col min="27" max="27" width="24" style="141" bestFit="1" customWidth="1"/>
    <col min="28" max="28" width="9.1640625" style="141"/>
    <col min="29" max="16384" width="9.1640625" style="1"/>
  </cols>
  <sheetData>
    <row r="1" spans="1:27" ht="16" x14ac:dyDescent="0.2">
      <c r="A1" s="92" t="s">
        <v>129</v>
      </c>
    </row>
    <row r="2" spans="1:27" s="141" customFormat="1" x14ac:dyDescent="0.2">
      <c r="A2" s="142" t="s">
        <v>273</v>
      </c>
      <c r="B2" s="143" t="s">
        <v>2</v>
      </c>
      <c r="C2" s="144" t="s">
        <v>274</v>
      </c>
      <c r="D2" s="142" t="s">
        <v>37</v>
      </c>
      <c r="E2" s="179" t="s">
        <v>13</v>
      </c>
      <c r="F2" s="142" t="s">
        <v>268</v>
      </c>
      <c r="G2" s="142" t="s">
        <v>275</v>
      </c>
      <c r="H2" s="142" t="s">
        <v>276</v>
      </c>
      <c r="I2" s="142" t="s">
        <v>277</v>
      </c>
      <c r="J2" s="142" t="s">
        <v>278</v>
      </c>
      <c r="K2" s="142" t="s">
        <v>279</v>
      </c>
      <c r="L2" s="145" t="s">
        <v>280</v>
      </c>
      <c r="M2" s="145" t="s">
        <v>281</v>
      </c>
      <c r="N2" s="145" t="s">
        <v>282</v>
      </c>
      <c r="O2" s="145" t="s">
        <v>283</v>
      </c>
      <c r="P2" s="142" t="s">
        <v>284</v>
      </c>
      <c r="Q2" s="142" t="s">
        <v>285</v>
      </c>
      <c r="R2" s="142" t="s">
        <v>269</v>
      </c>
      <c r="S2" s="142" t="s">
        <v>270</v>
      </c>
      <c r="T2" s="142" t="s">
        <v>271</v>
      </c>
      <c r="U2" s="142" t="s">
        <v>272</v>
      </c>
      <c r="V2" s="142" t="s">
        <v>267</v>
      </c>
      <c r="W2" s="146" t="s">
        <v>286</v>
      </c>
      <c r="X2" s="146" t="s">
        <v>287</v>
      </c>
      <c r="Y2" s="146" t="s">
        <v>288</v>
      </c>
      <c r="Z2" s="146" t="s">
        <v>289</v>
      </c>
      <c r="AA2" s="146" t="s">
        <v>290</v>
      </c>
    </row>
    <row r="3" spans="1:27" s="141" customFormat="1" x14ac:dyDescent="0.2">
      <c r="A3" s="147" t="s">
        <v>292</v>
      </c>
      <c r="B3" s="148" t="s">
        <v>165</v>
      </c>
      <c r="C3" s="149" t="s">
        <v>16</v>
      </c>
      <c r="D3" s="145" t="s">
        <v>18</v>
      </c>
      <c r="E3" s="151">
        <v>1.08</v>
      </c>
      <c r="F3" s="145" t="s">
        <v>327</v>
      </c>
      <c r="G3" s="145" t="s">
        <v>291</v>
      </c>
      <c r="H3" s="2">
        <v>1.3</v>
      </c>
      <c r="I3" s="145"/>
      <c r="J3" s="145"/>
      <c r="K3" s="145"/>
      <c r="L3" s="145"/>
      <c r="M3" s="145"/>
      <c r="N3" s="145"/>
      <c r="O3" s="145"/>
      <c r="P3" s="145"/>
      <c r="Q3" s="145"/>
      <c r="R3" s="145">
        <f t="shared" ref="R3:R14" si="0">IF(OR($W3=1, IFERROR(ISNUMBER(SEARCH("NO UNCERTAINTY", UPPER($F3))), FALSE), IFERROR(ISNUMBER(SEARCH("NONE", UPPER($F3))), FALSE)), $E3, IF(OR($W3=2, IFERROR(ISNUMBER(SEARCH("LOGNORMAL", UPPER($F3))), FALSE)), IF($E3&gt;0, IF(OR(UPPER($G3)="GSD", $H3&gt;1), LN($E3), IF(OR(UPPER($G3)="95%", AND($P3&gt;0, $Q3&gt;0)), (LN($P3)+LN($Q3))/2, "")), ""), IF(OR($W3=3, IFERROR(ISNUMBER(SEARCH("NORMAL", UPPER($F3))), FALSE)), $E3, IF(OR($W3=5, IFERROR(ISNUMBER(SEARCH("TRIANG", UPPER($F3))), FALSE)), $E3, ""))))</f>
        <v>7.6961041136128394E-2</v>
      </c>
      <c r="S3" s="145">
        <f>IF(OR($W3=2, IFERROR(ISNUMBER(SEARCH("LOGNORMAL", UPPER($F3))), FALSE)), IF(OR(UPPER($G3)="GSD", $H3&gt;1), IF($H3&gt;1, LN($H3), ""), IF(OR(UPPER($G3)="95%", AND($P3&gt;0, $Q3&gt;0)), (LN($Q3)-LN($P3))/(2*$X3), "")), IF(OR($W3=3, IFERROR(ISNUMBER(SEARCH("NORMAL", UPPER($F3))), FALSE)), IF($I3&lt;&gt;"",$I3, IF(AND($P3&gt;0,$Q3&gt;0), ($Q3-$P3)/(2*$X3), "")), ""))</f>
        <v>0.26236426446749106</v>
      </c>
      <c r="T3" s="145"/>
      <c r="U3" s="145" t="str">
        <f t="shared" ref="U3:U34" si="1">IF(OR(OR($W3=4, IFERROR(ISNUMBER(SEARCH("UNIFORM", UPPER($F3))), FALSE)),OR($W3=5, IFERROR(ISNUMBER(SEARCH("TRIANG", UPPER($F3))), FALSE))), IF(AND($J3&lt;&gt;"",$K3&lt;&gt;""), $J3, IF($L3=TRUE, IF($O3&lt;&gt;"", IF($E3&gt;=0, $E3*(1-$O3), $E3*(1+$O3)), IF(AND($M3&lt;&gt;"",$N3&lt;&gt;""), IF($E3&gt;=0, $E3*(1-$M3), $E3*(1+$M3)), "")), "" )), "" )</f>
        <v/>
      </c>
      <c r="V3" s="145" t="str">
        <f t="shared" ref="V3:V34" si="2">IF(OR(OR($W3=4, IFERROR(ISNUMBER(SEARCH("UNIFORM", UPPER($F3))), FALSE)),OR($W3=5, IFERROR(ISNUMBER(SEARCH("TRIANG", UPPER($F3))), FALSE))), IF(AND($J3&lt;&gt;"",$K3&lt;&gt;""), $K3, IF($L3=TRUE, IF($O3&lt;&gt;"", IF($E3&gt;=0, $E3*(1+$O3), $E3*(1-$O3)), IF(AND($M3&lt;&gt;"",$N3&lt;&gt;""), IF($E3&gt;=0, $E3*(1+$N3), $E3*(1-$N3)), "")), "" )), "" )</f>
        <v/>
      </c>
      <c r="W3" s="150">
        <f>IFERROR(VALUE(LEFT($F3, FIND(" ", $F3&amp;" ")-1)),
 IFERROR(VALUE(LEFT($F3, FIND("-", $F3&amp;"-")-1)),
 IFERROR($F3, NA())))</f>
        <v>2</v>
      </c>
      <c r="X3" s="150">
        <v>1.9599639845400501</v>
      </c>
      <c r="Y3" s="150">
        <f>IF($E3="","",
 IF($W3=2,
    IF(OR(UPPER($G3)="GSD", AND($H3&lt;&gt;"", ISNUMBER($H3))),
       $E3*EXP(-$X$3*LN($H3)),
       IF($P3&gt;0, $P3, "")
    ),
    ""
 ))</f>
        <v>0.64580126099513357</v>
      </c>
      <c r="Z3" s="150">
        <f>IF($E3="","",
 IF($W3=2,
    IF(OR(UPPER($G3)="GSD", AND($H3&lt;&gt;"", ISNUMBER($H3))),
       $E3*EXP($X$3*LN($H3)),
       IF($Q3&gt;0, $Q3, "")
    ),
    ""
 ))</f>
        <v>1.8061284027266549</v>
      </c>
      <c r="AA3" s="150" t="str">
        <f>IF($E3="","",
 IF(AND($W3=2, $P3&gt;0, $Q3&gt;0),
    EXP(LN($Q3/$P3)/(2*$X$3)),
    ""
 ))</f>
        <v/>
      </c>
    </row>
    <row r="4" spans="1:27" s="141" customFormat="1" x14ac:dyDescent="0.2">
      <c r="A4" s="147" t="s">
        <v>292</v>
      </c>
      <c r="B4" s="148" t="s">
        <v>165</v>
      </c>
      <c r="C4" s="149" t="s">
        <v>22</v>
      </c>
      <c r="D4" s="145" t="s">
        <v>23</v>
      </c>
      <c r="E4" s="151">
        <v>1.3589E-2</v>
      </c>
      <c r="F4" s="145" t="s">
        <v>327</v>
      </c>
      <c r="G4" s="145" t="s">
        <v>291</v>
      </c>
      <c r="H4" s="2">
        <v>1.3</v>
      </c>
      <c r="I4" s="145"/>
      <c r="J4" s="145"/>
      <c r="K4" s="145"/>
      <c r="L4" s="145"/>
      <c r="M4" s="145"/>
      <c r="N4" s="145"/>
      <c r="O4" s="145"/>
      <c r="P4" s="145"/>
      <c r="Q4" s="145"/>
      <c r="R4" s="145">
        <f t="shared" si="0"/>
        <v>-4.2984946370437767</v>
      </c>
      <c r="S4" s="145">
        <f>IF(OR($W4=2, IFERROR(ISNUMBER(SEARCH("LOGNORMAL", UPPER($F4))), FALSE)), IF(OR(UPPER($G4)="GSD", $H4&gt;1), IF($H4&gt;1, LN($H4), ""), IF(OR(UPPER($G4)="95%", AND($P4&gt;0, $Q4&gt;0)), (LN($Q4)-LN($P4))/(2*$X3), "")), IF(OR($W4=3, IFERROR(ISNUMBER(SEARCH("NORMAL", UPPER($F4))), FALSE)), IF($I4&lt;&gt;"",$I4, IF(AND($P4&gt;0,$Q4&gt;0), ($Q4-$P4)/(2*$X3), "")), ""))</f>
        <v>0.26236426446749106</v>
      </c>
      <c r="T4" s="145"/>
      <c r="U4" s="145" t="str">
        <f t="shared" si="1"/>
        <v/>
      </c>
      <c r="V4" s="145" t="str">
        <f t="shared" si="2"/>
        <v/>
      </c>
      <c r="W4" s="150">
        <f>IFERROR(VALUE(LEFT($F4, FIND(" ", $F4&amp;" ")-1)),
 IFERROR(VALUE(LEFT($F4, FIND("-", $F4&amp;"-")-1)),
 IFERROR($F4, NA())))</f>
        <v>2</v>
      </c>
      <c r="X4" s="150">
        <f t="shared" ref="X4:X67" si="3">_xlfn.NORM.S.INV(0.975)</f>
        <v>1.9599639845400536</v>
      </c>
      <c r="Y4" s="150">
        <f>IF($E4="","",
 IF($W4=2,
    IF(OR(UPPER($G4)="GSD", AND($H4&lt;&gt;"", ISNUMBER($H4))),
       $E4*EXP(-$X$3*LN($H4)),
       IF($P4&gt;0, $P4, "")
    ),
    ""
 ))</f>
        <v>8.1257345700582132E-3</v>
      </c>
      <c r="Z4" s="150">
        <f>IF($E4="","",
 IF($W4=2,
    IF(OR(UPPER($G4)="GSD", AND($H4&lt;&gt;"", ISNUMBER($H4))),
       $E4*EXP($X$3*LN($H4)),
       IF($Q4&gt;0, $Q4, "")
    ),
    ""
 ))</f>
        <v>2.2725443393196772E-2</v>
      </c>
      <c r="AA4" s="150" t="str">
        <f>IF($E4="","",
 IF(AND($W4=2, $P4&gt;0, $Q4&gt;0),
    EXP(LN($Q4/$P4)/(2*$X$3)),
    ""
 ))</f>
        <v/>
      </c>
    </row>
    <row r="5" spans="1:27" s="141" customFormat="1" x14ac:dyDescent="0.2">
      <c r="A5" s="147" t="s">
        <v>292</v>
      </c>
      <c r="B5" s="148" t="s">
        <v>163</v>
      </c>
      <c r="C5" s="149" t="s">
        <v>165</v>
      </c>
      <c r="D5" s="145" t="s">
        <v>10</v>
      </c>
      <c r="E5" s="151">
        <v>1.685675016</v>
      </c>
      <c r="F5" s="145" t="s">
        <v>327</v>
      </c>
      <c r="G5" s="145" t="s">
        <v>291</v>
      </c>
      <c r="H5" s="2">
        <v>1.2</v>
      </c>
      <c r="I5" s="145"/>
      <c r="J5" s="145"/>
      <c r="K5" s="145"/>
      <c r="L5" s="145"/>
      <c r="M5" s="145"/>
      <c r="N5" s="145"/>
      <c r="O5" s="145"/>
      <c r="P5" s="145"/>
      <c r="Q5" s="145"/>
      <c r="R5" s="145">
        <f t="shared" si="0"/>
        <v>0.52216608655173891</v>
      </c>
      <c r="S5" s="145">
        <f>IF(OR($W5=2, IFERROR(ISNUMBER(SEARCH("LOGNORMAL", UPPER($F5))), FALSE)), IF(OR(UPPER($G5)="GSD", $H5&gt;1), IF($H5&gt;1, LN($H5), ""), IF(OR(UPPER($G5)="95%", AND($P5&gt;0, $Q5&gt;0)), (LN($Q5)-LN($P5))/(2*$X3), "")), IF(OR($W5=3, IFERROR(ISNUMBER(SEARCH("NORMAL", UPPER($F5))), FALSE)), IF($I5&lt;&gt;"",$I5, IF(AND($P5&gt;0,$Q5&gt;0), ($Q5-$P5)/(2*$X3), "")), ""))</f>
        <v>0.18232155679395459</v>
      </c>
      <c r="T5" s="145"/>
      <c r="U5" s="145" t="str">
        <f t="shared" si="1"/>
        <v/>
      </c>
      <c r="V5" s="145" t="str">
        <f t="shared" si="2"/>
        <v/>
      </c>
      <c r="W5" s="150">
        <f t="shared" ref="W5:W67" si="4">IFERROR(VALUE(LEFT($F5, FIND(" ", $F5&amp;" ")-1)),
IFERROR(VALUE(LEFT($F5, FIND("-", $F5&amp;"-")-1)),
IFERROR($F5, NA())))</f>
        <v>2</v>
      </c>
      <c r="X5" s="150">
        <f t="shared" si="3"/>
        <v>1.9599639845400536</v>
      </c>
      <c r="Y5" s="150">
        <f t="shared" ref="Y5:Y36" si="5">IF($E5="","",
IF($W5=2,
IF(OR(UPPER($G5)="GSD", AND($H5&lt;&gt;"", ISNUMBER($H5))),
$E5*EXP(-$X$3*LN($H5)),
IF($P5&gt;0, $P5, "")
),
""
))</f>
        <v>1.1791836790149142</v>
      </c>
      <c r="Z5" s="150">
        <f t="shared" ref="Z5:Z36" si="6">IF($E5="","",
IF($W5=2,
IF(OR(UPPER($G5)="GSD", AND($H5&lt;&gt;"", ISNUMBER($H5))),
$E5*EXP($X$3*LN($H5)),
IF($Q5&gt;0, $Q5, "")
),
""
))</f>
        <v>2.4097181042569886</v>
      </c>
      <c r="AA5" s="150" t="str">
        <f t="shared" ref="AA5:AA36" si="7">IF($E5="","",
IF(AND($W5=2, $P5&gt;0, $Q5&gt;0),
EXP(LN($Q5/$P5)/(2*$X$3)),
""
))</f>
        <v/>
      </c>
    </row>
    <row r="6" spans="1:27" s="141" customFormat="1" x14ac:dyDescent="0.2">
      <c r="A6" s="147" t="s">
        <v>292</v>
      </c>
      <c r="B6" s="148" t="s">
        <v>163</v>
      </c>
      <c r="C6" s="149" t="s">
        <v>16</v>
      </c>
      <c r="D6" s="145" t="s">
        <v>18</v>
      </c>
      <c r="E6" s="151">
        <v>0.37231504100000001</v>
      </c>
      <c r="F6" s="145" t="s">
        <v>327</v>
      </c>
      <c r="G6" s="145" t="s">
        <v>291</v>
      </c>
      <c r="H6" s="2">
        <v>1.2</v>
      </c>
      <c r="I6" s="145"/>
      <c r="J6" s="145"/>
      <c r="K6" s="145"/>
      <c r="L6" s="145"/>
      <c r="M6" s="145"/>
      <c r="N6" s="145"/>
      <c r="O6" s="145"/>
      <c r="P6" s="145"/>
      <c r="Q6" s="145"/>
      <c r="R6" s="145">
        <f t="shared" si="0"/>
        <v>-0.98801489870465198</v>
      </c>
      <c r="S6" s="145">
        <f>IF(OR($W6=2, IFERROR(ISNUMBER(SEARCH("LOGNORMAL", UPPER($F6))), FALSE)), IF(OR(UPPER($G6)="GSD", $H6&gt;1), IF($H6&gt;1, LN($H6), ""), IF(OR(UPPER($G6)="95%", AND($P6&gt;0, $Q6&gt;0)), (LN($Q6)-LN($P6))/(2*$X3), "")), IF(OR($W6=3, IFERROR(ISNUMBER(SEARCH("NORMAL", UPPER($F6))), FALSE)), IF($I6&lt;&gt;"",$I6, IF(AND($P6&gt;0,$Q6&gt;0), ($Q6-$P6)/(2*$X3), "")), ""))</f>
        <v>0.18232155679395459</v>
      </c>
      <c r="T6" s="145"/>
      <c r="U6" s="145" t="str">
        <f t="shared" si="1"/>
        <v/>
      </c>
      <c r="V6" s="145" t="str">
        <f t="shared" si="2"/>
        <v/>
      </c>
      <c r="W6" s="150">
        <f t="shared" si="4"/>
        <v>2</v>
      </c>
      <c r="X6" s="150">
        <f t="shared" si="3"/>
        <v>1.9599639845400536</v>
      </c>
      <c r="Y6" s="150">
        <f t="shared" si="5"/>
        <v>0.26044629933517899</v>
      </c>
      <c r="Z6" s="150">
        <f t="shared" si="6"/>
        <v>0.53223443799613324</v>
      </c>
      <c r="AA6" s="150" t="str">
        <f t="shared" si="7"/>
        <v/>
      </c>
    </row>
    <row r="7" spans="1:27" s="141" customFormat="1" x14ac:dyDescent="0.2">
      <c r="A7" s="147" t="s">
        <v>292</v>
      </c>
      <c r="B7" s="148" t="s">
        <v>163</v>
      </c>
      <c r="C7" s="149" t="s">
        <v>22</v>
      </c>
      <c r="D7" s="145" t="s">
        <v>23</v>
      </c>
      <c r="E7" s="151">
        <v>2.1490015000000001E-2</v>
      </c>
      <c r="F7" s="145" t="s">
        <v>327</v>
      </c>
      <c r="G7" s="145" t="s">
        <v>291</v>
      </c>
      <c r="H7" s="2">
        <v>1.2</v>
      </c>
      <c r="I7" s="145"/>
      <c r="J7" s="145"/>
      <c r="K7" s="145"/>
      <c r="L7" s="145"/>
      <c r="M7" s="145"/>
      <c r="N7" s="145"/>
      <c r="O7" s="145"/>
      <c r="P7" s="145"/>
      <c r="Q7" s="145"/>
      <c r="R7" s="145">
        <f t="shared" si="0"/>
        <v>-3.840166870328892</v>
      </c>
      <c r="S7" s="145">
        <f>IF(OR($W7=2, IFERROR(ISNUMBER(SEARCH("LOGNORMAL", UPPER($F7))), FALSE)), IF(OR(UPPER($G7)="GSD", $H7&gt;1), IF($H7&gt;1, LN($H7), ""), IF(OR(UPPER($G7)="95%", AND($P7&gt;0, $Q7&gt;0)), (LN($Q7)-LN($P7))/(2*$X3), "")), IF(OR($W7=3, IFERROR(ISNUMBER(SEARCH("NORMAL", UPPER($F7))), FALSE)), IF($I7&lt;&gt;"",$I7, IF(AND($P7&gt;0,$Q7&gt;0), ($Q7-$P7)/(2*$X3), "")), ""))</f>
        <v>0.18232155679395459</v>
      </c>
      <c r="T7" s="145"/>
      <c r="U7" s="145" t="str">
        <f t="shared" si="1"/>
        <v/>
      </c>
      <c r="V7" s="145" t="str">
        <f t="shared" si="2"/>
        <v/>
      </c>
      <c r="W7" s="150">
        <f t="shared" si="4"/>
        <v>2</v>
      </c>
      <c r="X7" s="150">
        <f t="shared" si="3"/>
        <v>1.9599639845400536</v>
      </c>
      <c r="Y7" s="150">
        <f t="shared" si="5"/>
        <v>1.5032953985352116E-2</v>
      </c>
      <c r="Z7" s="150">
        <f t="shared" si="6"/>
        <v>3.0720558657348129E-2</v>
      </c>
      <c r="AA7" s="150" t="str">
        <f t="shared" si="7"/>
        <v/>
      </c>
    </row>
    <row r="8" spans="1:27" s="141" customFormat="1" x14ac:dyDescent="0.2">
      <c r="A8" s="147" t="s">
        <v>292</v>
      </c>
      <c r="B8" s="148" t="s">
        <v>163</v>
      </c>
      <c r="C8" s="149" t="s">
        <v>31</v>
      </c>
      <c r="D8" s="145" t="s">
        <v>10</v>
      </c>
      <c r="E8" s="151">
        <v>0.55776571900000005</v>
      </c>
      <c r="F8" s="145" t="s">
        <v>327</v>
      </c>
      <c r="G8" s="145" t="s">
        <v>291</v>
      </c>
      <c r="H8" s="2">
        <v>1.2</v>
      </c>
      <c r="I8" s="145"/>
      <c r="J8" s="145"/>
      <c r="K8" s="145"/>
      <c r="L8" s="145"/>
      <c r="M8" s="145"/>
      <c r="N8" s="145"/>
      <c r="O8" s="145"/>
      <c r="P8" s="145"/>
      <c r="Q8" s="145"/>
      <c r="R8" s="145">
        <f t="shared" si="0"/>
        <v>-0.5838162631889916</v>
      </c>
      <c r="S8" s="145">
        <f>IF(OR($W8=2, IFERROR(ISNUMBER(SEARCH("LOGNORMAL", UPPER($F8))), FALSE)), IF(OR(UPPER($G8)="GSD", $H8&gt;1), IF($H8&gt;1, LN($H8), ""), IF(OR(UPPER($G8)="95%", AND($P8&gt;0, $Q8&gt;0)), (LN($Q8)-LN($P8))/(2*$X3), "")), IF(OR($W8=3, IFERROR(ISNUMBER(SEARCH("NORMAL", UPPER($F8))), FALSE)), IF($I8&lt;&gt;"",$I8, IF(AND($P8&gt;0,$Q8&gt;0), ($Q8-$P8)/(2*$X3), "")), ""))</f>
        <v>0.18232155679395459</v>
      </c>
      <c r="T8" s="145"/>
      <c r="U8" s="145" t="str">
        <f t="shared" si="1"/>
        <v/>
      </c>
      <c r="V8" s="145" t="str">
        <f t="shared" si="2"/>
        <v/>
      </c>
      <c r="W8" s="150">
        <f t="shared" si="4"/>
        <v>2</v>
      </c>
      <c r="X8" s="150">
        <f t="shared" si="3"/>
        <v>1.9599639845400536</v>
      </c>
      <c r="Y8" s="150">
        <f t="shared" si="5"/>
        <v>0.39017499002833822</v>
      </c>
      <c r="Z8" s="150">
        <f t="shared" si="6"/>
        <v>0.79734120649043083</v>
      </c>
      <c r="AA8" s="150" t="str">
        <f t="shared" si="7"/>
        <v/>
      </c>
    </row>
    <row r="9" spans="1:27" s="141" customFormat="1" x14ac:dyDescent="0.2">
      <c r="A9" s="147" t="s">
        <v>292</v>
      </c>
      <c r="B9" s="148" t="s">
        <v>160</v>
      </c>
      <c r="C9" s="149" t="s">
        <v>163</v>
      </c>
      <c r="D9" s="145" t="s">
        <v>10</v>
      </c>
      <c r="E9" s="151">
        <v>0.55097863800000002</v>
      </c>
      <c r="F9" s="145" t="s">
        <v>327</v>
      </c>
      <c r="G9" s="145" t="s">
        <v>291</v>
      </c>
      <c r="H9" s="145">
        <v>1.2</v>
      </c>
      <c r="I9" s="145"/>
      <c r="J9" s="145"/>
      <c r="K9" s="145"/>
      <c r="L9" s="145"/>
      <c r="M9" s="145"/>
      <c r="N9" s="145"/>
      <c r="O9" s="145"/>
      <c r="P9" s="145"/>
      <c r="Q9" s="145"/>
      <c r="R9" s="145">
        <f t="shared" si="0"/>
        <v>-0.59605924009076128</v>
      </c>
      <c r="S9" s="145">
        <f>IF(OR($W9=2, IFERROR(ISNUMBER(SEARCH("LOGNORMAL", UPPER($F9))), FALSE)), IF(OR(UPPER($G9)="GSD", $H9&gt;1), IF($H9&gt;1, LN($H9), ""), IF(OR(UPPER($G9)="95%", AND($P9&gt;0, $Q9&gt;0)), (LN($Q9)-LN($P9))/(2*$X3), "")), IF(OR($W9=3, IFERROR(ISNUMBER(SEARCH("NORMAL", UPPER($F9))), FALSE)), IF($I9&lt;&gt;"",$I9, IF(AND($P9&gt;0,$Q9&gt;0), ($Q9-$P9)/(2*$X3), "")), ""))</f>
        <v>0.18232155679395459</v>
      </c>
      <c r="T9" s="145"/>
      <c r="U9" s="145" t="str">
        <f t="shared" si="1"/>
        <v/>
      </c>
      <c r="V9" s="145" t="str">
        <f t="shared" si="2"/>
        <v/>
      </c>
      <c r="W9" s="150">
        <f t="shared" si="4"/>
        <v>2</v>
      </c>
      <c r="X9" s="150">
        <f t="shared" si="3"/>
        <v>1.9599639845400536</v>
      </c>
      <c r="Y9" s="150">
        <f t="shared" si="5"/>
        <v>0.38542720942567887</v>
      </c>
      <c r="Z9" s="150">
        <f t="shared" si="6"/>
        <v>0.78763889032300727</v>
      </c>
      <c r="AA9" s="150" t="str">
        <f t="shared" si="7"/>
        <v/>
      </c>
    </row>
    <row r="10" spans="1:27" s="141" customFormat="1" x14ac:dyDescent="0.2">
      <c r="A10" s="147" t="s">
        <v>292</v>
      </c>
      <c r="B10" s="148" t="s">
        <v>160</v>
      </c>
      <c r="C10" s="149" t="s">
        <v>31</v>
      </c>
      <c r="D10" s="145" t="s">
        <v>10</v>
      </c>
      <c r="E10" s="151">
        <v>0.37513751400000001</v>
      </c>
      <c r="F10" s="145" t="s">
        <v>327</v>
      </c>
      <c r="G10" s="145" t="s">
        <v>291</v>
      </c>
      <c r="H10" s="145">
        <v>1.2</v>
      </c>
      <c r="I10" s="145"/>
      <c r="J10" s="145"/>
      <c r="K10" s="145"/>
      <c r="L10" s="145"/>
      <c r="M10" s="145"/>
      <c r="N10" s="145"/>
      <c r="O10" s="145"/>
      <c r="P10" s="145"/>
      <c r="Q10" s="145"/>
      <c r="R10" s="145">
        <f t="shared" si="0"/>
        <v>-0.98046261623120545</v>
      </c>
      <c r="S10" s="145">
        <f>IF(OR($W10=2, IFERROR(ISNUMBER(SEARCH("LOGNORMAL", UPPER($F10))), FALSE)), IF(OR(UPPER($G10)="GSD", $H10&gt;1), IF($H10&gt;1, LN($H10), ""), IF(OR(UPPER($G10)="95%", AND($P10&gt;0, $Q10&gt;0)), (LN($Q10)-LN($P10))/(2*$X3), "")), IF(OR($W10=3, IFERROR(ISNUMBER(SEARCH("NORMAL", UPPER($F10))), FALSE)), IF($I10&lt;&gt;"",$I10, IF(AND($P10&gt;0,$Q10&gt;0), ($Q10-$P10)/(2*$X3), "")), ""))</f>
        <v>0.18232155679395459</v>
      </c>
      <c r="T10" s="145"/>
      <c r="U10" s="145" t="str">
        <f t="shared" si="1"/>
        <v/>
      </c>
      <c r="V10" s="145" t="str">
        <f t="shared" si="2"/>
        <v/>
      </c>
      <c r="W10" s="150">
        <f t="shared" si="4"/>
        <v>2</v>
      </c>
      <c r="X10" s="150">
        <f t="shared" si="3"/>
        <v>1.9599639845400536</v>
      </c>
      <c r="Y10" s="150">
        <f t="shared" si="5"/>
        <v>0.26242070962451097</v>
      </c>
      <c r="Z10" s="150">
        <f t="shared" si="6"/>
        <v>0.53626923961703865</v>
      </c>
      <c r="AA10" s="150" t="str">
        <f t="shared" si="7"/>
        <v/>
      </c>
    </row>
    <row r="11" spans="1:27" s="141" customFormat="1" x14ac:dyDescent="0.2">
      <c r="A11" s="147" t="s">
        <v>292</v>
      </c>
      <c r="B11" s="148" t="s">
        <v>160</v>
      </c>
      <c r="C11" s="149" t="s">
        <v>183</v>
      </c>
      <c r="D11" s="145" t="s">
        <v>10</v>
      </c>
      <c r="E11" s="151">
        <v>7.0199999999999997E-6</v>
      </c>
      <c r="F11" s="145" t="s">
        <v>327</v>
      </c>
      <c r="G11" s="145" t="s">
        <v>291</v>
      </c>
      <c r="H11" s="145">
        <v>2</v>
      </c>
      <c r="I11" s="145"/>
      <c r="J11" s="145"/>
      <c r="K11" s="145"/>
      <c r="L11" s="145"/>
      <c r="M11" s="145"/>
      <c r="N11" s="145"/>
      <c r="O11" s="145"/>
      <c r="P11" s="145"/>
      <c r="Q11" s="145"/>
      <c r="R11" s="145">
        <f t="shared" si="0"/>
        <v>-11.866747339926555</v>
      </c>
      <c r="S11" s="145">
        <f>IF(OR($W11=2, IFERROR(ISNUMBER(SEARCH("LOGNORMAL", UPPER($F11))), FALSE)), IF(OR(UPPER($G11)="GSD", $H11&gt;1), IF($H11&gt;1, LN($H11), ""), IF(OR(UPPER($G11)="95%", AND($P11&gt;0, $Q11&gt;0)), (LN($Q11)-LN($P11))/(2*$X3), "")), IF(OR($W11=3, IFERROR(ISNUMBER(SEARCH("NORMAL", UPPER($F11))), FALSE)), IF($I11&lt;&gt;"",$I11, IF(AND($P11&gt;0,$Q11&gt;0), ($Q11-$P11)/(2*$X3), "")), ""))</f>
        <v>0.69314718055994529</v>
      </c>
      <c r="T11" s="145"/>
      <c r="U11" s="145" t="str">
        <f t="shared" si="1"/>
        <v/>
      </c>
      <c r="V11" s="145" t="str">
        <f t="shared" si="2"/>
        <v/>
      </c>
      <c r="W11" s="150">
        <f t="shared" si="4"/>
        <v>2</v>
      </c>
      <c r="X11" s="150">
        <f t="shared" si="3"/>
        <v>1.9599639845400536</v>
      </c>
      <c r="Y11" s="150">
        <f t="shared" si="5"/>
        <v>1.8043848099077492E-6</v>
      </c>
      <c r="Z11" s="150">
        <f t="shared" si="6"/>
        <v>2.7311469110915152E-5</v>
      </c>
      <c r="AA11" s="150" t="str">
        <f t="shared" si="7"/>
        <v/>
      </c>
    </row>
    <row r="12" spans="1:27" s="141" customFormat="1" x14ac:dyDescent="0.2">
      <c r="A12" s="147" t="s">
        <v>292</v>
      </c>
      <c r="B12" s="148" t="s">
        <v>160</v>
      </c>
      <c r="C12" s="149" t="s">
        <v>186</v>
      </c>
      <c r="D12" s="145" t="s">
        <v>10</v>
      </c>
      <c r="E12" s="151">
        <v>1.0499999999999999E-6</v>
      </c>
      <c r="F12" s="145" t="s">
        <v>327</v>
      </c>
      <c r="G12" s="145" t="s">
        <v>291</v>
      </c>
      <c r="H12" s="145">
        <v>2</v>
      </c>
      <c r="I12" s="145"/>
      <c r="J12" s="145"/>
      <c r="K12" s="145"/>
      <c r="L12" s="145"/>
      <c r="M12" s="145"/>
      <c r="N12" s="145"/>
      <c r="O12" s="145"/>
      <c r="P12" s="145"/>
      <c r="Q12" s="145"/>
      <c r="R12" s="145">
        <f t="shared" si="0"/>
        <v>-13.766720393794841</v>
      </c>
      <c r="S12" s="145">
        <f>IF(OR($W12=2, IFERROR(ISNUMBER(SEARCH("LOGNORMAL", UPPER($F12))), FALSE)), IF(OR(UPPER($G12)="GSD", $H12&gt;1), IF($H12&gt;1, LN($H12), ""), IF(OR(UPPER($G12)="95%", AND($P12&gt;0, $Q12&gt;0)), (LN($Q12)-LN($P12))/(2*$X3), "")), IF(OR($W12=3, IFERROR(ISNUMBER(SEARCH("NORMAL", UPPER($F12))), FALSE)), IF($I12&lt;&gt;"",$I12, IF(AND($P12&gt;0,$Q12&gt;0), ($Q12-$P12)/(2*$X3), "")), ""))</f>
        <v>0.69314718055994529</v>
      </c>
      <c r="T12" s="145"/>
      <c r="U12" s="145" t="str">
        <f t="shared" si="1"/>
        <v/>
      </c>
      <c r="V12" s="145" t="str">
        <f t="shared" si="2"/>
        <v/>
      </c>
      <c r="W12" s="150">
        <f t="shared" si="4"/>
        <v>2</v>
      </c>
      <c r="X12" s="150">
        <f t="shared" si="3"/>
        <v>1.9599639845400536</v>
      </c>
      <c r="Y12" s="150">
        <f t="shared" si="5"/>
        <v>2.6988661686654366E-7</v>
      </c>
      <c r="Z12" s="150">
        <f t="shared" si="6"/>
        <v>4.0850487986411549E-6</v>
      </c>
      <c r="AA12" s="150" t="str">
        <f t="shared" si="7"/>
        <v/>
      </c>
    </row>
    <row r="13" spans="1:27" s="141" customFormat="1" x14ac:dyDescent="0.2">
      <c r="A13" s="147" t="s">
        <v>292</v>
      </c>
      <c r="B13" s="148" t="s">
        <v>160</v>
      </c>
      <c r="C13" s="149" t="s">
        <v>187</v>
      </c>
      <c r="D13" s="145" t="s">
        <v>10</v>
      </c>
      <c r="E13" s="151">
        <v>2.59E-8</v>
      </c>
      <c r="F13" s="145" t="s">
        <v>327</v>
      </c>
      <c r="G13" s="145" t="s">
        <v>291</v>
      </c>
      <c r="H13" s="145">
        <v>2</v>
      </c>
      <c r="I13" s="145"/>
      <c r="J13" s="145"/>
      <c r="K13" s="145"/>
      <c r="L13" s="145"/>
      <c r="M13" s="145"/>
      <c r="N13" s="145"/>
      <c r="O13" s="145"/>
      <c r="P13" s="145"/>
      <c r="Q13" s="145"/>
      <c r="R13" s="145">
        <f t="shared" si="0"/>
        <v>-17.46902286824092</v>
      </c>
      <c r="S13" s="145">
        <f>IF(OR($W13=2, IFERROR(ISNUMBER(SEARCH("LOGNORMAL", UPPER($F13))), FALSE)), IF(OR(UPPER($G13)="GSD", $H13&gt;1), IF($H13&gt;1, LN($H13), ""), IF(OR(UPPER($G13)="95%", AND($P13&gt;0, $Q13&gt;0)), (LN($Q13)-LN($P13))/(2*$X3), "")), IF(OR($W13=3, IFERROR(ISNUMBER(SEARCH("NORMAL", UPPER($F13))), FALSE)), IF($I13&lt;&gt;"",$I13, IF(AND($P13&gt;0,$Q13&gt;0), ($Q13-$P13)/(2*$X3), "")), ""))</f>
        <v>0.69314718055994529</v>
      </c>
      <c r="T13" s="145"/>
      <c r="U13" s="145" t="str">
        <f t="shared" si="1"/>
        <v/>
      </c>
      <c r="V13" s="145" t="str">
        <f t="shared" si="2"/>
        <v/>
      </c>
      <c r="W13" s="150">
        <f t="shared" si="4"/>
        <v>2</v>
      </c>
      <c r="X13" s="150">
        <f t="shared" si="3"/>
        <v>1.9599639845400536</v>
      </c>
      <c r="Y13" s="150">
        <f t="shared" si="5"/>
        <v>6.657203216041411E-9</v>
      </c>
      <c r="Z13" s="150">
        <f t="shared" si="6"/>
        <v>1.0076453703314851E-7</v>
      </c>
      <c r="AA13" s="150" t="str">
        <f t="shared" si="7"/>
        <v/>
      </c>
    </row>
    <row r="14" spans="1:27" s="141" customFormat="1" hidden="1" x14ac:dyDescent="0.2">
      <c r="A14" s="147"/>
      <c r="B14" s="148"/>
      <c r="C14" s="149"/>
      <c r="D14" s="145"/>
      <c r="E14" s="151"/>
      <c r="F14" s="145"/>
      <c r="G14" s="145"/>
      <c r="H14" s="145"/>
      <c r="I14" s="145"/>
      <c r="J14" s="145"/>
      <c r="K14" s="145"/>
      <c r="L14" s="145"/>
      <c r="M14" s="145"/>
      <c r="N14" s="145"/>
      <c r="O14" s="145"/>
      <c r="P14" s="145"/>
      <c r="Q14" s="145"/>
      <c r="R14" s="145" t="str">
        <f t="shared" si="0"/>
        <v/>
      </c>
      <c r="S14" s="145" t="str">
        <f>IF(OR($W14=2, IFERROR(ISNUMBER(SEARCH("LOGNORMAL", UPPER($F14))), FALSE)), IF(OR(UPPER($G14)="GSD", $H14&gt;1), IF($H14&gt;1, LN($H14), ""), IF(OR(UPPER($G14)="95%", AND($P14&gt;0, $Q14&gt;0)), (LN($Q14)-LN($P14))/(2*$X3), "")), IF(OR($W14=3, IFERROR(ISNUMBER(SEARCH("NORMAL", UPPER($F14))), FALSE)), IF($I14&lt;&gt;"",$I14, IF(AND($P14&gt;0,$Q14&gt;0), ($Q14-$P14)/(2*$X3), "")), ""))</f>
        <v/>
      </c>
      <c r="T14" s="145"/>
      <c r="U14" s="145" t="str">
        <f t="shared" si="1"/>
        <v/>
      </c>
      <c r="V14" s="145" t="str">
        <f t="shared" si="2"/>
        <v/>
      </c>
      <c r="W14" s="150">
        <f t="shared" si="4"/>
        <v>0</v>
      </c>
      <c r="X14" s="150">
        <f t="shared" si="3"/>
        <v>1.9599639845400536</v>
      </c>
      <c r="Y14" s="150" t="str">
        <f t="shared" si="5"/>
        <v/>
      </c>
      <c r="Z14" s="150" t="str">
        <f t="shared" si="6"/>
        <v/>
      </c>
      <c r="AA14" s="150" t="str">
        <f t="shared" si="7"/>
        <v/>
      </c>
    </row>
    <row r="15" spans="1:27" s="141" customFormat="1" x14ac:dyDescent="0.2">
      <c r="A15" s="147" t="s">
        <v>292</v>
      </c>
      <c r="B15" s="148" t="s">
        <v>160</v>
      </c>
      <c r="C15" s="149" t="s">
        <v>293</v>
      </c>
      <c r="D15" s="145" t="s">
        <v>10</v>
      </c>
      <c r="E15" s="151">
        <f>'willow (parameters)'!Q83</f>
        <v>1.6986666666666668E-5</v>
      </c>
      <c r="F15" s="145" t="s">
        <v>328</v>
      </c>
      <c r="G15" s="145"/>
      <c r="H15" s="145"/>
      <c r="I15" s="145"/>
      <c r="J15" s="145"/>
      <c r="K15" s="145"/>
      <c r="L15" s="145" t="b">
        <v>1</v>
      </c>
      <c r="M15" s="145">
        <f>1.5-1</f>
        <v>0.5</v>
      </c>
      <c r="N15" s="145">
        <f>1-(1/1.5)</f>
        <v>0.33333333333333337</v>
      </c>
      <c r="O15" s="145"/>
      <c r="P15" s="145"/>
      <c r="Q15" s="145"/>
      <c r="R15" s="145"/>
      <c r="S15" s="145" t="str">
        <f>IF(OR($W15=2, IFERROR(ISNUMBER(SEARCH("LOGNORMAL", UPPER($F15))), FALSE)), IF(OR(UPPER($G15)="GSD", $H15&gt;1), IF($H15&gt;1, LN($H15), ""), IF(OR(UPPER($G15)="95%", AND($P15&gt;0, $Q15&gt;0)), (LN($Q15)-LN($P15))/(2*$X3), "")), IF(OR($W15=3, IFERROR(ISNUMBER(SEARCH("NORMAL", UPPER($F15))), FALSE)), IF($I15&lt;&gt;"",$I15, IF(AND($P15&gt;0,$Q15&gt;0), ($Q15-$P15)/(2*$X3), "")), ""))</f>
        <v/>
      </c>
      <c r="T15" s="145"/>
      <c r="U15" s="151">
        <f t="shared" si="1"/>
        <v>8.4933333333333339E-6</v>
      </c>
      <c r="V15" s="151">
        <f t="shared" si="2"/>
        <v>2.2648888888888894E-5</v>
      </c>
      <c r="W15" s="150">
        <f t="shared" si="4"/>
        <v>5</v>
      </c>
      <c r="X15" s="150">
        <f t="shared" si="3"/>
        <v>1.9599639845400536</v>
      </c>
      <c r="Y15" s="150" t="str">
        <f t="shared" si="5"/>
        <v/>
      </c>
      <c r="Z15" s="150" t="str">
        <f t="shared" si="6"/>
        <v/>
      </c>
      <c r="AA15" s="150" t="str">
        <f t="shared" si="7"/>
        <v/>
      </c>
    </row>
    <row r="16" spans="1:27" s="141" customFormat="1" x14ac:dyDescent="0.2">
      <c r="A16" s="147" t="s">
        <v>292</v>
      </c>
      <c r="B16" s="148" t="s">
        <v>160</v>
      </c>
      <c r="C16" s="149" t="s">
        <v>294</v>
      </c>
      <c r="D16" s="145" t="s">
        <v>10</v>
      </c>
      <c r="E16" s="151">
        <f>'willow (parameters)'!P83</f>
        <v>4.2033333333333335E-6</v>
      </c>
      <c r="F16" s="145" t="s">
        <v>328</v>
      </c>
      <c r="G16" s="145"/>
      <c r="H16" s="145"/>
      <c r="I16" s="145"/>
      <c r="J16" s="145"/>
      <c r="K16" s="145"/>
      <c r="L16" s="145" t="b">
        <v>1</v>
      </c>
      <c r="M16" s="145">
        <f>1.5-1</f>
        <v>0.5</v>
      </c>
      <c r="N16" s="145">
        <f>1-(1/1.5)</f>
        <v>0.33333333333333337</v>
      </c>
      <c r="O16" s="145"/>
      <c r="P16" s="145"/>
      <c r="Q16" s="145"/>
      <c r="R16" s="145"/>
      <c r="S16" s="145" t="str">
        <f>IF(OR($W16=2, IFERROR(ISNUMBER(SEARCH("LOGNORMAL", UPPER($F16))), FALSE)), IF(OR(UPPER($G16)="GSD", $H16&gt;1), IF($H16&gt;1, LN($H16), ""), IF(OR(UPPER($G16)="95%", AND($P16&gt;0, $Q16&gt;0)), (LN($Q16)-LN($P16))/(2*$X3), "")), IF(OR($W16=3, IFERROR(ISNUMBER(SEARCH("NORMAL", UPPER($F16))), FALSE)), IF($I16&lt;&gt;"",$I16, IF(AND($P16&gt;0,$Q16&gt;0), ($Q16-$P16)/(2*$X3), "")), ""))</f>
        <v/>
      </c>
      <c r="T16" s="145"/>
      <c r="U16" s="151">
        <f t="shared" si="1"/>
        <v>2.1016666666666667E-6</v>
      </c>
      <c r="V16" s="151">
        <f t="shared" si="2"/>
        <v>5.6044444444444449E-6</v>
      </c>
      <c r="W16" s="150">
        <f t="shared" si="4"/>
        <v>5</v>
      </c>
      <c r="X16" s="150">
        <f t="shared" si="3"/>
        <v>1.9599639845400536</v>
      </c>
      <c r="Y16" s="150" t="str">
        <f t="shared" si="5"/>
        <v/>
      </c>
      <c r="Z16" s="150" t="str">
        <f t="shared" si="6"/>
        <v/>
      </c>
      <c r="AA16" s="150" t="str">
        <f t="shared" si="7"/>
        <v/>
      </c>
    </row>
    <row r="17" spans="1:27" s="141" customFormat="1" x14ac:dyDescent="0.2">
      <c r="A17" s="152" t="s">
        <v>295</v>
      </c>
      <c r="B17" s="148" t="s">
        <v>159</v>
      </c>
      <c r="C17" s="149" t="s">
        <v>19</v>
      </c>
      <c r="D17" s="145" t="s">
        <v>18</v>
      </c>
      <c r="E17" s="151">
        <v>1.08</v>
      </c>
      <c r="F17" s="145" t="s">
        <v>327</v>
      </c>
      <c r="G17" s="145" t="s">
        <v>291</v>
      </c>
      <c r="H17" s="145">
        <v>1.3</v>
      </c>
      <c r="I17" s="145"/>
      <c r="J17" s="145"/>
      <c r="K17" s="145"/>
      <c r="L17" s="145"/>
      <c r="M17" s="145"/>
      <c r="N17" s="145"/>
      <c r="O17" s="145"/>
      <c r="P17" s="145"/>
      <c r="Q17" s="145"/>
      <c r="R17" s="145">
        <f t="shared" ref="R17:R51" si="8">IF(OR($W17=1, IFERROR(ISNUMBER(SEARCH("NO UNCERTAINTY", UPPER($F17))), FALSE), IFERROR(ISNUMBER(SEARCH("NONE", UPPER($F17))), FALSE)), $E17, IF(OR($W17=2, IFERROR(ISNUMBER(SEARCH("LOGNORMAL", UPPER($F17))), FALSE)), IF($E17&gt;0, IF(OR(UPPER($G17)="GSD", $H17&gt;1), LN($E17), IF(OR(UPPER($G17)="95%", AND($P17&gt;0, $Q17&gt;0)), (LN($P17)+LN($Q17))/2, "")), ""), IF(OR($W17=3, IFERROR(ISNUMBER(SEARCH("NORMAL", UPPER($F17))), FALSE)), $E17, IF(OR($W17=5, IFERROR(ISNUMBER(SEARCH("TRIANG", UPPER($F17))), FALSE)), $E17, ""))))</f>
        <v>7.6961041136128394E-2</v>
      </c>
      <c r="S17" s="145">
        <f>IF(OR($W17=2, IFERROR(ISNUMBER(SEARCH("LOGNORMAL", UPPER($F17))), FALSE)), IF(OR(UPPER($G17)="GSD", $H17&gt;1), IF($H17&gt;1, LN($H17), ""), IF(OR(UPPER($G17)="95%", AND($P17&gt;0, $Q17&gt;0)), (LN($Q17)-LN($P17))/(2*$X3), "")), IF(OR($W17=3, IFERROR(ISNUMBER(SEARCH("NORMAL", UPPER($F17))), FALSE)), IF($I17&lt;&gt;"",$I17, IF(AND($P17&gt;0,$Q17&gt;0), ($Q17-$P17)/(2*$X3), "")), ""))</f>
        <v>0.26236426446749106</v>
      </c>
      <c r="T17" s="145"/>
      <c r="U17" s="145" t="str">
        <f t="shared" si="1"/>
        <v/>
      </c>
      <c r="V17" s="145" t="str">
        <f t="shared" si="2"/>
        <v/>
      </c>
      <c r="W17" s="150">
        <f t="shared" si="4"/>
        <v>2</v>
      </c>
      <c r="X17" s="150">
        <f t="shared" si="3"/>
        <v>1.9599639845400536</v>
      </c>
      <c r="Y17" s="150">
        <f t="shared" si="5"/>
        <v>0.64580126099513357</v>
      </c>
      <c r="Z17" s="150">
        <f t="shared" si="6"/>
        <v>1.8061284027266549</v>
      </c>
      <c r="AA17" s="150" t="str">
        <f t="shared" si="7"/>
        <v/>
      </c>
    </row>
    <row r="18" spans="1:27" s="141" customFormat="1" x14ac:dyDescent="0.2">
      <c r="A18" s="152" t="s">
        <v>295</v>
      </c>
      <c r="B18" s="148" t="s">
        <v>159</v>
      </c>
      <c r="C18" s="149" t="s">
        <v>24</v>
      </c>
      <c r="D18" s="145" t="s">
        <v>23</v>
      </c>
      <c r="E18" s="151">
        <v>1.3589E-2</v>
      </c>
      <c r="F18" s="145" t="s">
        <v>327</v>
      </c>
      <c r="G18" s="145" t="s">
        <v>291</v>
      </c>
      <c r="H18" s="145">
        <v>1.3</v>
      </c>
      <c r="I18" s="145"/>
      <c r="J18" s="145"/>
      <c r="K18" s="145"/>
      <c r="L18" s="145"/>
      <c r="M18" s="145"/>
      <c r="N18" s="145"/>
      <c r="O18" s="145"/>
      <c r="P18" s="145"/>
      <c r="Q18" s="145"/>
      <c r="R18" s="145">
        <f t="shared" si="8"/>
        <v>-4.2984946370437767</v>
      </c>
      <c r="S18" s="145">
        <f>IF(OR($W18=2, IFERROR(ISNUMBER(SEARCH("LOGNORMAL", UPPER($F18))), FALSE)), IF(OR(UPPER($G18)="GSD", $H18&gt;1), IF($H18&gt;1, LN($H18), ""), IF(OR(UPPER($G18)="95%", AND($P18&gt;0, $Q18&gt;0)), (LN($Q18)-LN($P18))/(2*$X3), "")), IF(OR($W18=3, IFERROR(ISNUMBER(SEARCH("NORMAL", UPPER($F18))), FALSE)), IF($I18&lt;&gt;"",$I18, IF(AND($P18&gt;0,$Q18&gt;0), ($Q18-$P18)/(2*$X3), "")), ""))</f>
        <v>0.26236426446749106</v>
      </c>
      <c r="T18" s="145"/>
      <c r="U18" s="145" t="str">
        <f t="shared" si="1"/>
        <v/>
      </c>
      <c r="V18" s="145" t="str">
        <f t="shared" si="2"/>
        <v/>
      </c>
      <c r="W18" s="150">
        <f t="shared" si="4"/>
        <v>2</v>
      </c>
      <c r="X18" s="150">
        <f t="shared" si="3"/>
        <v>1.9599639845400536</v>
      </c>
      <c r="Y18" s="150">
        <f t="shared" si="5"/>
        <v>8.1257345700582132E-3</v>
      </c>
      <c r="Z18" s="150">
        <f t="shared" si="6"/>
        <v>2.2725443393196772E-2</v>
      </c>
      <c r="AA18" s="150" t="str">
        <f t="shared" si="7"/>
        <v/>
      </c>
    </row>
    <row r="19" spans="1:27" s="141" customFormat="1" x14ac:dyDescent="0.2">
      <c r="A19" s="152" t="s">
        <v>295</v>
      </c>
      <c r="B19" s="148" t="s">
        <v>157</v>
      </c>
      <c r="C19" s="149" t="s">
        <v>155</v>
      </c>
      <c r="D19" s="145" t="s">
        <v>10</v>
      </c>
      <c r="E19" s="151">
        <v>1.7269509999999999</v>
      </c>
      <c r="F19" s="145" t="s">
        <v>327</v>
      </c>
      <c r="G19" s="145" t="s">
        <v>291</v>
      </c>
      <c r="H19" s="145">
        <v>1.2</v>
      </c>
      <c r="I19" s="145"/>
      <c r="J19" s="145"/>
      <c r="K19" s="145"/>
      <c r="L19" s="145"/>
      <c r="M19" s="145"/>
      <c r="N19" s="145"/>
      <c r="O19" s="145"/>
      <c r="P19" s="145"/>
      <c r="Q19" s="145"/>
      <c r="R19" s="145">
        <f t="shared" si="8"/>
        <v>0.54635742586103875</v>
      </c>
      <c r="S19" s="145">
        <f>IF(OR($W19=2, IFERROR(ISNUMBER(SEARCH("LOGNORMAL", UPPER($F19))), FALSE)), IF(OR(UPPER($G19)="GSD", $H19&gt;1), IF($H19&gt;1, LN($H19), ""), IF(OR(UPPER($G19)="95%", AND($P19&gt;0, $Q19&gt;0)), (LN($Q19)-LN($P19))/(2*$X3), "")), IF(OR($W19=3, IFERROR(ISNUMBER(SEARCH("NORMAL", UPPER($F19))), FALSE)), IF($I19&lt;&gt;"",$I19, IF(AND($P19&gt;0,$Q19&gt;0), ($Q19-$P19)/(2*$X3), "")), ""))</f>
        <v>0.18232155679395459</v>
      </c>
      <c r="T19" s="145"/>
      <c r="U19" s="145" t="str">
        <f t="shared" si="1"/>
        <v/>
      </c>
      <c r="V19" s="145" t="str">
        <f t="shared" si="2"/>
        <v/>
      </c>
      <c r="W19" s="150">
        <f t="shared" si="4"/>
        <v>2</v>
      </c>
      <c r="X19" s="150">
        <f t="shared" si="3"/>
        <v>1.9599639845400536</v>
      </c>
      <c r="Y19" s="150">
        <f t="shared" si="5"/>
        <v>1.2080575522147294</v>
      </c>
      <c r="Z19" s="150">
        <f t="shared" si="6"/>
        <v>2.4687232416480867</v>
      </c>
      <c r="AA19" s="150" t="str">
        <f t="shared" si="7"/>
        <v/>
      </c>
    </row>
    <row r="20" spans="1:27" s="141" customFormat="1" x14ac:dyDescent="0.2">
      <c r="A20" s="152" t="s">
        <v>295</v>
      </c>
      <c r="B20" s="148" t="s">
        <v>157</v>
      </c>
      <c r="C20" s="149" t="s">
        <v>19</v>
      </c>
      <c r="D20" s="145" t="s">
        <v>18</v>
      </c>
      <c r="E20" s="151">
        <v>0.378965</v>
      </c>
      <c r="F20" s="145" t="s">
        <v>327</v>
      </c>
      <c r="G20" s="145" t="s">
        <v>291</v>
      </c>
      <c r="H20" s="145">
        <v>1.2</v>
      </c>
      <c r="I20" s="145"/>
      <c r="J20" s="145"/>
      <c r="K20" s="145"/>
      <c r="L20" s="145"/>
      <c r="M20" s="145"/>
      <c r="N20" s="145"/>
      <c r="O20" s="145"/>
      <c r="P20" s="145"/>
      <c r="Q20" s="145"/>
      <c r="R20" s="145">
        <f t="shared" si="8"/>
        <v>-0.97031142644903656</v>
      </c>
      <c r="S20" s="145">
        <f>IF(OR($W20=2, IFERROR(ISNUMBER(SEARCH("LOGNORMAL", UPPER($F20))), FALSE)), IF(OR(UPPER($G20)="GSD", $H20&gt;1), IF($H20&gt;1, LN($H20), ""), IF(OR(UPPER($G20)="95%", AND($P20&gt;0, $Q20&gt;0)), (LN($Q20)-LN($P20))/(2*$X3), "")), IF(OR($W20=3, IFERROR(ISNUMBER(SEARCH("NORMAL", UPPER($F20))), FALSE)), IF($I20&lt;&gt;"",$I20, IF(AND($P20&gt;0,$Q20&gt;0), ($Q20-$P20)/(2*$X3), "")), ""))</f>
        <v>0.18232155679395459</v>
      </c>
      <c r="T20" s="145"/>
      <c r="U20" s="145" t="str">
        <f t="shared" si="1"/>
        <v/>
      </c>
      <c r="V20" s="145" t="str">
        <f t="shared" si="2"/>
        <v/>
      </c>
      <c r="W20" s="150">
        <f t="shared" si="4"/>
        <v>2</v>
      </c>
      <c r="X20" s="150">
        <f t="shared" si="3"/>
        <v>1.9599639845400536</v>
      </c>
      <c r="Y20" s="150">
        <f t="shared" si="5"/>
        <v>0.26509815870575076</v>
      </c>
      <c r="Z20" s="150">
        <f t="shared" si="6"/>
        <v>0.54174073454960048</v>
      </c>
      <c r="AA20" s="150" t="str">
        <f t="shared" si="7"/>
        <v/>
      </c>
    </row>
    <row r="21" spans="1:27" s="141" customFormat="1" x14ac:dyDescent="0.2">
      <c r="A21" s="152" t="s">
        <v>295</v>
      </c>
      <c r="B21" s="148" t="s">
        <v>157</v>
      </c>
      <c r="C21" s="149" t="s">
        <v>24</v>
      </c>
      <c r="D21" s="145" t="s">
        <v>23</v>
      </c>
      <c r="E21" s="151">
        <v>2.1873900000000002E-2</v>
      </c>
      <c r="F21" s="145" t="s">
        <v>327</v>
      </c>
      <c r="G21" s="145" t="s">
        <v>291</v>
      </c>
      <c r="H21" s="145">
        <v>1.2</v>
      </c>
      <c r="I21" s="145"/>
      <c r="J21" s="145"/>
      <c r="K21" s="145"/>
      <c r="L21" s="145"/>
      <c r="M21" s="145"/>
      <c r="N21" s="145"/>
      <c r="O21" s="145"/>
      <c r="P21" s="145"/>
      <c r="Q21" s="145"/>
      <c r="R21" s="145">
        <f t="shared" si="8"/>
        <v>-3.8224611337171135</v>
      </c>
      <c r="S21" s="145">
        <f>IF(OR($W21=2, IFERROR(ISNUMBER(SEARCH("LOGNORMAL", UPPER($F21))), FALSE)), IF(OR(UPPER($G21)="GSD", $H21&gt;1), IF($H21&gt;1, LN($H21), ""), IF(OR(UPPER($G21)="95%", AND($P21&gt;0, $Q21&gt;0)), (LN($Q21)-LN($P21))/(2*$X3), "")), IF(OR($W21=3, IFERROR(ISNUMBER(SEARCH("NORMAL", UPPER($F21))), FALSE)), IF($I21&lt;&gt;"",$I21, IF(AND($P21&gt;0,$Q21&gt;0), ($Q21-$P21)/(2*$X3), "")), ""))</f>
        <v>0.18232155679395459</v>
      </c>
      <c r="T21" s="145"/>
      <c r="U21" s="145" t="str">
        <f t="shared" si="1"/>
        <v/>
      </c>
      <c r="V21" s="145" t="str">
        <f t="shared" si="2"/>
        <v/>
      </c>
      <c r="W21" s="150">
        <f t="shared" si="4"/>
        <v>2</v>
      </c>
      <c r="X21" s="150">
        <f t="shared" si="3"/>
        <v>1.9599639845400536</v>
      </c>
      <c r="Y21" s="150">
        <f t="shared" si="5"/>
        <v>1.5301493841683856E-2</v>
      </c>
      <c r="Z21" s="150">
        <f t="shared" si="6"/>
        <v>3.1269332665192058E-2</v>
      </c>
      <c r="AA21" s="150" t="str">
        <f t="shared" si="7"/>
        <v/>
      </c>
    </row>
    <row r="22" spans="1:27" s="141" customFormat="1" x14ac:dyDescent="0.2">
      <c r="A22" s="152" t="s">
        <v>295</v>
      </c>
      <c r="B22" s="148" t="s">
        <v>157</v>
      </c>
      <c r="C22" s="149" t="s">
        <v>296</v>
      </c>
      <c r="D22" s="145" t="s">
        <v>10</v>
      </c>
      <c r="E22" s="151">
        <v>0.56938200000000005</v>
      </c>
      <c r="F22" s="145" t="s">
        <v>327</v>
      </c>
      <c r="G22" s="145" t="s">
        <v>291</v>
      </c>
      <c r="H22" s="145">
        <v>1.2</v>
      </c>
      <c r="I22" s="145"/>
      <c r="J22" s="145"/>
      <c r="K22" s="145"/>
      <c r="L22" s="145"/>
      <c r="M22" s="145"/>
      <c r="N22" s="145"/>
      <c r="O22" s="145"/>
      <c r="P22" s="145"/>
      <c r="Q22" s="145"/>
      <c r="R22" s="145">
        <f t="shared" si="8"/>
        <v>-0.56320371686126969</v>
      </c>
      <c r="S22" s="145">
        <f>IF(OR($W22=2, IFERROR(ISNUMBER(SEARCH("LOGNORMAL", UPPER($F22))), FALSE)), IF(OR(UPPER($G22)="GSD", $H22&gt;1), IF($H22&gt;1, LN($H22), ""), IF(OR(UPPER($G22)="95%", AND($P22&gt;0, $Q22&gt;0)), (LN($Q22)-LN($P22))/(2*$X3), "")), IF(OR($W22=3, IFERROR(ISNUMBER(SEARCH("NORMAL", UPPER($F22))), FALSE)), IF($I22&lt;&gt;"",$I22, IF(AND($P22&gt;0,$Q22&gt;0), ($Q22-$P22)/(2*$X3), "")), ""))</f>
        <v>0.18232155679395459</v>
      </c>
      <c r="T22" s="145"/>
      <c r="U22" s="145" t="str">
        <f t="shared" si="1"/>
        <v/>
      </c>
      <c r="V22" s="145" t="str">
        <f t="shared" si="2"/>
        <v/>
      </c>
      <c r="W22" s="150">
        <f t="shared" si="4"/>
        <v>2</v>
      </c>
      <c r="X22" s="150">
        <f t="shared" si="3"/>
        <v>1.9599639845400536</v>
      </c>
      <c r="Y22" s="150">
        <f t="shared" si="5"/>
        <v>0.39830095074795246</v>
      </c>
      <c r="Z22" s="150">
        <f t="shared" si="6"/>
        <v>0.81394699489219502</v>
      </c>
      <c r="AA22" s="150" t="str">
        <f t="shared" si="7"/>
        <v/>
      </c>
    </row>
    <row r="23" spans="1:27" s="141" customFormat="1" x14ac:dyDescent="0.2">
      <c r="A23" s="152" t="s">
        <v>295</v>
      </c>
      <c r="B23" s="148" t="s">
        <v>297</v>
      </c>
      <c r="C23" s="149" t="s">
        <v>1</v>
      </c>
      <c r="D23" s="145" t="s">
        <v>10</v>
      </c>
      <c r="E23" s="151">
        <v>0.53973700000000002</v>
      </c>
      <c r="F23" s="145" t="s">
        <v>327</v>
      </c>
      <c r="G23" s="145" t="s">
        <v>291</v>
      </c>
      <c r="H23" s="145">
        <v>1.2</v>
      </c>
      <c r="I23" s="145"/>
      <c r="J23" s="145"/>
      <c r="K23" s="145"/>
      <c r="L23" s="145"/>
      <c r="M23" s="145"/>
      <c r="N23" s="145"/>
      <c r="O23" s="145"/>
      <c r="P23" s="145"/>
      <c r="Q23" s="145"/>
      <c r="R23" s="145">
        <f t="shared" si="8"/>
        <v>-0.61667329510191504</v>
      </c>
      <c r="S23" s="145">
        <f>IF(OR($W23=2, IFERROR(ISNUMBER(SEARCH("LOGNORMAL", UPPER($F23))), FALSE)), IF(OR(UPPER($G23)="GSD", $H23&gt;1), IF($H23&gt;1, LN($H23), ""), IF(OR(UPPER($G23)="95%", AND($P23&gt;0, $Q23&gt;0)), (LN($Q23)-LN($P23))/(2*$X3), "")), IF(OR($W23=3, IFERROR(ISNUMBER(SEARCH("NORMAL", UPPER($F23))), FALSE)), IF($I23&lt;&gt;"",$I23, IF(AND($P23&gt;0,$Q23&gt;0), ($Q23-$P23)/(2*$X3), "")), ""))</f>
        <v>0.18232155679395459</v>
      </c>
      <c r="T23" s="145"/>
      <c r="U23" s="145" t="str">
        <f t="shared" si="1"/>
        <v/>
      </c>
      <c r="V23" s="145" t="str">
        <f t="shared" si="2"/>
        <v/>
      </c>
      <c r="W23" s="150">
        <f t="shared" si="4"/>
        <v>2</v>
      </c>
      <c r="X23" s="150">
        <f t="shared" si="3"/>
        <v>1.9599639845400536</v>
      </c>
      <c r="Y23" s="150">
        <f t="shared" si="5"/>
        <v>0.37756332348730309</v>
      </c>
      <c r="Z23" s="150">
        <f t="shared" si="6"/>
        <v>0.77156866423969961</v>
      </c>
      <c r="AA23" s="150" t="str">
        <f t="shared" si="7"/>
        <v/>
      </c>
    </row>
    <row r="24" spans="1:27" s="141" customFormat="1" x14ac:dyDescent="0.2">
      <c r="A24" s="152" t="s">
        <v>295</v>
      </c>
      <c r="B24" s="148" t="s">
        <v>297</v>
      </c>
      <c r="C24" s="149" t="s">
        <v>296</v>
      </c>
      <c r="D24" s="145" t="s">
        <v>10</v>
      </c>
      <c r="E24" s="151">
        <v>0.37513800000000003</v>
      </c>
      <c r="F24" s="145" t="s">
        <v>327</v>
      </c>
      <c r="G24" s="145" t="s">
        <v>291</v>
      </c>
      <c r="H24" s="145">
        <v>1.2</v>
      </c>
      <c r="I24" s="145"/>
      <c r="J24" s="145"/>
      <c r="K24" s="145"/>
      <c r="L24" s="145"/>
      <c r="M24" s="145"/>
      <c r="N24" s="145"/>
      <c r="O24" s="145"/>
      <c r="P24" s="145"/>
      <c r="Q24" s="145"/>
      <c r="R24" s="145">
        <f t="shared" si="8"/>
        <v>-0.98046132070711878</v>
      </c>
      <c r="S24" s="145">
        <f>IF(OR($W24=2, IFERROR(ISNUMBER(SEARCH("LOGNORMAL", UPPER($F24))), FALSE)), IF(OR(UPPER($G24)="GSD", $H24&gt;1), IF($H24&gt;1, LN($H24), ""), IF(OR(UPPER($G24)="95%", AND($P24&gt;0, $Q24&gt;0)), (LN($Q24)-LN($P24))/(2*$X3), "")), IF(OR($W24=3, IFERROR(ISNUMBER(SEARCH("NORMAL", UPPER($F24))), FALSE)), IF($I24&lt;&gt;"",$I24, IF(AND($P24&gt;0,$Q24&gt;0), ($Q24-$P24)/(2*$X3), "")), ""))</f>
        <v>0.18232155679395459</v>
      </c>
      <c r="T24" s="145"/>
      <c r="U24" s="145" t="str">
        <f t="shared" si="1"/>
        <v/>
      </c>
      <c r="V24" s="145" t="str">
        <f t="shared" si="2"/>
        <v/>
      </c>
      <c r="W24" s="150">
        <f t="shared" si="4"/>
        <v>2</v>
      </c>
      <c r="X24" s="150">
        <f t="shared" si="3"/>
        <v>1.9599639845400536</v>
      </c>
      <c r="Y24" s="150">
        <f t="shared" si="5"/>
        <v>0.26242104959708135</v>
      </c>
      <c r="Z24" s="150">
        <f t="shared" si="6"/>
        <v>0.5362699343672056</v>
      </c>
      <c r="AA24" s="150" t="str">
        <f t="shared" si="7"/>
        <v/>
      </c>
    </row>
    <row r="25" spans="1:27" s="141" customFormat="1" hidden="1" x14ac:dyDescent="0.2">
      <c r="A25" s="152"/>
      <c r="B25" s="148"/>
      <c r="C25" s="149"/>
      <c r="D25" s="145" t="s">
        <v>10</v>
      </c>
      <c r="E25" s="151"/>
      <c r="F25" s="145"/>
      <c r="G25" s="145"/>
      <c r="H25" s="145"/>
      <c r="I25" s="145"/>
      <c r="J25" s="145"/>
      <c r="K25" s="145"/>
      <c r="L25" s="145"/>
      <c r="M25" s="145"/>
      <c r="N25" s="145"/>
      <c r="O25" s="145"/>
      <c r="P25" s="145"/>
      <c r="Q25" s="145"/>
      <c r="R25" s="145" t="str">
        <f t="shared" si="8"/>
        <v/>
      </c>
      <c r="S25" s="145" t="str">
        <f>IF(OR($W25=2, IFERROR(ISNUMBER(SEARCH("LOGNORMAL", UPPER($F25))), FALSE)), IF(OR(UPPER($G25)="GSD", $H25&gt;1), IF($H25&gt;1, LN($H25), ""), IF(OR(UPPER($G25)="95%", AND($P25&gt;0, $Q25&gt;0)), (LN($Q25)-LN($P25))/(2*$X3), "")), IF(OR($W25=3, IFERROR(ISNUMBER(SEARCH("NORMAL", UPPER($F25))), FALSE)), IF($I25&lt;&gt;"",$I25, IF(AND($P25&gt;0,$Q25&gt;0), ($Q25-$P25)/(2*$X3), "")), ""))</f>
        <v/>
      </c>
      <c r="T25" s="145"/>
      <c r="U25" s="145" t="str">
        <f t="shared" si="1"/>
        <v/>
      </c>
      <c r="V25" s="145" t="str">
        <f t="shared" si="2"/>
        <v/>
      </c>
      <c r="W25" s="150">
        <f t="shared" si="4"/>
        <v>0</v>
      </c>
      <c r="X25" s="150">
        <f t="shared" si="3"/>
        <v>1.9599639845400536</v>
      </c>
      <c r="Y25" s="150" t="str">
        <f t="shared" si="5"/>
        <v/>
      </c>
      <c r="Z25" s="150" t="str">
        <f t="shared" si="6"/>
        <v/>
      </c>
      <c r="AA25" s="150" t="str">
        <f t="shared" si="7"/>
        <v/>
      </c>
    </row>
    <row r="26" spans="1:27" s="141" customFormat="1" x14ac:dyDescent="0.2">
      <c r="A26" s="153" t="s">
        <v>307</v>
      </c>
      <c r="B26" s="148" t="s">
        <v>127</v>
      </c>
      <c r="C26" s="149" t="s">
        <v>16</v>
      </c>
      <c r="D26" s="145" t="s">
        <v>18</v>
      </c>
      <c r="E26" s="151">
        <v>1.08</v>
      </c>
      <c r="F26" s="145" t="s">
        <v>327</v>
      </c>
      <c r="G26" s="145" t="s">
        <v>291</v>
      </c>
      <c r="H26" s="145">
        <v>1.3</v>
      </c>
      <c r="I26" s="145"/>
      <c r="J26" s="145"/>
      <c r="K26" s="145"/>
      <c r="L26" s="145"/>
      <c r="M26" s="145"/>
      <c r="N26" s="145"/>
      <c r="O26" s="145"/>
      <c r="P26" s="145"/>
      <c r="Q26" s="145"/>
      <c r="R26" s="145">
        <f t="shared" si="8"/>
        <v>7.6961041136128394E-2</v>
      </c>
      <c r="S26" s="145">
        <f>IF(OR($W26=2, IFERROR(ISNUMBER(SEARCH("LOGNORMAL", UPPER($F26))), FALSE)), IF(OR(UPPER($G26)="GSD", $H26&gt;1), IF($H26&gt;1, LN($H26), ""), IF(OR(UPPER($G26)="95%", AND($P26&gt;0, $Q26&gt;0)), (LN($Q26)-LN($P26))/(2*$X3), "")), IF(OR($W26=3, IFERROR(ISNUMBER(SEARCH("NORMAL", UPPER($F26))), FALSE)), IF($I26&lt;&gt;"",$I26, IF(AND($P26&gt;0,$Q26&gt;0), ($Q26-$P26)/(2*$X3), "")), ""))</f>
        <v>0.26236426446749106</v>
      </c>
      <c r="T26" s="145"/>
      <c r="U26" s="145" t="str">
        <f t="shared" si="1"/>
        <v/>
      </c>
      <c r="V26" s="145" t="str">
        <f t="shared" si="2"/>
        <v/>
      </c>
      <c r="W26" s="150">
        <f t="shared" si="4"/>
        <v>2</v>
      </c>
      <c r="X26" s="150">
        <f t="shared" si="3"/>
        <v>1.9599639845400536</v>
      </c>
      <c r="Y26" s="150">
        <f t="shared" si="5"/>
        <v>0.64580126099513357</v>
      </c>
      <c r="Z26" s="150">
        <f t="shared" si="6"/>
        <v>1.8061284027266549</v>
      </c>
      <c r="AA26" s="150" t="str">
        <f t="shared" si="7"/>
        <v/>
      </c>
    </row>
    <row r="27" spans="1:27" s="141" customFormat="1" x14ac:dyDescent="0.2">
      <c r="A27" s="153" t="s">
        <v>307</v>
      </c>
      <c r="B27" s="148" t="s">
        <v>127</v>
      </c>
      <c r="C27" s="149" t="s">
        <v>22</v>
      </c>
      <c r="D27" s="145" t="s">
        <v>23</v>
      </c>
      <c r="E27" s="151">
        <v>1.3589E-2</v>
      </c>
      <c r="F27" s="145" t="s">
        <v>327</v>
      </c>
      <c r="G27" s="145" t="s">
        <v>291</v>
      </c>
      <c r="H27" s="145">
        <v>1.3</v>
      </c>
      <c r="I27" s="145"/>
      <c r="J27" s="145"/>
      <c r="K27" s="145"/>
      <c r="L27" s="145"/>
      <c r="M27" s="145"/>
      <c r="N27" s="145"/>
      <c r="O27" s="145"/>
      <c r="P27" s="145"/>
      <c r="Q27" s="145"/>
      <c r="R27" s="145">
        <f t="shared" si="8"/>
        <v>-4.2984946370437767</v>
      </c>
      <c r="S27" s="145">
        <f>IF(OR($W27=2, IFERROR(ISNUMBER(SEARCH("LOGNORMAL", UPPER($F27))), FALSE)), IF(OR(UPPER($G27)="GSD", $H27&gt;1), IF($H27&gt;1, LN($H27), ""), IF(OR(UPPER($G27)="95%", AND($P27&gt;0, $Q27&gt;0)), (LN($Q27)-LN($P27))/(2*$X3), "")), IF(OR($W27=3, IFERROR(ISNUMBER(SEARCH("NORMAL", UPPER($F27))), FALSE)), IF($I27&lt;&gt;"",$I27, IF(AND($P27&gt;0,$Q27&gt;0), ($Q27-$P27)/(2*$X3), "")), ""))</f>
        <v>0.26236426446749106</v>
      </c>
      <c r="T27" s="145"/>
      <c r="U27" s="145" t="str">
        <f t="shared" si="1"/>
        <v/>
      </c>
      <c r="V27" s="145" t="str">
        <f t="shared" si="2"/>
        <v/>
      </c>
      <c r="W27" s="150">
        <f t="shared" si="4"/>
        <v>2</v>
      </c>
      <c r="X27" s="150">
        <f t="shared" si="3"/>
        <v>1.9599639845400536</v>
      </c>
      <c r="Y27" s="150">
        <f t="shared" si="5"/>
        <v>8.1257345700582132E-3</v>
      </c>
      <c r="Z27" s="150">
        <f t="shared" si="6"/>
        <v>2.2725443393196772E-2</v>
      </c>
      <c r="AA27" s="150" t="str">
        <f t="shared" si="7"/>
        <v/>
      </c>
    </row>
    <row r="28" spans="1:27" s="141" customFormat="1" x14ac:dyDescent="0.2">
      <c r="A28" s="153" t="s">
        <v>307</v>
      </c>
      <c r="B28" s="148" t="s">
        <v>128</v>
      </c>
      <c r="C28" s="149" t="s">
        <v>127</v>
      </c>
      <c r="D28" s="145" t="s">
        <v>10</v>
      </c>
      <c r="E28" s="151">
        <v>1.608954346</v>
      </c>
      <c r="F28" s="145" t="s">
        <v>327</v>
      </c>
      <c r="G28" s="145" t="s">
        <v>291</v>
      </c>
      <c r="H28" s="145">
        <v>1.2</v>
      </c>
      <c r="I28" s="145"/>
      <c r="J28" s="145"/>
      <c r="K28" s="145"/>
      <c r="L28" s="145"/>
      <c r="M28" s="145"/>
      <c r="N28" s="145"/>
      <c r="O28" s="145"/>
      <c r="P28" s="145"/>
      <c r="Q28" s="145"/>
      <c r="R28" s="145">
        <f t="shared" si="8"/>
        <v>0.4755844934622605</v>
      </c>
      <c r="S28" s="145">
        <f>IF(OR($W28=2, IFERROR(ISNUMBER(SEARCH("LOGNORMAL", UPPER($F28))), FALSE)), IF(OR(UPPER($G28)="GSD", $H28&gt;1), IF($H28&gt;1, LN($H28), ""), IF(OR(UPPER($G28)="95%", AND($P28&gt;0, $Q28&gt;0)), (LN($Q28)-LN($P28))/(2*$X3), "")), IF(OR($W28=3, IFERROR(ISNUMBER(SEARCH("NORMAL", UPPER($F28))), FALSE)), IF($I28&lt;&gt;"",$I28, IF(AND($P28&gt;0,$Q28&gt;0), ($Q28-$P28)/(2*$X3), "")), ""))</f>
        <v>0.18232155679395459</v>
      </c>
      <c r="T28" s="145"/>
      <c r="U28" s="145" t="str">
        <f t="shared" si="1"/>
        <v/>
      </c>
      <c r="V28" s="145" t="str">
        <f t="shared" si="2"/>
        <v/>
      </c>
      <c r="W28" s="150">
        <f t="shared" si="4"/>
        <v>2</v>
      </c>
      <c r="X28" s="150">
        <f t="shared" si="3"/>
        <v>1.9599639845400536</v>
      </c>
      <c r="Y28" s="150">
        <f t="shared" si="5"/>
        <v>1.1255151123882561</v>
      </c>
      <c r="Z28" s="150">
        <f t="shared" si="6"/>
        <v>2.3000438279493149</v>
      </c>
      <c r="AA28" s="150" t="str">
        <f t="shared" si="7"/>
        <v/>
      </c>
    </row>
    <row r="29" spans="1:27" s="141" customFormat="1" x14ac:dyDescent="0.2">
      <c r="A29" s="153" t="s">
        <v>307</v>
      </c>
      <c r="B29" s="148" t="s">
        <v>128</v>
      </c>
      <c r="C29" s="149" t="s">
        <v>16</v>
      </c>
      <c r="D29" s="145" t="s">
        <v>18</v>
      </c>
      <c r="E29" s="151">
        <v>0.35971392299999999</v>
      </c>
      <c r="F29" s="145" t="s">
        <v>327</v>
      </c>
      <c r="G29" s="145" t="s">
        <v>291</v>
      </c>
      <c r="H29" s="145">
        <v>1.2</v>
      </c>
      <c r="I29" s="145"/>
      <c r="J29" s="145"/>
      <c r="K29" s="145"/>
      <c r="L29" s="145"/>
      <c r="M29" s="145"/>
      <c r="N29" s="145"/>
      <c r="O29" s="145"/>
      <c r="P29" s="145"/>
      <c r="Q29" s="145"/>
      <c r="R29" s="145">
        <f t="shared" si="8"/>
        <v>-1.0224462217736185</v>
      </c>
      <c r="S29" s="145">
        <f>IF(OR($W29=2, IFERROR(ISNUMBER(SEARCH("LOGNORMAL", UPPER($F29))), FALSE)), IF(OR(UPPER($G29)="GSD", $H29&gt;1), IF($H29&gt;1, LN($H29), ""), IF(OR(UPPER($G29)="95%", AND($P29&gt;0, $Q29&gt;0)), (LN($Q29)-LN($P29))/(2*$X3), "")), IF(OR($W29=3, IFERROR(ISNUMBER(SEARCH("NORMAL", UPPER($F29))), FALSE)), IF($I29&lt;&gt;"",$I29, IF(AND($P29&gt;0,$Q29&gt;0), ($Q29-$P29)/(2*$X3), "")), ""))</f>
        <v>0.18232155679395459</v>
      </c>
      <c r="T29" s="145"/>
      <c r="U29" s="145" t="str">
        <f t="shared" si="1"/>
        <v/>
      </c>
      <c r="V29" s="145" t="str">
        <f t="shared" si="2"/>
        <v/>
      </c>
      <c r="W29" s="150">
        <f t="shared" si="4"/>
        <v>2</v>
      </c>
      <c r="X29" s="150">
        <f t="shared" si="3"/>
        <v>1.9599639845400536</v>
      </c>
      <c r="Y29" s="150">
        <f t="shared" si="5"/>
        <v>0.25163141358205166</v>
      </c>
      <c r="Z29" s="150">
        <f t="shared" si="6"/>
        <v>0.51422079842132762</v>
      </c>
      <c r="AA29" s="150" t="str">
        <f t="shared" si="7"/>
        <v/>
      </c>
    </row>
    <row r="30" spans="1:27" s="141" customFormat="1" x14ac:dyDescent="0.2">
      <c r="A30" s="153" t="s">
        <v>307</v>
      </c>
      <c r="B30" s="148" t="s">
        <v>128</v>
      </c>
      <c r="C30" s="149" t="s">
        <v>22</v>
      </c>
      <c r="D30" s="145" t="s">
        <v>23</v>
      </c>
      <c r="E30" s="151">
        <v>2.076296E-2</v>
      </c>
      <c r="F30" s="145" t="s">
        <v>327</v>
      </c>
      <c r="G30" s="145" t="s">
        <v>291</v>
      </c>
      <c r="H30" s="145">
        <v>1.2</v>
      </c>
      <c r="I30" s="145"/>
      <c r="J30" s="145"/>
      <c r="K30" s="145"/>
      <c r="L30" s="145"/>
      <c r="M30" s="145"/>
      <c r="N30" s="145"/>
      <c r="O30" s="145"/>
      <c r="P30" s="145"/>
      <c r="Q30" s="145"/>
      <c r="R30" s="145">
        <f t="shared" si="8"/>
        <v>-3.8745846489600337</v>
      </c>
      <c r="S30" s="145">
        <f>IF(OR($W30=2, IFERROR(ISNUMBER(SEARCH("LOGNORMAL", UPPER($F30))), FALSE)), IF(OR(UPPER($G30)="GSD", $H30&gt;1), IF($H30&gt;1, LN($H30), ""), IF(OR(UPPER($G30)="95%", AND($P30&gt;0, $Q30&gt;0)), (LN($Q30)-LN($P30))/(2*$X3), "")), IF(OR($W30=3, IFERROR(ISNUMBER(SEARCH("NORMAL", UPPER($F30))), FALSE)), IF($I30&lt;&gt;"",$I30, IF(AND($P30&gt;0,$Q30&gt;0), ($Q30-$P30)/(2*$X3), "")), ""))</f>
        <v>0.18232155679395459</v>
      </c>
      <c r="T30" s="145"/>
      <c r="U30" s="145" t="str">
        <f t="shared" si="1"/>
        <v/>
      </c>
      <c r="V30" s="145" t="str">
        <f t="shared" si="2"/>
        <v/>
      </c>
      <c r="W30" s="150">
        <f t="shared" si="4"/>
        <v>2</v>
      </c>
      <c r="X30" s="150">
        <f t="shared" si="3"/>
        <v>1.9599639845400536</v>
      </c>
      <c r="Y30" s="150">
        <f t="shared" si="5"/>
        <v>1.4524355719607761E-2</v>
      </c>
      <c r="Z30" s="150">
        <f t="shared" si="6"/>
        <v>2.9681213837225006E-2</v>
      </c>
      <c r="AA30" s="150" t="str">
        <f t="shared" si="7"/>
        <v/>
      </c>
    </row>
    <row r="31" spans="1:27" s="141" customFormat="1" x14ac:dyDescent="0.2">
      <c r="A31" s="153" t="s">
        <v>307</v>
      </c>
      <c r="B31" s="148" t="s">
        <v>128</v>
      </c>
      <c r="C31" s="149" t="s">
        <v>31</v>
      </c>
      <c r="D31" s="145" t="s">
        <v>10</v>
      </c>
      <c r="E31" s="151">
        <v>0.52814087300000001</v>
      </c>
      <c r="F31" s="145" t="s">
        <v>327</v>
      </c>
      <c r="G31" s="145" t="s">
        <v>291</v>
      </c>
      <c r="H31" s="145">
        <v>1.2</v>
      </c>
      <c r="I31" s="145"/>
      <c r="J31" s="145"/>
      <c r="K31" s="145"/>
      <c r="L31" s="145"/>
      <c r="M31" s="145"/>
      <c r="N31" s="145"/>
      <c r="O31" s="145"/>
      <c r="P31" s="145"/>
      <c r="Q31" s="145"/>
      <c r="R31" s="145">
        <f t="shared" si="8"/>
        <v>-0.63839222593773737</v>
      </c>
      <c r="S31" s="145">
        <f>IF(OR($W31=2, IFERROR(ISNUMBER(SEARCH("LOGNORMAL", UPPER($F31))), FALSE)), IF(OR(UPPER($G31)="GSD", $H31&gt;1), IF($H31&gt;1, LN($H31), ""), IF(OR(UPPER($G31)="95%", AND($P31&gt;0, $Q31&gt;0)), (LN($Q31)-LN($P31))/(2*$X3), "")), IF(OR($W31=3, IFERROR(ISNUMBER(SEARCH("NORMAL", UPPER($F31))), FALSE)), IF($I31&lt;&gt;"",$I31, IF(AND($P31&gt;0,$Q31&gt;0), ($Q31-$P31)/(2*$X3), "")), ""))</f>
        <v>0.18232155679395459</v>
      </c>
      <c r="T31" s="145"/>
      <c r="U31" s="145" t="str">
        <f t="shared" si="1"/>
        <v/>
      </c>
      <c r="V31" s="145" t="str">
        <f t="shared" si="2"/>
        <v/>
      </c>
      <c r="W31" s="150">
        <f t="shared" si="4"/>
        <v>2</v>
      </c>
      <c r="X31" s="150">
        <f t="shared" si="3"/>
        <v>1.9599639845400536</v>
      </c>
      <c r="Y31" s="150">
        <f t="shared" si="5"/>
        <v>0.36945146113637872</v>
      </c>
      <c r="Z31" s="150">
        <f t="shared" si="6"/>
        <v>0.75499168652695448</v>
      </c>
      <c r="AA31" s="150" t="str">
        <f t="shared" si="7"/>
        <v/>
      </c>
    </row>
    <row r="32" spans="1:27" s="141" customFormat="1" x14ac:dyDescent="0.2">
      <c r="A32" s="153" t="s">
        <v>307</v>
      </c>
      <c r="B32" s="148" t="s">
        <v>125</v>
      </c>
      <c r="C32" s="149" t="s">
        <v>128</v>
      </c>
      <c r="D32" s="145" t="s">
        <v>10</v>
      </c>
      <c r="E32" s="151">
        <v>0.58199999999999996</v>
      </c>
      <c r="F32" s="145" t="s">
        <v>327</v>
      </c>
      <c r="G32" s="145" t="s">
        <v>291</v>
      </c>
      <c r="H32" s="145">
        <v>1.2</v>
      </c>
      <c r="I32" s="145"/>
      <c r="J32" s="145"/>
      <c r="K32" s="145"/>
      <c r="L32" s="145"/>
      <c r="M32" s="145"/>
      <c r="N32" s="145"/>
      <c r="O32" s="145"/>
      <c r="P32" s="145"/>
      <c r="Q32" s="145"/>
      <c r="R32" s="145">
        <f t="shared" si="8"/>
        <v>-0.54128483125069926</v>
      </c>
      <c r="S32" s="145">
        <f>IF(OR($W32=2, IFERROR(ISNUMBER(SEARCH("LOGNORMAL", UPPER($F32))), FALSE)), IF(OR(UPPER($G32)="GSD", $H32&gt;1), IF($H32&gt;1, LN($H32), ""), IF(OR(UPPER($G32)="95%", AND($P32&gt;0, $Q32&gt;0)), (LN($Q32)-LN($P32))/(2*$X3), "")), IF(OR($W32=3, IFERROR(ISNUMBER(SEARCH("NORMAL", UPPER($F32))), FALSE)), IF($I32&lt;&gt;"",$I32, IF(AND($P32&gt;0,$Q32&gt;0), ($Q32-$P32)/(2*$X3), "")), ""))</f>
        <v>0.18232155679395459</v>
      </c>
      <c r="T32" s="145"/>
      <c r="U32" s="145" t="str">
        <f t="shared" si="1"/>
        <v/>
      </c>
      <c r="V32" s="145" t="str">
        <f t="shared" si="2"/>
        <v/>
      </c>
      <c r="W32" s="150">
        <f t="shared" si="4"/>
        <v>2</v>
      </c>
      <c r="X32" s="150">
        <f t="shared" si="3"/>
        <v>1.9599639845400536</v>
      </c>
      <c r="Y32" s="150">
        <f t="shared" si="5"/>
        <v>0.40712764600094187</v>
      </c>
      <c r="Z32" s="150">
        <f t="shared" si="6"/>
        <v>0.83198476774337338</v>
      </c>
      <c r="AA32" s="150" t="str">
        <f t="shared" si="7"/>
        <v/>
      </c>
    </row>
    <row r="33" spans="1:27" s="141" customFormat="1" x14ac:dyDescent="0.2">
      <c r="A33" s="153" t="s">
        <v>307</v>
      </c>
      <c r="B33" s="148" t="s">
        <v>125</v>
      </c>
      <c r="C33" s="149" t="s">
        <v>31</v>
      </c>
      <c r="D33" s="145" t="s">
        <v>10</v>
      </c>
      <c r="E33" s="151">
        <v>0.375</v>
      </c>
      <c r="F33" s="145" t="s">
        <v>327</v>
      </c>
      <c r="G33" s="145" t="s">
        <v>291</v>
      </c>
      <c r="H33" s="145">
        <v>1.2</v>
      </c>
      <c r="I33" s="145"/>
      <c r="J33" s="145"/>
      <c r="K33" s="145"/>
      <c r="L33" s="145"/>
      <c r="M33" s="145"/>
      <c r="N33" s="145"/>
      <c r="O33" s="145"/>
      <c r="P33" s="145"/>
      <c r="Q33" s="145"/>
      <c r="R33" s="145">
        <f t="shared" si="8"/>
        <v>-0.98082925301172619</v>
      </c>
      <c r="S33" s="145">
        <f>IF(OR($W33=2, IFERROR(ISNUMBER(SEARCH("LOGNORMAL", UPPER($F33))), FALSE)), IF(OR(UPPER($G33)="GSD", $H33&gt;1), IF($H33&gt;1, LN($H33), ""), IF(OR(UPPER($G33)="95%", AND($P33&gt;0, $Q33&gt;0)), (LN($Q33)-LN($P33))/(2*$X3), "")), IF(OR($W33=3, IFERROR(ISNUMBER(SEARCH("NORMAL", UPPER($F33))), FALSE)), IF($I33&lt;&gt;"",$I33, IF(AND($P33&gt;0,$Q33&gt;0), ($Q33-$P33)/(2*$X3), "")), ""))</f>
        <v>0.18232155679395459</v>
      </c>
      <c r="T33" s="145"/>
      <c r="U33" s="145" t="str">
        <f t="shared" si="1"/>
        <v/>
      </c>
      <c r="V33" s="145" t="str">
        <f t="shared" si="2"/>
        <v/>
      </c>
      <c r="W33" s="150">
        <f t="shared" si="4"/>
        <v>2</v>
      </c>
      <c r="X33" s="150">
        <f t="shared" si="3"/>
        <v>1.9599639845400536</v>
      </c>
      <c r="Y33" s="150">
        <f t="shared" si="5"/>
        <v>0.26232451417586461</v>
      </c>
      <c r="Z33" s="150">
        <f t="shared" si="6"/>
        <v>0.53607265962846229</v>
      </c>
      <c r="AA33" s="150" t="str">
        <f t="shared" si="7"/>
        <v/>
      </c>
    </row>
    <row r="34" spans="1:27" s="141" customFormat="1" hidden="1" x14ac:dyDescent="0.2">
      <c r="A34" s="153"/>
      <c r="B34" s="148"/>
      <c r="C34" s="149"/>
      <c r="D34" s="145" t="s">
        <v>10</v>
      </c>
      <c r="E34" s="151"/>
      <c r="F34" s="145"/>
      <c r="G34" s="145"/>
      <c r="H34" s="145"/>
      <c r="I34" s="145"/>
      <c r="J34" s="145"/>
      <c r="K34" s="145"/>
      <c r="L34" s="145"/>
      <c r="M34" s="145"/>
      <c r="N34" s="145"/>
      <c r="O34" s="145"/>
      <c r="P34" s="145"/>
      <c r="Q34" s="145"/>
      <c r="R34" s="145" t="str">
        <f t="shared" si="8"/>
        <v/>
      </c>
      <c r="S34" s="145" t="str">
        <f>IF(OR($W34=2, IFERROR(ISNUMBER(SEARCH("LOGNORMAL", UPPER($F34))), FALSE)), IF(OR(UPPER($G34)="GSD", $H34&gt;1), IF($H34&gt;1, LN($H34), ""), IF(OR(UPPER($G34)="95%", AND($P34&gt;0, $Q34&gt;0)), (LN($Q34)-LN($P34))/(2*$X3), "")), IF(OR($W34=3, IFERROR(ISNUMBER(SEARCH("NORMAL", UPPER($F34))), FALSE)), IF($I34&lt;&gt;"",$I34, IF(AND($P34&gt;0,$Q34&gt;0), ($Q34-$P34)/(2*$X3), "")), ""))</f>
        <v/>
      </c>
      <c r="T34" s="145"/>
      <c r="U34" s="145" t="str">
        <f t="shared" si="1"/>
        <v/>
      </c>
      <c r="V34" s="145" t="str">
        <f t="shared" si="2"/>
        <v/>
      </c>
      <c r="W34" s="150">
        <f t="shared" si="4"/>
        <v>0</v>
      </c>
      <c r="X34" s="150">
        <f t="shared" si="3"/>
        <v>1.9599639845400536</v>
      </c>
      <c r="Y34" s="150" t="str">
        <f t="shared" si="5"/>
        <v/>
      </c>
      <c r="Z34" s="150" t="str">
        <f t="shared" si="6"/>
        <v/>
      </c>
      <c r="AA34" s="150" t="str">
        <f t="shared" si="7"/>
        <v/>
      </c>
    </row>
    <row r="35" spans="1:27" s="141" customFormat="1" x14ac:dyDescent="0.2">
      <c r="A35" s="154" t="s">
        <v>308</v>
      </c>
      <c r="B35" s="148" t="s">
        <v>130</v>
      </c>
      <c r="C35" s="149" t="s">
        <v>16</v>
      </c>
      <c r="D35" s="145" t="s">
        <v>18</v>
      </c>
      <c r="E35" s="151">
        <v>1.08</v>
      </c>
      <c r="F35" s="145" t="s">
        <v>327</v>
      </c>
      <c r="G35" s="145" t="s">
        <v>291</v>
      </c>
      <c r="H35" s="145">
        <v>1.3</v>
      </c>
      <c r="I35" s="145"/>
      <c r="J35" s="145"/>
      <c r="K35" s="145"/>
      <c r="L35" s="145"/>
      <c r="M35" s="145"/>
      <c r="N35" s="145"/>
      <c r="O35" s="145"/>
      <c r="P35" s="145"/>
      <c r="Q35" s="145"/>
      <c r="R35" s="145">
        <f t="shared" si="8"/>
        <v>7.6961041136128394E-2</v>
      </c>
      <c r="S35" s="145">
        <f>IF(OR($W35=2, IFERROR(ISNUMBER(SEARCH("LOGNORMAL", UPPER($F35))), FALSE)), IF(OR(UPPER($G35)="GSD", $H35&gt;1), IF($H35&gt;1, LN($H35), ""), IF(OR(UPPER($G35)="95%", AND($P35&gt;0, $Q35&gt;0)), (LN($Q35)-LN($P35))/(2*$X3), "")), IF(OR($W35=3, IFERROR(ISNUMBER(SEARCH("NORMAL", UPPER($F35))), FALSE)), IF($I35&lt;&gt;"",$I35, IF(AND($P35&gt;0,$Q35&gt;0), ($Q35-$P35)/(2*$X3), "")), ""))</f>
        <v>0.26236426446749106</v>
      </c>
      <c r="T35" s="145"/>
      <c r="U35" s="145" t="str">
        <f t="shared" ref="U35:U66" si="9">IF(OR(OR($W35=4, IFERROR(ISNUMBER(SEARCH("UNIFORM", UPPER($F35))), FALSE)),OR($W35=5, IFERROR(ISNUMBER(SEARCH("TRIANG", UPPER($F35))), FALSE))), IF(AND($J35&lt;&gt;"",$K35&lt;&gt;""), $J35, IF($L35=TRUE, IF($O35&lt;&gt;"", IF($E35&gt;=0, $E35*(1-$O35), $E35*(1+$O35)), IF(AND($M35&lt;&gt;"",$N35&lt;&gt;""), IF($E35&gt;=0, $E35*(1-$M35), $E35*(1+$M35)), "")), "" )), "" )</f>
        <v/>
      </c>
      <c r="V35" s="145" t="str">
        <f t="shared" ref="V35:V66" si="10">IF(OR(OR($W35=4, IFERROR(ISNUMBER(SEARCH("UNIFORM", UPPER($F35))), FALSE)),OR($W35=5, IFERROR(ISNUMBER(SEARCH("TRIANG", UPPER($F35))), FALSE))), IF(AND($J35&lt;&gt;"",$K35&lt;&gt;""), $K35, IF($L35=TRUE, IF($O35&lt;&gt;"", IF($E35&gt;=0, $E35*(1+$O35), $E35*(1-$O35)), IF(AND($M35&lt;&gt;"",$N35&lt;&gt;""), IF($E35&gt;=0, $E35*(1+$N35), $E35*(1-$N35)), "")), "" )), "" )</f>
        <v/>
      </c>
      <c r="W35" s="150">
        <f t="shared" si="4"/>
        <v>2</v>
      </c>
      <c r="X35" s="150">
        <f t="shared" si="3"/>
        <v>1.9599639845400536</v>
      </c>
      <c r="Y35" s="150">
        <f t="shared" si="5"/>
        <v>0.64580126099513357</v>
      </c>
      <c r="Z35" s="150">
        <f t="shared" si="6"/>
        <v>1.8061284027266549</v>
      </c>
      <c r="AA35" s="150" t="str">
        <f t="shared" si="7"/>
        <v/>
      </c>
    </row>
    <row r="36" spans="1:27" s="141" customFormat="1" x14ac:dyDescent="0.2">
      <c r="A36" s="154" t="s">
        <v>308</v>
      </c>
      <c r="B36" s="148" t="s">
        <v>130</v>
      </c>
      <c r="C36" s="149" t="s">
        <v>22</v>
      </c>
      <c r="D36" s="145" t="s">
        <v>23</v>
      </c>
      <c r="E36" s="151">
        <v>1.3589E-2</v>
      </c>
      <c r="F36" s="145" t="s">
        <v>327</v>
      </c>
      <c r="G36" s="145" t="s">
        <v>291</v>
      </c>
      <c r="H36" s="145">
        <v>1.3</v>
      </c>
      <c r="I36" s="145"/>
      <c r="J36" s="145"/>
      <c r="K36" s="145"/>
      <c r="L36" s="145"/>
      <c r="M36" s="145"/>
      <c r="N36" s="145"/>
      <c r="O36" s="145"/>
      <c r="P36" s="145"/>
      <c r="Q36" s="145"/>
      <c r="R36" s="145">
        <f t="shared" si="8"/>
        <v>-4.2984946370437767</v>
      </c>
      <c r="S36" s="145">
        <f>IF(OR($W36=2, IFERROR(ISNUMBER(SEARCH("LOGNORMAL", UPPER($F36))), FALSE)), IF(OR(UPPER($G36)="GSD", $H36&gt;1), IF($H36&gt;1, LN($H36), ""), IF(OR(UPPER($G36)="95%", AND($P36&gt;0, $Q36&gt;0)), (LN($Q36)-LN($P36))/(2*$X3), "")), IF(OR($W36=3, IFERROR(ISNUMBER(SEARCH("NORMAL", UPPER($F36))), FALSE)), IF($I36&lt;&gt;"",$I36, IF(AND($P36&gt;0,$Q36&gt;0), ($Q36-$P36)/(2*$X3), "")), ""))</f>
        <v>0.26236426446749106</v>
      </c>
      <c r="T36" s="145"/>
      <c r="U36" s="145" t="str">
        <f t="shared" si="9"/>
        <v/>
      </c>
      <c r="V36" s="145" t="str">
        <f t="shared" si="10"/>
        <v/>
      </c>
      <c r="W36" s="150">
        <f t="shared" si="4"/>
        <v>2</v>
      </c>
      <c r="X36" s="150">
        <f t="shared" si="3"/>
        <v>1.9599639845400536</v>
      </c>
      <c r="Y36" s="150">
        <f t="shared" si="5"/>
        <v>8.1257345700582132E-3</v>
      </c>
      <c r="Z36" s="150">
        <f t="shared" si="6"/>
        <v>2.2725443393196772E-2</v>
      </c>
      <c r="AA36" s="150" t="str">
        <f t="shared" si="7"/>
        <v/>
      </c>
    </row>
    <row r="37" spans="1:27" s="141" customFormat="1" x14ac:dyDescent="0.2">
      <c r="A37" s="154" t="s">
        <v>308</v>
      </c>
      <c r="B37" s="148" t="s">
        <v>134</v>
      </c>
      <c r="C37" s="149" t="s">
        <v>130</v>
      </c>
      <c r="D37" s="145" t="s">
        <v>10</v>
      </c>
      <c r="E37" s="151">
        <v>1.6234472520000001</v>
      </c>
      <c r="F37" s="145" t="s">
        <v>327</v>
      </c>
      <c r="G37" s="145" t="s">
        <v>291</v>
      </c>
      <c r="H37" s="145">
        <v>1.2</v>
      </c>
      <c r="I37" s="145"/>
      <c r="J37" s="145"/>
      <c r="K37" s="145"/>
      <c r="L37" s="145"/>
      <c r="M37" s="145"/>
      <c r="N37" s="145"/>
      <c r="O37" s="145"/>
      <c r="P37" s="145"/>
      <c r="Q37" s="145"/>
      <c r="R37" s="145">
        <f t="shared" si="8"/>
        <v>0.48455182173420513</v>
      </c>
      <c r="S37" s="145">
        <f>IF(OR($W37=2, IFERROR(ISNUMBER(SEARCH("LOGNORMAL", UPPER($F37))), FALSE)), IF(OR(UPPER($G37)="GSD", $H37&gt;1), IF($H37&gt;1, LN($H37), ""), IF(OR(UPPER($G37)="95%", AND($P37&gt;0, $Q37&gt;0)), (LN($Q37)-LN($P37))/(2*$X3), "")), IF(OR($W37=3, IFERROR(ISNUMBER(SEARCH("NORMAL", UPPER($F37))), FALSE)), IF($I37&lt;&gt;"",$I37, IF(AND($P37&gt;0,$Q37&gt;0), ($Q37-$P37)/(2*$X3), "")), ""))</f>
        <v>0.18232155679395459</v>
      </c>
      <c r="T37" s="145"/>
      <c r="U37" s="145" t="str">
        <f t="shared" si="9"/>
        <v/>
      </c>
      <c r="V37" s="145" t="str">
        <f t="shared" si="10"/>
        <v/>
      </c>
      <c r="W37" s="150">
        <f t="shared" si="4"/>
        <v>2</v>
      </c>
      <c r="X37" s="150">
        <f t="shared" si="3"/>
        <v>1.9599639845400536</v>
      </c>
      <c r="Y37" s="150">
        <f t="shared" ref="Y37:Y73" si="11">IF($E37="","",
IF($W37=2,
IF(OR(UPPER($G37)="GSD", AND($H37&lt;&gt;"", ISNUMBER($H37))),
$E37*EXP(-$X$3*LN($H37)),
IF($P37&gt;0, $P37, "")
),
""
))</f>
        <v>1.1356533644561133</v>
      </c>
      <c r="Z37" s="150">
        <f t="shared" ref="Z37:Z73" si="12">IF($E37="","",
IF($W37=2,
IF(OR(UPPER($G37)="GSD", AND($H37&lt;&gt;"", ISNUMBER($H37))),
$E37*EXP($X$3*LN($H37)),
IF($Q37&gt;0, $Q37, "")
),
""
))</f>
        <v>2.320761829723089</v>
      </c>
      <c r="AA37" s="150" t="str">
        <f t="shared" ref="AA37:AA73" si="13">IF($E37="","",
IF(AND($W37=2, $P37&gt;0, $Q37&gt;0),
EXP(LN($Q37/$P37)/(2*$X$3)),
""
))</f>
        <v/>
      </c>
    </row>
    <row r="38" spans="1:27" s="141" customFormat="1" x14ac:dyDescent="0.2">
      <c r="A38" s="154" t="s">
        <v>308</v>
      </c>
      <c r="B38" s="148" t="s">
        <v>134</v>
      </c>
      <c r="C38" s="149" t="s">
        <v>16</v>
      </c>
      <c r="D38" s="145" t="s">
        <v>18</v>
      </c>
      <c r="E38" s="151">
        <v>0.36528645500000001</v>
      </c>
      <c r="F38" s="145" t="s">
        <v>327</v>
      </c>
      <c r="G38" s="145" t="s">
        <v>291</v>
      </c>
      <c r="H38" s="145">
        <v>1.2</v>
      </c>
      <c r="I38" s="145"/>
      <c r="J38" s="145"/>
      <c r="K38" s="145"/>
      <c r="L38" s="145"/>
      <c r="M38" s="145"/>
      <c r="N38" s="145"/>
      <c r="O38" s="145"/>
      <c r="P38" s="145"/>
      <c r="Q38" s="145"/>
      <c r="R38" s="145">
        <f t="shared" si="8"/>
        <v>-1.0070734249814053</v>
      </c>
      <c r="S38" s="145">
        <f>IF(OR($W38=2, IFERROR(ISNUMBER(SEARCH("LOGNORMAL", UPPER($F38))), FALSE)), IF(OR(UPPER($G38)="GSD", $H38&gt;1), IF($H38&gt;1, LN($H38), ""), IF(OR(UPPER($G38)="95%", AND($P38&gt;0, $Q38&gt;0)), (LN($Q38)-LN($P38))/(2*$X3), "")), IF(OR($W38=3, IFERROR(ISNUMBER(SEARCH("NORMAL", UPPER($F38))), FALSE)), IF($I38&lt;&gt;"",$I38, IF(AND($P38&gt;0,$Q38&gt;0), ($Q38-$P38)/(2*$X3), "")), ""))</f>
        <v>0.18232155679395459</v>
      </c>
      <c r="T38" s="145"/>
      <c r="U38" s="145" t="str">
        <f t="shared" si="9"/>
        <v/>
      </c>
      <c r="V38" s="145" t="str">
        <f t="shared" si="10"/>
        <v/>
      </c>
      <c r="W38" s="150">
        <f t="shared" si="4"/>
        <v>2</v>
      </c>
      <c r="X38" s="150">
        <f t="shared" si="3"/>
        <v>1.9599639845400536</v>
      </c>
      <c r="Y38" s="150">
        <f t="shared" si="11"/>
        <v>0.25552957824773026</v>
      </c>
      <c r="Z38" s="150">
        <f t="shared" si="12"/>
        <v>0.52218688388827361</v>
      </c>
      <c r="AA38" s="150" t="str">
        <f t="shared" si="13"/>
        <v/>
      </c>
    </row>
    <row r="39" spans="1:27" s="141" customFormat="1" x14ac:dyDescent="0.2">
      <c r="A39" s="154" t="s">
        <v>308</v>
      </c>
      <c r="B39" s="148" t="s">
        <v>134</v>
      </c>
      <c r="C39" s="149" t="s">
        <v>22</v>
      </c>
      <c r="D39" s="145" t="s">
        <v>23</v>
      </c>
      <c r="E39" s="151">
        <v>2.1084520999999998E-2</v>
      </c>
      <c r="F39" s="145" t="s">
        <v>327</v>
      </c>
      <c r="G39" s="145" t="s">
        <v>291</v>
      </c>
      <c r="H39" s="145">
        <v>1.2</v>
      </c>
      <c r="I39" s="145"/>
      <c r="J39" s="145"/>
      <c r="K39" s="145"/>
      <c r="L39" s="145"/>
      <c r="M39" s="145"/>
      <c r="N39" s="145"/>
      <c r="O39" s="145"/>
      <c r="P39" s="145"/>
      <c r="Q39" s="145"/>
      <c r="R39" s="145">
        <f t="shared" si="8"/>
        <v>-3.8592161096133952</v>
      </c>
      <c r="S39" s="145">
        <f>IF(OR($W39=2, IFERROR(ISNUMBER(SEARCH("LOGNORMAL", UPPER($F39))), FALSE)), IF(OR(UPPER($G39)="GSD", $H39&gt;1), IF($H39&gt;1, LN($H39), ""), IF(OR(UPPER($G39)="95%", AND($P39&gt;0, $Q39&gt;0)), (LN($Q39)-LN($P39))/(2*$X3), "")), IF(OR($W39=3, IFERROR(ISNUMBER(SEARCH("NORMAL", UPPER($F39))), FALSE)), IF($I39&lt;&gt;"",$I39, IF(AND($P39&gt;0,$Q39&gt;0), ($Q39-$P39)/(2*$X3), "")), ""))</f>
        <v>0.18232155679395459</v>
      </c>
      <c r="T39" s="145"/>
      <c r="U39" s="145" t="str">
        <f t="shared" si="9"/>
        <v/>
      </c>
      <c r="V39" s="145" t="str">
        <f t="shared" si="10"/>
        <v/>
      </c>
      <c r="W39" s="150">
        <f t="shared" si="4"/>
        <v>2</v>
      </c>
      <c r="X39" s="150">
        <f t="shared" si="3"/>
        <v>1.9599639845400536</v>
      </c>
      <c r="Y39" s="150">
        <f t="shared" si="11"/>
        <v>1.4749297941215506E-2</v>
      </c>
      <c r="Z39" s="150">
        <f t="shared" si="12"/>
        <v>3.014089399856577E-2</v>
      </c>
      <c r="AA39" s="150" t="str">
        <f t="shared" si="13"/>
        <v/>
      </c>
    </row>
    <row r="40" spans="1:27" s="141" customFormat="1" x14ac:dyDescent="0.2">
      <c r="A40" s="154" t="s">
        <v>308</v>
      </c>
      <c r="B40" s="148" t="s">
        <v>134</v>
      </c>
      <c r="C40" s="149" t="s">
        <v>31</v>
      </c>
      <c r="D40" s="145" t="s">
        <v>10</v>
      </c>
      <c r="E40" s="151">
        <v>0.54593769599999997</v>
      </c>
      <c r="F40" s="145" t="s">
        <v>327</v>
      </c>
      <c r="G40" s="145" t="s">
        <v>291</v>
      </c>
      <c r="H40" s="145">
        <v>1.2</v>
      </c>
      <c r="I40" s="145"/>
      <c r="J40" s="145"/>
      <c r="K40" s="145"/>
      <c r="L40" s="145"/>
      <c r="M40" s="145"/>
      <c r="N40" s="145"/>
      <c r="O40" s="145"/>
      <c r="P40" s="145"/>
      <c r="Q40" s="145"/>
      <c r="R40" s="145">
        <f t="shared" si="8"/>
        <v>-0.60525041963837078</v>
      </c>
      <c r="S40" s="145">
        <f>IF(OR($W40=2, IFERROR(ISNUMBER(SEARCH("LOGNORMAL", UPPER($F40))), FALSE)), IF(OR(UPPER($G40)="GSD", $H40&gt;1), IF($H40&gt;1, LN($H40), ""), IF(OR(UPPER($G40)="95%", AND($P40&gt;0, $Q40&gt;0)), (LN($Q40)-LN($P40))/(2*$X3), "")), IF(OR($W40=3, IFERROR(ISNUMBER(SEARCH("NORMAL", UPPER($F40))), FALSE)), IF($I40&lt;&gt;"",$I40, IF(AND($P40&gt;0,$Q40&gt;0), ($Q40-$P40)/(2*$X3), "")), ""))</f>
        <v>0.18232155679395459</v>
      </c>
      <c r="T40" s="145"/>
      <c r="U40" s="145" t="str">
        <f t="shared" si="9"/>
        <v/>
      </c>
      <c r="V40" s="145" t="str">
        <f t="shared" si="10"/>
        <v/>
      </c>
      <c r="W40" s="150">
        <f t="shared" si="4"/>
        <v>2</v>
      </c>
      <c r="X40" s="150">
        <f t="shared" si="3"/>
        <v>1.9599639845400536</v>
      </c>
      <c r="Y40" s="150">
        <f t="shared" si="11"/>
        <v>0.38190090899597562</v>
      </c>
      <c r="Z40" s="150">
        <f t="shared" si="12"/>
        <v>0.78043272716307965</v>
      </c>
      <c r="AA40" s="150" t="str">
        <f t="shared" si="13"/>
        <v/>
      </c>
    </row>
    <row r="41" spans="1:27" s="141" customFormat="1" x14ac:dyDescent="0.2">
      <c r="A41" s="154" t="s">
        <v>308</v>
      </c>
      <c r="B41" s="148" t="s">
        <v>136</v>
      </c>
      <c r="C41" s="149" t="s">
        <v>134</v>
      </c>
      <c r="D41" s="145" t="s">
        <v>10</v>
      </c>
      <c r="E41" s="151">
        <v>0.56299999999999994</v>
      </c>
      <c r="F41" s="145" t="s">
        <v>327</v>
      </c>
      <c r="G41" s="145" t="s">
        <v>291</v>
      </c>
      <c r="H41" s="145">
        <v>1.2</v>
      </c>
      <c r="I41" s="145"/>
      <c r="J41" s="145"/>
      <c r="K41" s="145"/>
      <c r="L41" s="145"/>
      <c r="M41" s="145"/>
      <c r="N41" s="145"/>
      <c r="O41" s="145"/>
      <c r="P41" s="145"/>
      <c r="Q41" s="145"/>
      <c r="R41" s="145">
        <f t="shared" si="8"/>
        <v>-0.57447565084244678</v>
      </c>
      <c r="S41" s="145">
        <f>IF(OR($W41=2, IFERROR(ISNUMBER(SEARCH("LOGNORMAL", UPPER($F41))), FALSE)), IF(OR(UPPER($G41)="GSD", $H41&gt;1), IF($H41&gt;1, LN($H41), ""), IF(OR(UPPER($G41)="95%", AND($P41&gt;0, $Q41&gt;0)), (LN($Q41)-LN($P41))/(2*$X3), "")), IF(OR($W41=3, IFERROR(ISNUMBER(SEARCH("NORMAL", UPPER($F41))), FALSE)), IF($I41&lt;&gt;"",$I41, IF(AND($P41&gt;0,$Q41&gt;0), ($Q41-$P41)/(2*$X3), "")), ""))</f>
        <v>0.18232155679395459</v>
      </c>
      <c r="T41" s="145"/>
      <c r="U41" s="145" t="str">
        <f t="shared" si="9"/>
        <v/>
      </c>
      <c r="V41" s="145" t="str">
        <f t="shared" si="10"/>
        <v/>
      </c>
      <c r="W41" s="150">
        <f t="shared" si="4"/>
        <v>2</v>
      </c>
      <c r="X41" s="150">
        <f t="shared" si="3"/>
        <v>1.9599639845400536</v>
      </c>
      <c r="Y41" s="150">
        <f t="shared" si="11"/>
        <v>0.39383653728269807</v>
      </c>
      <c r="Z41" s="150">
        <f t="shared" si="12"/>
        <v>0.80482375298886455</v>
      </c>
      <c r="AA41" s="150" t="str">
        <f t="shared" si="13"/>
        <v/>
      </c>
    </row>
    <row r="42" spans="1:27" s="141" customFormat="1" x14ac:dyDescent="0.2">
      <c r="A42" s="154" t="s">
        <v>308</v>
      </c>
      <c r="B42" s="148" t="s">
        <v>136</v>
      </c>
      <c r="C42" s="149" t="s">
        <v>31</v>
      </c>
      <c r="D42" s="145" t="s">
        <v>10</v>
      </c>
      <c r="E42" s="151">
        <v>0.375</v>
      </c>
      <c r="F42" s="145" t="s">
        <v>327</v>
      </c>
      <c r="G42" s="145" t="s">
        <v>291</v>
      </c>
      <c r="H42" s="145">
        <v>1.2</v>
      </c>
      <c r="I42" s="145"/>
      <c r="J42" s="145"/>
      <c r="K42" s="145"/>
      <c r="L42" s="145"/>
      <c r="M42" s="145"/>
      <c r="N42" s="145"/>
      <c r="O42" s="145"/>
      <c r="P42" s="145"/>
      <c r="Q42" s="145"/>
      <c r="R42" s="145">
        <f t="shared" si="8"/>
        <v>-0.98082925301172619</v>
      </c>
      <c r="S42" s="145">
        <f>IF(OR($W42=2, IFERROR(ISNUMBER(SEARCH("LOGNORMAL", UPPER($F42))), FALSE)), IF(OR(UPPER($G42)="GSD", $H42&gt;1), IF($H42&gt;1, LN($H42), ""), IF(OR(UPPER($G42)="95%", AND($P42&gt;0, $Q42&gt;0)), (LN($Q42)-LN($P42))/(2*$X3), "")), IF(OR($W42=3, IFERROR(ISNUMBER(SEARCH("NORMAL", UPPER($F42))), FALSE)), IF($I42&lt;&gt;"",$I42, IF(AND($P42&gt;0,$Q42&gt;0), ($Q42-$P42)/(2*$X3), "")), ""))</f>
        <v>0.18232155679395459</v>
      </c>
      <c r="T42" s="145"/>
      <c r="U42" s="145" t="str">
        <f t="shared" si="9"/>
        <v/>
      </c>
      <c r="V42" s="145" t="str">
        <f t="shared" si="10"/>
        <v/>
      </c>
      <c r="W42" s="150">
        <f t="shared" si="4"/>
        <v>2</v>
      </c>
      <c r="X42" s="150">
        <f t="shared" si="3"/>
        <v>1.9599639845400536</v>
      </c>
      <c r="Y42" s="150">
        <f t="shared" si="11"/>
        <v>0.26232451417586461</v>
      </c>
      <c r="Z42" s="150">
        <f t="shared" si="12"/>
        <v>0.53607265962846229</v>
      </c>
      <c r="AA42" s="150" t="str">
        <f t="shared" si="13"/>
        <v/>
      </c>
    </row>
    <row r="43" spans="1:27" s="141" customFormat="1" hidden="1" x14ac:dyDescent="0.2">
      <c r="A43" s="154"/>
      <c r="B43" s="148"/>
      <c r="C43" s="149"/>
      <c r="D43" s="145" t="s">
        <v>10</v>
      </c>
      <c r="E43" s="151"/>
      <c r="F43" s="145"/>
      <c r="G43" s="145"/>
      <c r="H43" s="145"/>
      <c r="I43" s="145"/>
      <c r="J43" s="145"/>
      <c r="K43" s="145"/>
      <c r="L43" s="145"/>
      <c r="M43" s="145"/>
      <c r="N43" s="145"/>
      <c r="O43" s="145"/>
      <c r="P43" s="145"/>
      <c r="Q43" s="145"/>
      <c r="R43" s="145" t="str">
        <f t="shared" si="8"/>
        <v/>
      </c>
      <c r="S43" s="145" t="str">
        <f>IF(OR($W43=2, IFERROR(ISNUMBER(SEARCH("LOGNORMAL", UPPER($F43))), FALSE)), IF(OR(UPPER($G43)="GSD", $H43&gt;1), IF($H43&gt;1, LN($H43), ""), IF(OR(UPPER($G43)="95%", AND($P43&gt;0, $Q43&gt;0)), (LN($Q43)-LN($P43))/(2*$X3), "")), IF(OR($W43=3, IFERROR(ISNUMBER(SEARCH("NORMAL", UPPER($F43))), FALSE)), IF($I43&lt;&gt;"",$I43, IF(AND($P43&gt;0,$Q43&gt;0), ($Q43-$P43)/(2*$X3), "")), ""))</f>
        <v/>
      </c>
      <c r="T43" s="145"/>
      <c r="U43" s="145" t="str">
        <f t="shared" si="9"/>
        <v/>
      </c>
      <c r="V43" s="145" t="str">
        <f t="shared" si="10"/>
        <v/>
      </c>
      <c r="W43" s="150">
        <f t="shared" si="4"/>
        <v>0</v>
      </c>
      <c r="X43" s="150">
        <f t="shared" si="3"/>
        <v>1.9599639845400536</v>
      </c>
      <c r="Y43" s="150" t="str">
        <f t="shared" si="11"/>
        <v/>
      </c>
      <c r="Z43" s="150" t="str">
        <f t="shared" si="12"/>
        <v/>
      </c>
      <c r="AA43" s="150" t="str">
        <f t="shared" si="13"/>
        <v/>
      </c>
    </row>
    <row r="44" spans="1:27" s="141" customFormat="1" x14ac:dyDescent="0.2">
      <c r="A44" s="155" t="s">
        <v>313</v>
      </c>
      <c r="B44" s="148" t="s">
        <v>140</v>
      </c>
      <c r="C44" s="149" t="s">
        <v>16</v>
      </c>
      <c r="D44" s="145" t="s">
        <v>18</v>
      </c>
      <c r="E44" s="151">
        <v>0.29699999999999999</v>
      </c>
      <c r="F44" s="145" t="s">
        <v>327</v>
      </c>
      <c r="G44" s="145" t="s">
        <v>291</v>
      </c>
      <c r="H44" s="145">
        <v>1.3</v>
      </c>
      <c r="I44" s="145"/>
      <c r="J44" s="145"/>
      <c r="K44" s="145"/>
      <c r="L44" s="145"/>
      <c r="M44" s="145"/>
      <c r="N44" s="145"/>
      <c r="O44" s="145"/>
      <c r="P44" s="145"/>
      <c r="Q44" s="145"/>
      <c r="R44" s="145">
        <f t="shared" si="8"/>
        <v>-1.2140231401794375</v>
      </c>
      <c r="S44" s="145">
        <f>IF(OR($W44=2, IFERROR(ISNUMBER(SEARCH("LOGNORMAL", UPPER($F44))), FALSE)), IF(OR(UPPER($G44)="GSD", $H44&gt;1), IF($H44&gt;1, LN($H44), ""), IF(OR(UPPER($G44)="95%", AND($P44&gt;0, $Q44&gt;0)), (LN($Q44)-LN($P44))/(2*$X3), "")), IF(OR($W44=3, IFERROR(ISNUMBER(SEARCH("NORMAL", UPPER($F44))), FALSE)), IF($I44&lt;&gt;"",$I44, IF(AND($P44&gt;0,$Q44&gt;0), ($Q44-$P44)/(2*$X3), "")), ""))</f>
        <v>0.26236426446749106</v>
      </c>
      <c r="T44" s="145"/>
      <c r="U44" s="145" t="str">
        <f t="shared" si="9"/>
        <v/>
      </c>
      <c r="V44" s="145" t="str">
        <f t="shared" si="10"/>
        <v/>
      </c>
      <c r="W44" s="150">
        <f t="shared" si="4"/>
        <v>2</v>
      </c>
      <c r="X44" s="150">
        <f t="shared" si="3"/>
        <v>1.9599639845400536</v>
      </c>
      <c r="Y44" s="150">
        <f t="shared" si="11"/>
        <v>0.17759534677366171</v>
      </c>
      <c r="Z44" s="150">
        <f t="shared" si="12"/>
        <v>0.49668531074983008</v>
      </c>
      <c r="AA44" s="150" t="str">
        <f t="shared" si="13"/>
        <v/>
      </c>
    </row>
    <row r="45" spans="1:27" s="141" customFormat="1" x14ac:dyDescent="0.2">
      <c r="A45" s="155" t="s">
        <v>313</v>
      </c>
      <c r="B45" s="148" t="s">
        <v>140</v>
      </c>
      <c r="C45" s="149" t="s">
        <v>22</v>
      </c>
      <c r="D45" s="145" t="s">
        <v>23</v>
      </c>
      <c r="E45" s="151">
        <v>5.8760000000000001E-3</v>
      </c>
      <c r="F45" s="145" t="s">
        <v>327</v>
      </c>
      <c r="G45" s="145" t="s">
        <v>291</v>
      </c>
      <c r="H45" s="145">
        <v>1.3</v>
      </c>
      <c r="I45" s="145"/>
      <c r="J45" s="145"/>
      <c r="K45" s="145"/>
      <c r="L45" s="145"/>
      <c r="M45" s="145"/>
      <c r="N45" s="145"/>
      <c r="O45" s="145"/>
      <c r="P45" s="145"/>
      <c r="Q45" s="145"/>
      <c r="R45" s="145">
        <f t="shared" si="8"/>
        <v>-5.1368790206705057</v>
      </c>
      <c r="S45" s="145">
        <f>IF(OR($W45=2, IFERROR(ISNUMBER(SEARCH("LOGNORMAL", UPPER($F45))), FALSE)), IF(OR(UPPER($G45)="GSD", $H45&gt;1), IF($H45&gt;1, LN($H45), ""), IF(OR(UPPER($G45)="95%", AND($P45&gt;0, $Q45&gt;0)), (LN($Q45)-LN($P45))/(2*$X3), "")), IF(OR($W45=3, IFERROR(ISNUMBER(SEARCH("NORMAL", UPPER($F45))), FALSE)), IF($I45&lt;&gt;"",$I45, IF(AND($P45&gt;0,$Q45&gt;0), ($Q45-$P45)/(2*$X3), "")), ""))</f>
        <v>0.26236426446749106</v>
      </c>
      <c r="T45" s="145"/>
      <c r="U45" s="145" t="str">
        <f t="shared" si="9"/>
        <v/>
      </c>
      <c r="V45" s="145" t="str">
        <f t="shared" si="10"/>
        <v/>
      </c>
      <c r="W45" s="150">
        <f t="shared" si="4"/>
        <v>2</v>
      </c>
      <c r="X45" s="150">
        <f t="shared" si="3"/>
        <v>1.9599639845400536</v>
      </c>
      <c r="Y45" s="150">
        <f t="shared" si="11"/>
        <v>3.5136372311179672E-3</v>
      </c>
      <c r="Z45" s="150">
        <f t="shared" si="12"/>
        <v>9.8266763837239115E-3</v>
      </c>
      <c r="AA45" s="150" t="str">
        <f t="shared" si="13"/>
        <v/>
      </c>
    </row>
    <row r="46" spans="1:27" s="141" customFormat="1" x14ac:dyDescent="0.2">
      <c r="A46" s="155" t="s">
        <v>313</v>
      </c>
      <c r="B46" s="148" t="s">
        <v>143</v>
      </c>
      <c r="C46" s="149" t="s">
        <v>309</v>
      </c>
      <c r="D46" s="145" t="s">
        <v>10</v>
      </c>
      <c r="E46" s="151">
        <v>1.299220947</v>
      </c>
      <c r="F46" s="145" t="s">
        <v>327</v>
      </c>
      <c r="G46" s="145" t="s">
        <v>291</v>
      </c>
      <c r="H46" s="145">
        <v>1.2</v>
      </c>
      <c r="I46" s="145"/>
      <c r="J46" s="145"/>
      <c r="K46" s="145"/>
      <c r="L46" s="145"/>
      <c r="M46" s="145"/>
      <c r="N46" s="145"/>
      <c r="O46" s="145"/>
      <c r="P46" s="145"/>
      <c r="Q46" s="145"/>
      <c r="R46" s="145">
        <f t="shared" si="8"/>
        <v>0.26176481329407081</v>
      </c>
      <c r="S46" s="145">
        <f>IF(OR($W46=2, IFERROR(ISNUMBER(SEARCH("LOGNORMAL", UPPER($F46))), FALSE)), IF(OR(UPPER($G46)="GSD", $H46&gt;1), IF($H46&gt;1, LN($H46), ""), IF(OR(UPPER($G46)="95%", AND($P46&gt;0, $Q46&gt;0)), (LN($Q46)-LN($P46))/(2*$X3), "")), IF(OR($W46=3, IFERROR(ISNUMBER(SEARCH("NORMAL", UPPER($F46))), FALSE)), IF($I46&lt;&gt;"",$I46, IF(AND($P46&gt;0,$Q46&gt;0), ($Q46-$P46)/(2*$X3), "")), ""))</f>
        <v>0.18232155679395459</v>
      </c>
      <c r="T46" s="145"/>
      <c r="U46" s="145" t="str">
        <f t="shared" si="9"/>
        <v/>
      </c>
      <c r="V46" s="145" t="str">
        <f t="shared" si="10"/>
        <v/>
      </c>
      <c r="W46" s="150">
        <f t="shared" si="4"/>
        <v>2</v>
      </c>
      <c r="X46" s="150">
        <f t="shared" si="3"/>
        <v>1.9599639845400536</v>
      </c>
      <c r="Y46" s="150">
        <f t="shared" si="11"/>
        <v>0.90884667661035135</v>
      </c>
      <c r="Z46" s="150">
        <f t="shared" si="12"/>
        <v>1.8572715426754651</v>
      </c>
      <c r="AA46" s="150" t="str">
        <f t="shared" si="13"/>
        <v/>
      </c>
    </row>
    <row r="47" spans="1:27" s="141" customFormat="1" x14ac:dyDescent="0.2">
      <c r="A47" s="155" t="s">
        <v>313</v>
      </c>
      <c r="B47" s="148" t="s">
        <v>143</v>
      </c>
      <c r="C47" s="149" t="s">
        <v>16</v>
      </c>
      <c r="D47" s="145" t="s">
        <v>18</v>
      </c>
      <c r="E47" s="151">
        <v>0.22677098700000001</v>
      </c>
      <c r="F47" s="145" t="s">
        <v>327</v>
      </c>
      <c r="G47" s="145" t="s">
        <v>291</v>
      </c>
      <c r="H47" s="145">
        <v>1.2</v>
      </c>
      <c r="I47" s="145"/>
      <c r="J47" s="145"/>
      <c r="K47" s="145"/>
      <c r="L47" s="145"/>
      <c r="M47" s="145"/>
      <c r="N47" s="145"/>
      <c r="O47" s="145"/>
      <c r="P47" s="145"/>
      <c r="Q47" s="145"/>
      <c r="R47" s="145">
        <f t="shared" si="8"/>
        <v>-1.483814638591844</v>
      </c>
      <c r="S47" s="145">
        <f>IF(OR($W47=2, IFERROR(ISNUMBER(SEARCH("LOGNORMAL", UPPER($F47))), FALSE)), IF(OR(UPPER($G47)="GSD", $H47&gt;1), IF($H47&gt;1, LN($H47), ""), IF(OR(UPPER($G47)="95%", AND($P47&gt;0, $Q47&gt;0)), (LN($Q47)-LN($P47))/(2*$X3), "")), IF(OR($W47=3, IFERROR(ISNUMBER(SEARCH("NORMAL", UPPER($F47))), FALSE)), IF($I47&lt;&gt;"",$I47, IF(AND($P47&gt;0,$Q47&gt;0), ($Q47-$P47)/(2*$X3), "")), ""))</f>
        <v>0.18232155679395459</v>
      </c>
      <c r="T47" s="145"/>
      <c r="U47" s="145" t="str">
        <f t="shared" si="9"/>
        <v/>
      </c>
      <c r="V47" s="145" t="str">
        <f t="shared" si="10"/>
        <v/>
      </c>
      <c r="W47" s="150">
        <f t="shared" si="4"/>
        <v>2</v>
      </c>
      <c r="X47" s="150">
        <f t="shared" si="3"/>
        <v>1.9599639845400536</v>
      </c>
      <c r="Y47" s="150">
        <f t="shared" si="11"/>
        <v>0.15863357065055017</v>
      </c>
      <c r="Z47" s="150">
        <f t="shared" si="12"/>
        <v>0.32417526967376387</v>
      </c>
      <c r="AA47" s="150" t="str">
        <f t="shared" si="13"/>
        <v/>
      </c>
    </row>
    <row r="48" spans="1:27" s="141" customFormat="1" x14ac:dyDescent="0.2">
      <c r="A48" s="155" t="s">
        <v>313</v>
      </c>
      <c r="B48" s="148" t="s">
        <v>143</v>
      </c>
      <c r="C48" s="149" t="s">
        <v>22</v>
      </c>
      <c r="D48" s="145" t="s">
        <v>23</v>
      </c>
      <c r="E48" s="151">
        <v>1.3089124000000001E-2</v>
      </c>
      <c r="F48" s="145" t="s">
        <v>327</v>
      </c>
      <c r="G48" s="145" t="s">
        <v>291</v>
      </c>
      <c r="H48" s="145">
        <v>1.2</v>
      </c>
      <c r="I48" s="145"/>
      <c r="J48" s="145"/>
      <c r="K48" s="145"/>
      <c r="L48" s="145"/>
      <c r="M48" s="145"/>
      <c r="N48" s="145"/>
      <c r="O48" s="145"/>
      <c r="P48" s="145"/>
      <c r="Q48" s="145"/>
      <c r="R48" s="145">
        <f t="shared" si="8"/>
        <v>-4.3359736226136398</v>
      </c>
      <c r="S48" s="145">
        <f>IF(OR($W48=2, IFERROR(ISNUMBER(SEARCH("LOGNORMAL", UPPER($F48))), FALSE)), IF(OR(UPPER($G48)="GSD", $H48&gt;1), IF($H48&gt;1, LN($H48), ""), IF(OR(UPPER($G48)="95%", AND($P48&gt;0, $Q48&gt;0)), (LN($Q48)-LN($P48))/(2*$X3), "")), IF(OR($W48=3, IFERROR(ISNUMBER(SEARCH("NORMAL", UPPER($F48))), FALSE)), IF($I48&lt;&gt;"",$I48, IF(AND($P48&gt;0,$Q48&gt;0), ($Q48-$P48)/(2*$X3), "")), ""))</f>
        <v>0.18232155679395459</v>
      </c>
      <c r="T48" s="145"/>
      <c r="U48" s="145" t="str">
        <f t="shared" si="9"/>
        <v/>
      </c>
      <c r="V48" s="145" t="str">
        <f t="shared" si="10"/>
        <v/>
      </c>
      <c r="W48" s="150">
        <f t="shared" si="4"/>
        <v>2</v>
      </c>
      <c r="X48" s="150">
        <f t="shared" si="3"/>
        <v>1.9599639845400536</v>
      </c>
      <c r="Y48" s="150">
        <f t="shared" si="11"/>
        <v>9.156261584767067E-3</v>
      </c>
      <c r="Z48" s="150">
        <f t="shared" si="12"/>
        <v>1.8711257373031299E-2</v>
      </c>
      <c r="AA48" s="150" t="str">
        <f t="shared" si="13"/>
        <v/>
      </c>
    </row>
    <row r="49" spans="1:27" s="141" customFormat="1" x14ac:dyDescent="0.2">
      <c r="A49" s="155" t="s">
        <v>313</v>
      </c>
      <c r="B49" s="148" t="s">
        <v>143</v>
      </c>
      <c r="C49" s="149" t="s">
        <v>31</v>
      </c>
      <c r="D49" s="145" t="s">
        <v>10</v>
      </c>
      <c r="E49" s="151">
        <v>0.40114244599999999</v>
      </c>
      <c r="F49" s="145" t="s">
        <v>327</v>
      </c>
      <c r="G49" s="145" t="s">
        <v>291</v>
      </c>
      <c r="H49" s="145">
        <v>1.2</v>
      </c>
      <c r="I49" s="145"/>
      <c r="J49" s="145"/>
      <c r="K49" s="145"/>
      <c r="L49" s="145"/>
      <c r="M49" s="145"/>
      <c r="N49" s="145"/>
      <c r="O49" s="145"/>
      <c r="P49" s="145"/>
      <c r="Q49" s="145"/>
      <c r="R49" s="145">
        <f t="shared" si="8"/>
        <v>-0.91343868782104887</v>
      </c>
      <c r="S49" s="145">
        <f>IF(OR($W49=2, IFERROR(ISNUMBER(SEARCH("LOGNORMAL", UPPER($F49))), FALSE)), IF(OR(UPPER($G49)="GSD", $H49&gt;1), IF($H49&gt;1, LN($H49), ""), IF(OR(UPPER($G49)="95%", AND($P49&gt;0, $Q49&gt;0)), (LN($Q49)-LN($P49))/(2*$X3), "")), IF(OR($W49=3, IFERROR(ISNUMBER(SEARCH("NORMAL", UPPER($F49))), FALSE)), IF($I49&lt;&gt;"",$I49, IF(AND($P49&gt;0,$Q49&gt;0), ($Q49-$P49)/(2*$X3), "")), ""))</f>
        <v>0.18232155679395459</v>
      </c>
      <c r="T49" s="145"/>
      <c r="U49" s="145" t="str">
        <f t="shared" si="9"/>
        <v/>
      </c>
      <c r="V49" s="145" t="str">
        <f t="shared" si="10"/>
        <v/>
      </c>
      <c r="W49" s="150">
        <f t="shared" si="4"/>
        <v>2</v>
      </c>
      <c r="X49" s="150">
        <f t="shared" si="3"/>
        <v>1.9599639845400536</v>
      </c>
      <c r="Y49" s="150">
        <f t="shared" si="11"/>
        <v>0.28061199269938136</v>
      </c>
      <c r="Z49" s="150">
        <f t="shared" si="12"/>
        <v>0.57344399444556482</v>
      </c>
      <c r="AA49" s="150" t="str">
        <f t="shared" si="13"/>
        <v/>
      </c>
    </row>
    <row r="50" spans="1:27" s="141" customFormat="1" x14ac:dyDescent="0.2">
      <c r="A50" s="155" t="s">
        <v>313</v>
      </c>
      <c r="B50" s="148" t="s">
        <v>145</v>
      </c>
      <c r="C50" s="149" t="s">
        <v>310</v>
      </c>
      <c r="D50" s="145" t="s">
        <v>10</v>
      </c>
      <c r="E50" s="151">
        <v>0.76600000000000001</v>
      </c>
      <c r="F50" s="145" t="s">
        <v>327</v>
      </c>
      <c r="G50" s="145" t="s">
        <v>291</v>
      </c>
      <c r="H50" s="145">
        <v>1.2</v>
      </c>
      <c r="I50" s="145"/>
      <c r="J50" s="145"/>
      <c r="K50" s="145"/>
      <c r="L50" s="145"/>
      <c r="M50" s="145"/>
      <c r="N50" s="145"/>
      <c r="O50" s="145"/>
      <c r="P50" s="145"/>
      <c r="Q50" s="145"/>
      <c r="R50" s="145">
        <f t="shared" si="8"/>
        <v>-0.26657310924154576</v>
      </c>
      <c r="S50" s="145">
        <f>IF(OR($W50=2, IFERROR(ISNUMBER(SEARCH("LOGNORMAL", UPPER($F50))), FALSE)), IF(OR(UPPER($G50)="GSD", $H50&gt;1), IF($H50&gt;1, LN($H50), ""), IF(OR(UPPER($G50)="95%", AND($P50&gt;0, $Q50&gt;0)), (LN($Q50)-LN($P50))/(2*$X3), "")), IF(OR($W50=3, IFERROR(ISNUMBER(SEARCH("NORMAL", UPPER($F50))), FALSE)), IF($I50&lt;&gt;"",$I50, IF(AND($P50&gt;0,$Q50&gt;0), ($Q50-$P50)/(2*$X3), "")), ""))</f>
        <v>0.18232155679395459</v>
      </c>
      <c r="T50" s="145"/>
      <c r="U50" s="145" t="str">
        <f t="shared" si="9"/>
        <v/>
      </c>
      <c r="V50" s="145" t="str">
        <f t="shared" si="10"/>
        <v/>
      </c>
      <c r="W50" s="150">
        <f t="shared" si="4"/>
        <v>2</v>
      </c>
      <c r="X50" s="150">
        <f t="shared" si="3"/>
        <v>1.9599639845400536</v>
      </c>
      <c r="Y50" s="150">
        <f t="shared" si="11"/>
        <v>0.53584154095656611</v>
      </c>
      <c r="Z50" s="150">
        <f t="shared" si="12"/>
        <v>1.0950177527344056</v>
      </c>
      <c r="AA50" s="150" t="str">
        <f t="shared" si="13"/>
        <v/>
      </c>
    </row>
    <row r="51" spans="1:27" s="141" customFormat="1" x14ac:dyDescent="0.2">
      <c r="A51" s="155" t="s">
        <v>313</v>
      </c>
      <c r="B51" s="148" t="s">
        <v>145</v>
      </c>
      <c r="C51" s="149" t="s">
        <v>304</v>
      </c>
      <c r="D51" s="145" t="s">
        <v>10</v>
      </c>
      <c r="E51" s="151">
        <v>0.375</v>
      </c>
      <c r="F51" s="145" t="s">
        <v>327</v>
      </c>
      <c r="G51" s="145" t="s">
        <v>291</v>
      </c>
      <c r="H51" s="145">
        <v>1.2</v>
      </c>
      <c r="I51" s="145"/>
      <c r="J51" s="145"/>
      <c r="K51" s="145"/>
      <c r="L51" s="145"/>
      <c r="M51" s="145"/>
      <c r="N51" s="145"/>
      <c r="O51" s="145"/>
      <c r="P51" s="145"/>
      <c r="Q51" s="145"/>
      <c r="R51" s="145">
        <f t="shared" si="8"/>
        <v>-0.98082925301172619</v>
      </c>
      <c r="S51" s="145">
        <f>IF(OR($W51=2, IFERROR(ISNUMBER(SEARCH("LOGNORMAL", UPPER($F51))), FALSE)), IF(OR(UPPER($G51)="GSD", $H51&gt;1), IF($H51&gt;1, LN($H51), ""), IF(OR(UPPER($G51)="95%", AND($P51&gt;0, $Q51&gt;0)), (LN($Q51)-LN($P51))/(2*$X3), "")), IF(OR($W51=3, IFERROR(ISNUMBER(SEARCH("NORMAL", UPPER($F51))), FALSE)), IF($I51&lt;&gt;"",$I51, IF(AND($P51&gt;0,$Q51&gt;0), ($Q51-$P51)/(2*$X3), "")), ""))</f>
        <v>0.18232155679395459</v>
      </c>
      <c r="T51" s="145"/>
      <c r="U51" s="145" t="str">
        <f t="shared" si="9"/>
        <v/>
      </c>
      <c r="V51" s="145" t="str">
        <f t="shared" si="10"/>
        <v/>
      </c>
      <c r="W51" s="150">
        <f t="shared" si="4"/>
        <v>2</v>
      </c>
      <c r="X51" s="150">
        <f t="shared" si="3"/>
        <v>1.9599639845400536</v>
      </c>
      <c r="Y51" s="150">
        <f t="shared" si="11"/>
        <v>0.26232451417586461</v>
      </c>
      <c r="Z51" s="150">
        <f t="shared" si="12"/>
        <v>0.53607265962846229</v>
      </c>
      <c r="AA51" s="150" t="str">
        <f t="shared" si="13"/>
        <v/>
      </c>
    </row>
    <row r="52" spans="1:27" s="141" customFormat="1" x14ac:dyDescent="0.2">
      <c r="A52" s="155" t="s">
        <v>313</v>
      </c>
      <c r="B52" s="148" t="s">
        <v>145</v>
      </c>
      <c r="C52" s="149" t="s">
        <v>311</v>
      </c>
      <c r="D52" s="145" t="s">
        <v>10</v>
      </c>
      <c r="E52" s="182">
        <f>'rice_husk (parameters)'!B85</f>
        <v>1.306588E-2</v>
      </c>
      <c r="F52" s="145" t="s">
        <v>328</v>
      </c>
      <c r="G52" s="145"/>
      <c r="H52" s="145"/>
      <c r="I52" s="145"/>
      <c r="J52" s="145"/>
      <c r="K52" s="145"/>
      <c r="L52" s="145" t="b">
        <v>1</v>
      </c>
      <c r="M52" s="145">
        <f t="shared" ref="M52:M55" si="14">1.5-1</f>
        <v>0.5</v>
      </c>
      <c r="N52" s="145">
        <f t="shared" ref="N52:N55" si="15">1-(1/1.5)</f>
        <v>0.33333333333333337</v>
      </c>
      <c r="O52" s="145"/>
      <c r="P52" s="145"/>
      <c r="Q52" s="145"/>
      <c r="R52" s="145"/>
      <c r="S52" s="145" t="str">
        <f>IF(OR($W52=2, IFERROR(ISNUMBER(SEARCH("LOGNORMAL", UPPER($F52))), FALSE)), IF(OR(UPPER($G52)="GSD", $H52&gt;1), IF($H52&gt;1, LN($H52), ""), IF(OR(UPPER($G52)="95%", AND($P52&gt;0, $Q52&gt;0)), (LN($Q52)-LN($P52))/(2*$X3), "")), IF(OR($W52=3, IFERROR(ISNUMBER(SEARCH("NORMAL", UPPER($F52))), FALSE)), IF($I52&lt;&gt;"",$I52, IF(AND($P52&gt;0,$Q52&gt;0), ($Q52-$P52)/(2*$X3), "")), ""))</f>
        <v/>
      </c>
      <c r="T52" s="145"/>
      <c r="U52" s="145">
        <f t="shared" si="9"/>
        <v>6.5329400000000001E-3</v>
      </c>
      <c r="V52" s="145">
        <f t="shared" si="10"/>
        <v>1.7421173333333335E-2</v>
      </c>
      <c r="W52" s="150">
        <f t="shared" si="4"/>
        <v>5</v>
      </c>
      <c r="X52" s="150">
        <f t="shared" si="3"/>
        <v>1.9599639845400536</v>
      </c>
      <c r="Y52" s="150" t="str">
        <f t="shared" si="11"/>
        <v/>
      </c>
      <c r="Z52" s="150" t="str">
        <f t="shared" si="12"/>
        <v/>
      </c>
      <c r="AA52" s="150" t="str">
        <f t="shared" si="13"/>
        <v/>
      </c>
    </row>
    <row r="53" spans="1:27" s="141" customFormat="1" x14ac:dyDescent="0.2">
      <c r="A53" s="155" t="s">
        <v>313</v>
      </c>
      <c r="B53" s="148" t="s">
        <v>145</v>
      </c>
      <c r="C53" s="149" t="s">
        <v>306</v>
      </c>
      <c r="D53" s="145" t="s">
        <v>10</v>
      </c>
      <c r="E53" s="183">
        <v>1.6624465641805999E-2</v>
      </c>
      <c r="F53" s="145" t="s">
        <v>328</v>
      </c>
      <c r="G53" s="145"/>
      <c r="H53" s="145"/>
      <c r="I53" s="145"/>
      <c r="J53" s="145"/>
      <c r="K53" s="145"/>
      <c r="L53" s="145" t="b">
        <v>1</v>
      </c>
      <c r="M53" s="145">
        <f t="shared" si="14"/>
        <v>0.5</v>
      </c>
      <c r="N53" s="145">
        <f t="shared" si="15"/>
        <v>0.33333333333333337</v>
      </c>
      <c r="O53" s="145"/>
      <c r="P53" s="145"/>
      <c r="Q53" s="145"/>
      <c r="R53" s="145"/>
      <c r="S53" s="145" t="str">
        <f>IF(OR($W53=2, IFERROR(ISNUMBER(SEARCH("LOGNORMAL", UPPER($F53))), FALSE)), IF(OR(UPPER($G53)="GSD", $H53&gt;1), IF($H53&gt;1, LN($H53), ""), IF(OR(UPPER($G53)="95%", AND($P53&gt;0, $Q53&gt;0)), (LN($Q53)-LN($P53))/(2*$X3), "")), IF(OR($W53=3, IFERROR(ISNUMBER(SEARCH("NORMAL", UPPER($F53))), FALSE)), IF($I53&lt;&gt;"",$I53, IF(AND($P53&gt;0,$Q53&gt;0), ($Q53-$P53)/(2*$X3), "")), ""))</f>
        <v/>
      </c>
      <c r="T53" s="145"/>
      <c r="U53" s="145">
        <f t="shared" si="9"/>
        <v>8.3122328209029994E-3</v>
      </c>
      <c r="V53" s="145">
        <f t="shared" si="10"/>
        <v>2.2165954189074667E-2</v>
      </c>
      <c r="W53" s="150">
        <f t="shared" si="4"/>
        <v>5</v>
      </c>
      <c r="X53" s="150">
        <f t="shared" si="3"/>
        <v>1.9599639845400536</v>
      </c>
      <c r="Y53" s="150" t="str">
        <f t="shared" si="11"/>
        <v/>
      </c>
      <c r="Z53" s="150" t="str">
        <f t="shared" si="12"/>
        <v/>
      </c>
      <c r="AA53" s="150" t="str">
        <f t="shared" si="13"/>
        <v/>
      </c>
    </row>
    <row r="54" spans="1:27" s="141" customFormat="1" x14ac:dyDescent="0.2">
      <c r="A54" s="155" t="s">
        <v>313</v>
      </c>
      <c r="B54" s="148" t="s">
        <v>145</v>
      </c>
      <c r="C54" s="149" t="s">
        <v>293</v>
      </c>
      <c r="D54" s="145" t="s">
        <v>10</v>
      </c>
      <c r="E54" s="183">
        <f>'rice_husk (parameters)'!B99</f>
        <v>1.19439E-3</v>
      </c>
      <c r="F54" s="145" t="s">
        <v>328</v>
      </c>
      <c r="G54" s="145"/>
      <c r="H54" s="145"/>
      <c r="I54" s="145"/>
      <c r="J54" s="145"/>
      <c r="K54" s="145"/>
      <c r="L54" s="145" t="b">
        <v>1</v>
      </c>
      <c r="M54" s="145">
        <f t="shared" si="14"/>
        <v>0.5</v>
      </c>
      <c r="N54" s="145">
        <f t="shared" si="15"/>
        <v>0.33333333333333337</v>
      </c>
      <c r="O54" s="145"/>
      <c r="P54" s="145"/>
      <c r="Q54" s="145"/>
      <c r="R54" s="145"/>
      <c r="S54" s="145" t="str">
        <f>IF(OR($W54=2, IFERROR(ISNUMBER(SEARCH("LOGNORMAL", UPPER($F54))), FALSE)), IF(OR(UPPER($G54)="GSD", $H54&gt;1), IF($H54&gt;1, LN($H54), ""), IF(OR(UPPER($G54)="95%", AND($P54&gt;0, $Q54&gt;0)), (LN($Q54)-LN($P54))/(2*$X3), "")), IF(OR($W54=3, IFERROR(ISNUMBER(SEARCH("NORMAL", UPPER($F54))), FALSE)), IF($I54&lt;&gt;"",$I54, IF(AND($P54&gt;0,$Q54&gt;0), ($Q54-$P54)/(2*$X3), "")), ""))</f>
        <v/>
      </c>
      <c r="T54" s="145"/>
      <c r="U54" s="145">
        <f t="shared" si="9"/>
        <v>5.9719500000000002E-4</v>
      </c>
      <c r="V54" s="145">
        <f t="shared" si="10"/>
        <v>1.5925200000000003E-3</v>
      </c>
      <c r="W54" s="150">
        <f t="shared" si="4"/>
        <v>5</v>
      </c>
      <c r="X54" s="150">
        <f t="shared" si="3"/>
        <v>1.9599639845400536</v>
      </c>
      <c r="Y54" s="150" t="str">
        <f t="shared" si="11"/>
        <v/>
      </c>
      <c r="Z54" s="150" t="str">
        <f t="shared" si="12"/>
        <v/>
      </c>
      <c r="AA54" s="150" t="str">
        <f t="shared" si="13"/>
        <v/>
      </c>
    </row>
    <row r="55" spans="1:27" s="141" customFormat="1" x14ac:dyDescent="0.2">
      <c r="A55" s="155" t="s">
        <v>313</v>
      </c>
      <c r="B55" s="148" t="s">
        <v>145</v>
      </c>
      <c r="C55" s="149" t="s">
        <v>312</v>
      </c>
      <c r="D55" s="145" t="s">
        <v>10</v>
      </c>
      <c r="E55" s="183">
        <f>'rice_husk (parameters)'!B100</f>
        <v>8.3446000000000006E-3</v>
      </c>
      <c r="F55" s="145" t="s">
        <v>328</v>
      </c>
      <c r="G55" s="145"/>
      <c r="H55" s="145"/>
      <c r="I55" s="145"/>
      <c r="J55" s="145"/>
      <c r="K55" s="145"/>
      <c r="L55" s="145" t="b">
        <v>1</v>
      </c>
      <c r="M55" s="145">
        <f t="shared" si="14"/>
        <v>0.5</v>
      </c>
      <c r="N55" s="145">
        <f t="shared" si="15"/>
        <v>0.33333333333333337</v>
      </c>
      <c r="O55" s="145"/>
      <c r="P55" s="145"/>
      <c r="Q55" s="145"/>
      <c r="R55" s="145"/>
      <c r="S55" s="145" t="str">
        <f>IF(OR($W55=2, IFERROR(ISNUMBER(SEARCH("LOGNORMAL", UPPER($F55))), FALSE)), IF(OR(UPPER($G55)="GSD", $H55&gt;1), IF($H55&gt;1, LN($H55), ""), IF(OR(UPPER($G55)="95%", AND($P55&gt;0, $Q55&gt;0)), (LN($Q55)-LN($P55))/(2*$X3), "")), IF(OR($W55=3, IFERROR(ISNUMBER(SEARCH("NORMAL", UPPER($F55))), FALSE)), IF($I55&lt;&gt;"",$I55, IF(AND($P55&gt;0,$Q55&gt;0), ($Q55-$P55)/(2*$X3), "")), ""))</f>
        <v/>
      </c>
      <c r="T55" s="145"/>
      <c r="U55" s="145">
        <f t="shared" si="9"/>
        <v>4.1723000000000003E-3</v>
      </c>
      <c r="V55" s="145">
        <f t="shared" si="10"/>
        <v>1.1126133333333335E-2</v>
      </c>
      <c r="W55" s="150">
        <f t="shared" si="4"/>
        <v>5</v>
      </c>
      <c r="X55" s="150">
        <f t="shared" si="3"/>
        <v>1.9599639845400536</v>
      </c>
      <c r="Y55" s="150" t="str">
        <f t="shared" si="11"/>
        <v/>
      </c>
      <c r="Z55" s="150" t="str">
        <f t="shared" si="12"/>
        <v/>
      </c>
      <c r="AA55" s="150" t="str">
        <f t="shared" si="13"/>
        <v/>
      </c>
    </row>
    <row r="56" spans="1:27" s="141" customFormat="1" hidden="1" x14ac:dyDescent="0.2">
      <c r="A56" s="155"/>
      <c r="B56" s="148"/>
      <c r="C56" s="149"/>
      <c r="D56" s="145"/>
      <c r="E56" s="151"/>
      <c r="F56" s="145"/>
      <c r="G56" s="145"/>
      <c r="H56" s="145"/>
      <c r="I56" s="145"/>
      <c r="J56" s="145"/>
      <c r="K56" s="145"/>
      <c r="L56" s="145"/>
      <c r="M56" s="145"/>
      <c r="N56" s="145"/>
      <c r="O56" s="145"/>
      <c r="P56" s="145"/>
      <c r="Q56" s="145"/>
      <c r="R56" s="145" t="str">
        <f t="shared" ref="R56:R65" si="16">IF(OR($W56=1, IFERROR(ISNUMBER(SEARCH("NO UNCERTAINTY", UPPER($F56))), FALSE), IFERROR(ISNUMBER(SEARCH("NONE", UPPER($F56))), FALSE)), $E56, IF(OR($W56=2, IFERROR(ISNUMBER(SEARCH("LOGNORMAL", UPPER($F56))), FALSE)), IF($E56&gt;0, IF(OR(UPPER($G56)="GSD", $H56&gt;1), LN($E56), IF(OR(UPPER($G56)="95%", AND($P56&gt;0, $Q56&gt;0)), (LN($P56)+LN($Q56))/2, "")), ""), IF(OR($W56=3, IFERROR(ISNUMBER(SEARCH("NORMAL", UPPER($F56))), FALSE)), $E56, IF(OR($W56=5, IFERROR(ISNUMBER(SEARCH("TRIANG", UPPER($F56))), FALSE)), $E56, ""))))</f>
        <v/>
      </c>
      <c r="S56" s="145" t="str">
        <f>IF(OR($W56=2, IFERROR(ISNUMBER(SEARCH("LOGNORMAL", UPPER($F56))), FALSE)), IF(OR(UPPER($G56)="GSD", $H56&gt;1), IF($H56&gt;1, LN($H56), ""), IF(OR(UPPER($G56)="95%", AND($P56&gt;0, $Q56&gt;0)), (LN($Q56)-LN($P56))/(2*$X3), "")), IF(OR($W56=3, IFERROR(ISNUMBER(SEARCH("NORMAL", UPPER($F56))), FALSE)), IF($I56&lt;&gt;"",$I56, IF(AND($P56&gt;0,$Q56&gt;0), ($Q56-$P56)/(2*$X3), "")), ""))</f>
        <v/>
      </c>
      <c r="T56" s="145"/>
      <c r="U56" s="145" t="str">
        <f t="shared" si="9"/>
        <v/>
      </c>
      <c r="V56" s="145" t="str">
        <f t="shared" si="10"/>
        <v/>
      </c>
      <c r="W56" s="150">
        <f t="shared" si="4"/>
        <v>0</v>
      </c>
      <c r="X56" s="150">
        <f t="shared" si="3"/>
        <v>1.9599639845400536</v>
      </c>
      <c r="Y56" s="150" t="str">
        <f t="shared" si="11"/>
        <v/>
      </c>
      <c r="Z56" s="150" t="str">
        <f t="shared" si="12"/>
        <v/>
      </c>
      <c r="AA56" s="150" t="str">
        <f t="shared" si="13"/>
        <v/>
      </c>
    </row>
    <row r="57" spans="1:27" s="141" customFormat="1" x14ac:dyDescent="0.2">
      <c r="A57" s="156" t="s">
        <v>298</v>
      </c>
      <c r="B57" s="148" t="s">
        <v>299</v>
      </c>
      <c r="C57" s="149" t="s">
        <v>314</v>
      </c>
      <c r="D57" s="145" t="s">
        <v>18</v>
      </c>
      <c r="E57" s="151">
        <v>0.24299999999999999</v>
      </c>
      <c r="F57" s="145" t="s">
        <v>327</v>
      </c>
      <c r="G57" s="145" t="s">
        <v>291</v>
      </c>
      <c r="H57" s="145">
        <v>1.3</v>
      </c>
      <c r="I57" s="145"/>
      <c r="J57" s="145"/>
      <c r="K57" s="145"/>
      <c r="L57" s="145"/>
      <c r="M57" s="145"/>
      <c r="N57" s="145"/>
      <c r="O57" s="145"/>
      <c r="P57" s="145"/>
      <c r="Q57" s="145"/>
      <c r="R57" s="145">
        <f t="shared" si="16"/>
        <v>-1.4146938356415886</v>
      </c>
      <c r="S57" s="145">
        <f>IF(OR($W57=2, IFERROR(ISNUMBER(SEARCH("LOGNORMAL", UPPER($F57))), FALSE)), IF(OR(UPPER($G57)="GSD", $H57&gt;1), IF($H57&gt;1, LN($H57), ""), IF(OR(UPPER($G57)="95%", AND($P57&gt;0, $Q57&gt;0)), (LN($Q57)-LN($P57))/(2*$X3), "")), IF(OR($W57=3, IFERROR(ISNUMBER(SEARCH("NORMAL", UPPER($F57))), FALSE)), IF($I57&lt;&gt;"",$I57, IF(AND($P57&gt;0,$Q57&gt;0), ($Q57-$P57)/(2*$X3), "")), ""))</f>
        <v>0.26236426446749106</v>
      </c>
      <c r="T57" s="145"/>
      <c r="U57" s="145" t="str">
        <f t="shared" si="9"/>
        <v/>
      </c>
      <c r="V57" s="145" t="str">
        <f t="shared" si="10"/>
        <v/>
      </c>
      <c r="W57" s="150">
        <f t="shared" si="4"/>
        <v>2</v>
      </c>
      <c r="X57" s="150">
        <f t="shared" si="3"/>
        <v>1.9599639845400536</v>
      </c>
      <c r="Y57" s="150">
        <f t="shared" si="11"/>
        <v>0.14530528372390505</v>
      </c>
      <c r="Z57" s="150">
        <f t="shared" si="12"/>
        <v>0.40637889061349736</v>
      </c>
      <c r="AA57" s="150" t="str">
        <f t="shared" si="13"/>
        <v/>
      </c>
    </row>
    <row r="58" spans="1:27" s="141" customFormat="1" x14ac:dyDescent="0.2">
      <c r="A58" s="156" t="s">
        <v>298</v>
      </c>
      <c r="B58" s="148" t="s">
        <v>299</v>
      </c>
      <c r="C58" s="149" t="s">
        <v>315</v>
      </c>
      <c r="D58" s="145" t="s">
        <v>23</v>
      </c>
      <c r="E58" s="151">
        <v>5.3200000000000001E-3</v>
      </c>
      <c r="F58" s="145" t="s">
        <v>327</v>
      </c>
      <c r="G58" s="145" t="s">
        <v>291</v>
      </c>
      <c r="H58" s="145">
        <v>1.3</v>
      </c>
      <c r="I58" s="145"/>
      <c r="J58" s="145"/>
      <c r="K58" s="145"/>
      <c r="L58" s="145"/>
      <c r="M58" s="145"/>
      <c r="N58" s="145"/>
      <c r="O58" s="145"/>
      <c r="P58" s="145"/>
      <c r="Q58" s="145"/>
      <c r="R58" s="145">
        <f t="shared" si="16"/>
        <v>-5.2362819756285841</v>
      </c>
      <c r="S58" s="145">
        <f>IF(OR($W58=2, IFERROR(ISNUMBER(SEARCH("LOGNORMAL", UPPER($F58))), FALSE)), IF(OR(UPPER($G58)="GSD", $H58&gt;1), IF($H58&gt;1, LN($H58), ""), IF(OR(UPPER($G58)="95%", AND($P58&gt;0, $Q58&gt;0)), (LN($Q58)-LN($P58))/(2*$X3), "")), IF(OR($W58=3, IFERROR(ISNUMBER(SEARCH("NORMAL", UPPER($F58))), FALSE)), IF($I58&lt;&gt;"",$I58, IF(AND($P58&gt;0,$Q58&gt;0), ($Q58-$P58)/(2*$X3), "")), ""))</f>
        <v>0.26236426446749106</v>
      </c>
      <c r="T58" s="145"/>
      <c r="U58" s="145" t="str">
        <f t="shared" si="9"/>
        <v/>
      </c>
      <c r="V58" s="145" t="str">
        <f t="shared" si="10"/>
        <v/>
      </c>
      <c r="W58" s="150">
        <f t="shared" si="4"/>
        <v>2</v>
      </c>
      <c r="X58" s="150">
        <f t="shared" si="3"/>
        <v>1.9599639845400536</v>
      </c>
      <c r="Y58" s="150">
        <f t="shared" si="11"/>
        <v>3.1811691745315838E-3</v>
      </c>
      <c r="Z58" s="150">
        <f t="shared" si="12"/>
        <v>8.8968547245424114E-3</v>
      </c>
      <c r="AA58" s="150" t="str">
        <f t="shared" si="13"/>
        <v/>
      </c>
    </row>
    <row r="59" spans="1:27" s="141" customFormat="1" x14ac:dyDescent="0.2">
      <c r="A59" s="156" t="s">
        <v>298</v>
      </c>
      <c r="B59" s="148" t="s">
        <v>149</v>
      </c>
      <c r="C59" s="149" t="s">
        <v>300</v>
      </c>
      <c r="D59" s="145" t="s">
        <v>10</v>
      </c>
      <c r="E59" s="151">
        <v>1.3149999999999999</v>
      </c>
      <c r="F59" s="145" t="s">
        <v>327</v>
      </c>
      <c r="G59" s="145" t="s">
        <v>291</v>
      </c>
      <c r="H59" s="145">
        <v>1.2</v>
      </c>
      <c r="I59" s="145"/>
      <c r="J59" s="145"/>
      <c r="K59" s="145"/>
      <c r="L59" s="145"/>
      <c r="M59" s="145"/>
      <c r="N59" s="145"/>
      <c r="O59" s="145"/>
      <c r="P59" s="145"/>
      <c r="Q59" s="145"/>
      <c r="R59" s="145">
        <f t="shared" si="16"/>
        <v>0.27383666562972786</v>
      </c>
      <c r="S59" s="145">
        <f>IF(OR($W59=2, IFERROR(ISNUMBER(SEARCH("LOGNORMAL", UPPER($F59))), FALSE)), IF(OR(UPPER($G59)="GSD", $H59&gt;1), IF($H59&gt;1, LN($H59), ""), IF(OR(UPPER($G59)="95%", AND($P59&gt;0, $Q59&gt;0)), (LN($Q59)-LN($P59))/(2*$X3), "")), IF(OR($W59=3, IFERROR(ISNUMBER(SEARCH("NORMAL", UPPER($F59))), FALSE)), IF($I59&lt;&gt;"",$I59, IF(AND($P59&gt;0,$Q59&gt;0), ($Q59-$P59)/(2*$X3), "")), ""))</f>
        <v>0.18232155679395459</v>
      </c>
      <c r="T59" s="145"/>
      <c r="U59" s="145" t="str">
        <f t="shared" si="9"/>
        <v/>
      </c>
      <c r="V59" s="145" t="str">
        <f t="shared" si="10"/>
        <v/>
      </c>
      <c r="W59" s="150">
        <f t="shared" si="4"/>
        <v>2</v>
      </c>
      <c r="X59" s="150">
        <f t="shared" si="3"/>
        <v>1.9599639845400536</v>
      </c>
      <c r="Y59" s="150">
        <f t="shared" si="11"/>
        <v>0.91988462971003193</v>
      </c>
      <c r="Z59" s="150">
        <f t="shared" si="12"/>
        <v>1.8798281264304741</v>
      </c>
      <c r="AA59" s="150" t="str">
        <f t="shared" si="13"/>
        <v/>
      </c>
    </row>
    <row r="60" spans="1:27" s="141" customFormat="1" x14ac:dyDescent="0.2">
      <c r="A60" s="156" t="s">
        <v>298</v>
      </c>
      <c r="B60" s="148" t="s">
        <v>149</v>
      </c>
      <c r="C60" s="149" t="s">
        <v>316</v>
      </c>
      <c r="D60" s="145" t="s">
        <v>18</v>
      </c>
      <c r="E60" s="151">
        <v>0.2429</v>
      </c>
      <c r="F60" s="145" t="s">
        <v>327</v>
      </c>
      <c r="G60" s="145" t="s">
        <v>291</v>
      </c>
      <c r="H60" s="145">
        <v>1.2</v>
      </c>
      <c r="I60" s="145"/>
      <c r="J60" s="145"/>
      <c r="K60" s="145"/>
      <c r="L60" s="145"/>
      <c r="M60" s="145"/>
      <c r="N60" s="145"/>
      <c r="O60" s="145"/>
      <c r="P60" s="145"/>
      <c r="Q60" s="145"/>
      <c r="R60" s="145">
        <f t="shared" si="16"/>
        <v>-1.4151054429740102</v>
      </c>
      <c r="S60" s="145">
        <f>IF(OR($W60=2, IFERROR(ISNUMBER(SEARCH("LOGNORMAL", UPPER($F60))), FALSE)), IF(OR(UPPER($G60)="GSD", $H60&gt;1), IF($H60&gt;1, LN($H60), ""), IF(OR(UPPER($G60)="95%", AND($P60&gt;0, $Q60&gt;0)), (LN($Q60)-LN($P60))/(2*$X3), "")), IF(OR($W60=3, IFERROR(ISNUMBER(SEARCH("NORMAL", UPPER($F60))), FALSE)), IF($I60&lt;&gt;"",$I60, IF(AND($P60&gt;0,$Q60&gt;0), ($Q60-$P60)/(2*$X3), "")), ""))</f>
        <v>0.18232155679395459</v>
      </c>
      <c r="T60" s="145"/>
      <c r="U60" s="145" t="str">
        <f t="shared" si="9"/>
        <v/>
      </c>
      <c r="V60" s="145" t="str">
        <f t="shared" si="10"/>
        <v/>
      </c>
      <c r="W60" s="150">
        <f t="shared" si="4"/>
        <v>2</v>
      </c>
      <c r="X60" s="150">
        <f t="shared" si="3"/>
        <v>1.9599639845400536</v>
      </c>
      <c r="Y60" s="150">
        <f t="shared" si="11"/>
        <v>0.16991633198218004</v>
      </c>
      <c r="Z60" s="150">
        <f t="shared" si="12"/>
        <v>0.3472321307300093</v>
      </c>
      <c r="AA60" s="150" t="str">
        <f t="shared" si="13"/>
        <v/>
      </c>
    </row>
    <row r="61" spans="1:27" s="141" customFormat="1" x14ac:dyDescent="0.2">
      <c r="A61" s="156" t="s">
        <v>298</v>
      </c>
      <c r="B61" s="148" t="s">
        <v>149</v>
      </c>
      <c r="C61" s="149" t="s">
        <v>317</v>
      </c>
      <c r="D61" s="145" t="s">
        <v>23</v>
      </c>
      <c r="E61" s="151">
        <v>1.4E-2</v>
      </c>
      <c r="F61" s="145" t="s">
        <v>327</v>
      </c>
      <c r="G61" s="145" t="s">
        <v>291</v>
      </c>
      <c r="H61" s="145">
        <v>1.2</v>
      </c>
      <c r="I61" s="145"/>
      <c r="J61" s="145"/>
      <c r="K61" s="145"/>
      <c r="L61" s="145"/>
      <c r="M61" s="145"/>
      <c r="N61" s="145"/>
      <c r="O61" s="145"/>
      <c r="P61" s="145"/>
      <c r="Q61" s="145"/>
      <c r="R61" s="145">
        <f t="shared" si="16"/>
        <v>-4.2686979493668789</v>
      </c>
      <c r="S61" s="145">
        <f>IF(OR($W61=2, IFERROR(ISNUMBER(SEARCH("LOGNORMAL", UPPER($F61))), FALSE)), IF(OR(UPPER($G61)="GSD", $H61&gt;1), IF($H61&gt;1, LN($H61), ""), IF(OR(UPPER($G61)="95%", AND($P61&gt;0, $Q61&gt;0)), (LN($Q61)-LN($P61))/(2*$X3), "")), IF(OR($W61=3, IFERROR(ISNUMBER(SEARCH("NORMAL", UPPER($F61))), FALSE)), IF($I61&lt;&gt;"",$I61, IF(AND($P61&gt;0,$Q61&gt;0), ($Q61-$P61)/(2*$X3), "")), ""))</f>
        <v>0.18232155679395459</v>
      </c>
      <c r="T61" s="145"/>
      <c r="U61" s="145" t="str">
        <f t="shared" si="9"/>
        <v/>
      </c>
      <c r="V61" s="145" t="str">
        <f t="shared" si="10"/>
        <v/>
      </c>
      <c r="W61" s="150">
        <f t="shared" si="4"/>
        <v>2</v>
      </c>
      <c r="X61" s="150">
        <f t="shared" si="3"/>
        <v>1.9599639845400536</v>
      </c>
      <c r="Y61" s="150">
        <f t="shared" si="11"/>
        <v>9.7934485292322793E-3</v>
      </c>
      <c r="Z61" s="150">
        <f t="shared" si="12"/>
        <v>2.0013379292795924E-2</v>
      </c>
      <c r="AA61" s="150" t="str">
        <f t="shared" si="13"/>
        <v/>
      </c>
    </row>
    <row r="62" spans="1:27" s="141" customFormat="1" x14ac:dyDescent="0.2">
      <c r="A62" s="156" t="s">
        <v>298</v>
      </c>
      <c r="B62" s="148" t="s">
        <v>149</v>
      </c>
      <c r="C62" s="149" t="s">
        <v>301</v>
      </c>
      <c r="D62" s="145" t="s">
        <v>10</v>
      </c>
      <c r="E62" s="151">
        <v>0.444135</v>
      </c>
      <c r="F62" s="145" t="s">
        <v>327</v>
      </c>
      <c r="G62" s="145" t="s">
        <v>291</v>
      </c>
      <c r="H62" s="145">
        <v>1.2</v>
      </c>
      <c r="I62" s="145"/>
      <c r="J62" s="145"/>
      <c r="K62" s="145"/>
      <c r="L62" s="145"/>
      <c r="M62" s="145"/>
      <c r="N62" s="145"/>
      <c r="O62" s="145"/>
      <c r="P62" s="145"/>
      <c r="Q62" s="145"/>
      <c r="R62" s="145">
        <f t="shared" si="16"/>
        <v>-0.81162670871092446</v>
      </c>
      <c r="S62" s="145">
        <f>IF(OR($W62=2, IFERROR(ISNUMBER(SEARCH("LOGNORMAL", UPPER($F62))), FALSE)), IF(OR(UPPER($G62)="GSD", $H62&gt;1), IF($H62&gt;1, LN($H62), ""), IF(OR(UPPER($G62)="95%", AND($P62&gt;0, $Q62&gt;0)), (LN($Q62)-LN($P62))/(2*$X3), "")), IF(OR($W62=3, IFERROR(ISNUMBER(SEARCH("NORMAL", UPPER($F62))), FALSE)), IF($I62&lt;&gt;"",$I62, IF(AND($P62&gt;0,$Q62&gt;0), ($Q62-$P62)/(2*$X3), "")), ""))</f>
        <v>0.18232155679395459</v>
      </c>
      <c r="T62" s="145"/>
      <c r="U62" s="145" t="str">
        <f t="shared" si="9"/>
        <v/>
      </c>
      <c r="V62" s="145" t="str">
        <f t="shared" si="10"/>
        <v/>
      </c>
      <c r="W62" s="150">
        <f t="shared" si="4"/>
        <v>2</v>
      </c>
      <c r="X62" s="150">
        <f t="shared" si="3"/>
        <v>1.9599639845400536</v>
      </c>
      <c r="Y62" s="150">
        <f t="shared" si="11"/>
        <v>0.31068666160932701</v>
      </c>
      <c r="Z62" s="150">
        <f t="shared" si="12"/>
        <v>0.63490301515756553</v>
      </c>
      <c r="AA62" s="150" t="str">
        <f t="shared" si="13"/>
        <v/>
      </c>
    </row>
    <row r="63" spans="1:27" s="141" customFormat="1" x14ac:dyDescent="0.2">
      <c r="A63" s="156" t="s">
        <v>298</v>
      </c>
      <c r="B63" s="148" t="s">
        <v>302</v>
      </c>
      <c r="C63" s="149" t="s">
        <v>303</v>
      </c>
      <c r="D63" s="145" t="s">
        <v>10</v>
      </c>
      <c r="E63" s="151">
        <v>0.69199999999999995</v>
      </c>
      <c r="F63" s="145" t="s">
        <v>327</v>
      </c>
      <c r="G63" s="145" t="s">
        <v>291</v>
      </c>
      <c r="H63" s="145">
        <v>1.2</v>
      </c>
      <c r="I63" s="145"/>
      <c r="J63" s="145"/>
      <c r="K63" s="145"/>
      <c r="L63" s="145"/>
      <c r="M63" s="145"/>
      <c r="N63" s="145"/>
      <c r="O63" s="145"/>
      <c r="P63" s="145"/>
      <c r="Q63" s="145"/>
      <c r="R63" s="145">
        <f t="shared" si="16"/>
        <v>-0.36816932336446756</v>
      </c>
      <c r="S63" s="145">
        <f>IF(OR($W63=2, IFERROR(ISNUMBER(SEARCH("LOGNORMAL", UPPER($F63))), FALSE)), IF(OR(UPPER($G63)="GSD", $H63&gt;1), IF($H63&gt;1, LN($H63), ""), IF(OR(UPPER($G63)="95%", AND($P63&gt;0, $Q63&gt;0)), (LN($Q63)-LN($P63))/(2*$X3), "")), IF(OR($W63=3, IFERROR(ISNUMBER(SEARCH("NORMAL", UPPER($F63))), FALSE)), IF($I63&lt;&gt;"",$I63, IF(AND($P63&gt;0,$Q63&gt;0), ($Q63-$P63)/(2*$X3), "")), ""))</f>
        <v>0.18232155679395459</v>
      </c>
      <c r="T63" s="145"/>
      <c r="U63" s="145" t="str">
        <f t="shared" si="9"/>
        <v/>
      </c>
      <c r="V63" s="145" t="str">
        <f t="shared" si="10"/>
        <v/>
      </c>
      <c r="W63" s="150">
        <f t="shared" si="4"/>
        <v>2</v>
      </c>
      <c r="X63" s="150">
        <f t="shared" si="3"/>
        <v>1.9599639845400536</v>
      </c>
      <c r="Y63" s="150">
        <f t="shared" si="11"/>
        <v>0.48407617015919546</v>
      </c>
      <c r="Z63" s="150">
        <f t="shared" si="12"/>
        <v>0.98923274790105564</v>
      </c>
      <c r="AA63" s="150" t="str">
        <f t="shared" si="13"/>
        <v/>
      </c>
    </row>
    <row r="64" spans="1:27" s="141" customFormat="1" x14ac:dyDescent="0.2">
      <c r="A64" s="156" t="s">
        <v>298</v>
      </c>
      <c r="B64" s="148" t="s">
        <v>302</v>
      </c>
      <c r="C64" s="149" t="s">
        <v>318</v>
      </c>
      <c r="D64" s="145" t="s">
        <v>10</v>
      </c>
      <c r="E64" s="151">
        <v>0.375</v>
      </c>
      <c r="F64" s="145" t="s">
        <v>327</v>
      </c>
      <c r="G64" s="145" t="s">
        <v>291</v>
      </c>
      <c r="H64" s="145">
        <v>1.2</v>
      </c>
      <c r="I64" s="145"/>
      <c r="J64" s="145"/>
      <c r="K64" s="145"/>
      <c r="L64" s="145"/>
      <c r="M64" s="145"/>
      <c r="N64" s="145"/>
      <c r="O64" s="145"/>
      <c r="P64" s="145"/>
      <c r="Q64" s="145"/>
      <c r="R64" s="145">
        <f t="shared" si="16"/>
        <v>-0.98082925301172619</v>
      </c>
      <c r="S64" s="145">
        <f>IF(OR($W64=2, IFERROR(ISNUMBER(SEARCH("LOGNORMAL", UPPER($F64))), FALSE)), IF(OR(UPPER($G64)="GSD", $H64&gt;1), IF($H64&gt;1, LN($H64), ""), IF(OR(UPPER($G64)="95%", AND($P64&gt;0, $Q64&gt;0)), (LN($Q64)-LN($P64))/(2*$X3), "")), IF(OR($W64=3, IFERROR(ISNUMBER(SEARCH("NORMAL", UPPER($F64))), FALSE)), IF($I64&lt;&gt;"",$I64, IF(AND($P64&gt;0,$Q64&gt;0), ($Q64-$P64)/(2*$X3), "")), ""))</f>
        <v>0.18232155679395459</v>
      </c>
      <c r="T64" s="145"/>
      <c r="U64" s="145" t="str">
        <f t="shared" si="9"/>
        <v/>
      </c>
      <c r="V64" s="145" t="str">
        <f t="shared" si="10"/>
        <v/>
      </c>
      <c r="W64" s="150">
        <f t="shared" si="4"/>
        <v>2</v>
      </c>
      <c r="X64" s="150">
        <f t="shared" si="3"/>
        <v>1.9599639845400536</v>
      </c>
      <c r="Y64" s="150">
        <f t="shared" si="11"/>
        <v>0.26232451417586461</v>
      </c>
      <c r="Z64" s="150">
        <f t="shared" si="12"/>
        <v>0.53607265962846229</v>
      </c>
      <c r="AA64" s="150" t="str">
        <f t="shared" si="13"/>
        <v/>
      </c>
    </row>
    <row r="65" spans="1:27" s="141" customFormat="1" x14ac:dyDescent="0.2">
      <c r="A65" s="156" t="s">
        <v>298</v>
      </c>
      <c r="B65" s="148" t="s">
        <v>302</v>
      </c>
      <c r="C65" s="149" t="s">
        <v>305</v>
      </c>
      <c r="D65" s="145" t="s">
        <v>10</v>
      </c>
      <c r="E65" s="151">
        <v>7.9573614756276615E-7</v>
      </c>
      <c r="F65" s="145" t="s">
        <v>327</v>
      </c>
      <c r="G65" s="145" t="s">
        <v>291</v>
      </c>
      <c r="H65" s="145">
        <v>1.5</v>
      </c>
      <c r="I65" s="145"/>
      <c r="J65" s="145"/>
      <c r="K65" s="145"/>
      <c r="L65" s="145"/>
      <c r="M65" s="145"/>
      <c r="N65" s="145"/>
      <c r="O65" s="145"/>
      <c r="P65" s="145"/>
      <c r="Q65" s="145"/>
      <c r="R65" s="145">
        <f t="shared" si="16"/>
        <v>-14.043998178962415</v>
      </c>
      <c r="S65" s="145">
        <f>IF(OR($W65=2, IFERROR(ISNUMBER(SEARCH("LOGNORMAL", UPPER($F65))), FALSE)), IF(OR(UPPER($G65)="GSD", $H65&gt;1), IF($H65&gt;1, LN($H65), ""), IF(OR(UPPER($G65)="95%", AND($P65&gt;0, $Q65&gt;0)), (LN($Q65)-LN($P65))/(2*$X3), "")), IF(OR($W65=3, IFERROR(ISNUMBER(SEARCH("NORMAL", UPPER($F65))), FALSE)), IF($I65&lt;&gt;"",$I65, IF(AND($P65&gt;0,$Q65&gt;0), ($Q65-$P65)/(2*$X3), "")), ""))</f>
        <v>0.40546510810816438</v>
      </c>
      <c r="T65" s="145"/>
      <c r="U65" s="145" t="str">
        <f t="shared" si="9"/>
        <v/>
      </c>
      <c r="V65" s="145" t="str">
        <f t="shared" si="10"/>
        <v/>
      </c>
      <c r="W65" s="150">
        <f t="shared" si="4"/>
        <v>2</v>
      </c>
      <c r="X65" s="150">
        <f t="shared" si="3"/>
        <v>1.9599639845400536</v>
      </c>
      <c r="Y65" s="150">
        <f t="shared" si="11"/>
        <v>3.5944840536632761E-7</v>
      </c>
      <c r="Z65" s="150">
        <f t="shared" si="12"/>
        <v>1.7615769247681544E-6</v>
      </c>
      <c r="AA65" s="150" t="str">
        <f t="shared" si="13"/>
        <v/>
      </c>
    </row>
    <row r="66" spans="1:27" s="141" customFormat="1" x14ac:dyDescent="0.2">
      <c r="A66" s="156" t="s">
        <v>298</v>
      </c>
      <c r="B66" s="148" t="s">
        <v>302</v>
      </c>
      <c r="C66" s="149" t="s">
        <v>294</v>
      </c>
      <c r="D66" s="145" t="s">
        <v>10</v>
      </c>
      <c r="E66" s="151">
        <f>'rice_straw (parameters)'!A101</f>
        <v>1.6999999999999999E-7</v>
      </c>
      <c r="F66" s="145" t="s">
        <v>328</v>
      </c>
      <c r="G66" s="145"/>
      <c r="H66" s="145"/>
      <c r="I66" s="145"/>
      <c r="J66" s="145"/>
      <c r="K66" s="145"/>
      <c r="L66" s="145" t="b">
        <v>1</v>
      </c>
      <c r="M66" s="145">
        <f t="shared" ref="M66:M67" si="17">1.5-1</f>
        <v>0.5</v>
      </c>
      <c r="N66" s="145">
        <f>1-(1/1.5)</f>
        <v>0.33333333333333337</v>
      </c>
      <c r="O66" s="145"/>
      <c r="P66" s="145"/>
      <c r="Q66" s="145"/>
      <c r="R66" s="145"/>
      <c r="S66" s="145" t="str">
        <f>IF(OR($W66=2, IFERROR(ISNUMBER(SEARCH("LOGNORMAL", UPPER($F66))), FALSE)), IF(OR(UPPER($G66)="GSD", $H66&gt;1), IF($H66&gt;1, LN($H66), ""), IF(OR(UPPER($G66)="95%", AND($P66&gt;0, $Q66&gt;0)), (LN($Q66)-LN($P66))/(2*$X3), "")), IF(OR($W66=3, IFERROR(ISNUMBER(SEARCH("NORMAL", UPPER($F66))), FALSE)), IF($I66&lt;&gt;"",$I66, IF(AND($P66&gt;0,$Q66&gt;0), ($Q66-$P66)/(2*$X3), "")), ""))</f>
        <v/>
      </c>
      <c r="T66" s="145"/>
      <c r="U66" s="145">
        <f t="shared" si="9"/>
        <v>8.4999999999999994E-8</v>
      </c>
      <c r="V66" s="145">
        <f t="shared" si="10"/>
        <v>2.2666666666666668E-7</v>
      </c>
      <c r="W66" s="150">
        <f t="shared" si="4"/>
        <v>5</v>
      </c>
      <c r="X66" s="150">
        <f t="shared" si="3"/>
        <v>1.9599639845400536</v>
      </c>
      <c r="Y66" s="150" t="str">
        <f t="shared" si="11"/>
        <v/>
      </c>
      <c r="Z66" s="150" t="str">
        <f t="shared" si="12"/>
        <v/>
      </c>
      <c r="AA66" s="150" t="str">
        <f t="shared" si="13"/>
        <v/>
      </c>
    </row>
    <row r="67" spans="1:27" s="141" customFormat="1" x14ac:dyDescent="0.2">
      <c r="A67" s="156" t="s">
        <v>298</v>
      </c>
      <c r="B67" s="148" t="s">
        <v>302</v>
      </c>
      <c r="C67" s="149" t="s">
        <v>306</v>
      </c>
      <c r="D67" s="145" t="s">
        <v>10</v>
      </c>
      <c r="E67" s="151">
        <f>'rice_straw (parameters)'!B101</f>
        <v>3.5999999999999999E-7</v>
      </c>
      <c r="F67" s="145" t="s">
        <v>328</v>
      </c>
      <c r="G67" s="145"/>
      <c r="H67" s="145"/>
      <c r="I67" s="145"/>
      <c r="J67" s="145"/>
      <c r="K67" s="145"/>
      <c r="L67" s="145" t="b">
        <v>1</v>
      </c>
      <c r="M67" s="145">
        <f t="shared" si="17"/>
        <v>0.5</v>
      </c>
      <c r="N67" s="145">
        <f>1-(1/1.5)</f>
        <v>0.33333333333333337</v>
      </c>
      <c r="O67" s="145"/>
      <c r="P67" s="145"/>
      <c r="Q67" s="145"/>
      <c r="R67" s="145"/>
      <c r="S67" s="145" t="str">
        <f>IF(OR($W67=2, IFERROR(ISNUMBER(SEARCH("LOGNORMAL", UPPER($F67))), FALSE)), IF(OR(UPPER($G67)="GSD", $H67&gt;1), IF($H67&gt;1, LN($H67), ""), IF(OR(UPPER($G67)="95%", AND($P67&gt;0, $Q67&gt;0)), (LN($Q67)-LN($P67))/(2*$X3), "")), IF(OR($W67=3, IFERROR(ISNUMBER(SEARCH("NORMAL", UPPER($F67))), FALSE)), IF($I67&lt;&gt;"",$I67, IF(AND($P67&gt;0,$Q67&gt;0), ($Q67-$P67)/(2*$X3), "")), ""))</f>
        <v/>
      </c>
      <c r="T67" s="145"/>
      <c r="U67" s="145">
        <f t="shared" ref="U67:U72" si="18">IF(OR(OR($W67=4, IFERROR(ISNUMBER(SEARCH("UNIFORM", UPPER($F67))), FALSE)),OR($W67=5, IFERROR(ISNUMBER(SEARCH("TRIANG", UPPER($F67))), FALSE))), IF(AND($J67&lt;&gt;"",$K67&lt;&gt;""), $J67, IF($L67=TRUE, IF($O67&lt;&gt;"", IF($E67&gt;=0, $E67*(1-$O67), $E67*(1+$O67)), IF(AND($M67&lt;&gt;"",$N67&lt;&gt;""), IF($E67&gt;=0, $E67*(1-$M67), $E67*(1+$M67)), "")), "" )), "" )</f>
        <v>1.8E-7</v>
      </c>
      <c r="V67" s="145">
        <f t="shared" ref="V67:V72" si="19">IF(OR(OR($W67=4, IFERROR(ISNUMBER(SEARCH("UNIFORM", UPPER($F67))), FALSE)),OR($W67=5, IFERROR(ISNUMBER(SEARCH("TRIANG", UPPER($F67))), FALSE))), IF(AND($J67&lt;&gt;"",$K67&lt;&gt;""), $K67, IF($L67=TRUE, IF($O67&lt;&gt;"", IF($E67&gt;=0, $E67*(1+$O67), $E67*(1-$O67)), IF(AND($M67&lt;&gt;"",$N67&lt;&gt;""), IF($E67&gt;=0, $E67*(1+$N67), $E67*(1-$N67)), "")), "" )), "" )</f>
        <v>4.8000000000000006E-7</v>
      </c>
      <c r="W67" s="150">
        <f t="shared" si="4"/>
        <v>5</v>
      </c>
      <c r="X67" s="150">
        <f t="shared" si="3"/>
        <v>1.9599639845400536</v>
      </c>
      <c r="Y67" s="150" t="str">
        <f t="shared" si="11"/>
        <v/>
      </c>
      <c r="Z67" s="150" t="str">
        <f t="shared" si="12"/>
        <v/>
      </c>
      <c r="AA67" s="150" t="str">
        <f t="shared" si="13"/>
        <v/>
      </c>
    </row>
    <row r="68" spans="1:27" s="141" customFormat="1" x14ac:dyDescent="0.2">
      <c r="A68" s="156"/>
      <c r="B68" s="148"/>
      <c r="C68" s="149" t="s">
        <v>330</v>
      </c>
      <c r="D68" s="145"/>
      <c r="E68" s="151">
        <f>'oak (parameters)'!A82</f>
        <v>4.9700000000000002E-5</v>
      </c>
      <c r="F68" s="145" t="s">
        <v>327</v>
      </c>
      <c r="G68" s="145" t="s">
        <v>291</v>
      </c>
      <c r="H68" s="145">
        <f>'oak (parameters)'!B82</f>
        <v>4.0799002290112991</v>
      </c>
      <c r="I68" s="145"/>
      <c r="J68" s="145"/>
      <c r="K68" s="145"/>
      <c r="L68" s="145"/>
      <c r="M68" s="145"/>
      <c r="N68" s="145"/>
      <c r="O68" s="145"/>
      <c r="P68" s="145"/>
      <c r="Q68" s="145"/>
      <c r="R68" s="145">
        <f t="shared" ref="R68:R73" si="20">IF(OR($W68=1, IFERROR(ISNUMBER(SEARCH("NO UNCERTAINTY", UPPER($F68))), FALSE), IFERROR(ISNUMBER(SEARCH("NONE", UPPER($F68))), FALSE)), $E68, IF(OR($W68=2, IFERROR(ISNUMBER(SEARCH("LOGNORMAL", UPPER($F68))), FALSE)), IF($E68&gt;0, IF(OR(UPPER($G68)="GSD", $H68&gt;1), LN($E68), IF(OR(UPPER($G68)="95%", AND($P68&gt;0, $Q68&gt;0)), (LN($P68)+LN($Q68))/2, "")), ""), IF(OR($W68=3, IFERROR(ISNUMBER(SEARCH("NORMAL", UPPER($F68))), FALSE)), $E68, IF(OR($W68=5, IFERROR(ISNUMBER(SEARCH("TRIANG", UPPER($F68))), FALSE)), $E68, ""))))</f>
        <v>-9.9095056248616906</v>
      </c>
      <c r="S68" s="145">
        <f>IF(OR($W68=2, IFERROR(ISNUMBER(SEARCH("LOGNORMAL", UPPER($F68))), FALSE)), IF(OR(UPPER($G68)="GSD", $H68&gt;1), IF($H68&gt;1, LN($H68), ""), IF(OR(UPPER($G68)="95%", AND($P68&gt;0, $Q68&gt;0)), (LN($Q68)-LN($P68))/(2*$X3), "")), IF(OR($W68=3, IFERROR(ISNUMBER(SEARCH("NORMAL", UPPER($F68))), FALSE)), IF($I68&lt;&gt;"",$I68, IF(AND($P68&gt;0,$Q68&gt;0), ($Q68-$P68)/(2*$X3), "")), ""))</f>
        <v>1.4060725344433731</v>
      </c>
      <c r="T68" s="145"/>
      <c r="U68" s="145" t="str">
        <f t="shared" si="18"/>
        <v/>
      </c>
      <c r="V68" s="145" t="str">
        <f t="shared" si="19"/>
        <v/>
      </c>
      <c r="W68" s="150">
        <f t="shared" ref="W68:W73" si="21">IFERROR(VALUE(LEFT($F68, FIND(" ", $F68&amp;" ")-1)),
IFERROR(VALUE(LEFT($F68, FIND("-", $F68&amp;"-")-1)),
IFERROR($F68, NA())))</f>
        <v>2</v>
      </c>
      <c r="X68" s="150">
        <f t="shared" ref="X68:X73" si="22">_xlfn.NORM.S.INV(0.975)</f>
        <v>1.9599639845400536</v>
      </c>
      <c r="Y68" s="150">
        <f t="shared" si="11"/>
        <v>3.1586774324134455E-6</v>
      </c>
      <c r="Z68" s="150">
        <f t="shared" si="12"/>
        <v>7.8200134482003206E-4</v>
      </c>
      <c r="AA68" s="150" t="str">
        <f t="shared" si="13"/>
        <v/>
      </c>
    </row>
    <row r="69" spans="1:27" s="141" customFormat="1" x14ac:dyDescent="0.2">
      <c r="A69" s="155" t="s">
        <v>313</v>
      </c>
      <c r="B69" s="148"/>
      <c r="C69" s="149" t="s">
        <v>331</v>
      </c>
      <c r="D69" s="145"/>
      <c r="E69" s="151">
        <f>'rice_husk (parameters)'!A104</f>
        <v>4.3000000000000002E-5</v>
      </c>
      <c r="F69" s="145" t="s">
        <v>327</v>
      </c>
      <c r="G69" s="145" t="s">
        <v>291</v>
      </c>
      <c r="H69" s="145">
        <f>'rice_husk (parameters)'!B104</f>
        <v>1.7341214598875747</v>
      </c>
      <c r="I69" s="145"/>
      <c r="J69" s="145"/>
      <c r="K69" s="145"/>
      <c r="L69" s="145"/>
      <c r="M69" s="145"/>
      <c r="N69" s="145"/>
      <c r="O69" s="145"/>
      <c r="P69" s="145"/>
      <c r="Q69" s="145"/>
      <c r="R69" s="145">
        <f t="shared" si="20"/>
        <v>-10.054310442270712</v>
      </c>
      <c r="S69" s="145">
        <f>IF(OR($W69=2, IFERROR(ISNUMBER(SEARCH("LOGNORMAL", UPPER($F69))), FALSE)), IF(OR(UPPER($G69)="GSD", $H69&gt;1), IF($H69&gt;1, LN($H69), ""), IF(OR(UPPER($G69)="95%", AND($P69&gt;0, $Q69&gt;0)), (LN($Q69)-LN($P69))/(2*$X3), "")), IF(OR($W69=3, IFERROR(ISNUMBER(SEARCH("NORMAL", UPPER($F69))), FALSE)), IF($I69&lt;&gt;"",$I69, IF(AND($P69&gt;0,$Q69&gt;0), ($Q69-$P69)/(2*$X3), "")), ""))</f>
        <v>0.55050092197650435</v>
      </c>
      <c r="T69" s="145"/>
      <c r="U69" s="145" t="str">
        <f t="shared" si="18"/>
        <v/>
      </c>
      <c r="V69" s="145" t="str">
        <f t="shared" si="19"/>
        <v/>
      </c>
      <c r="W69" s="150">
        <f t="shared" si="21"/>
        <v>2</v>
      </c>
      <c r="X69" s="150">
        <f t="shared" si="22"/>
        <v>1.9599639845400536</v>
      </c>
      <c r="Y69" s="150">
        <f t="shared" si="11"/>
        <v>1.4617773263500039E-5</v>
      </c>
      <c r="Z69" s="150">
        <f t="shared" si="12"/>
        <v>1.264898535960244E-4</v>
      </c>
      <c r="AA69" s="150" t="str">
        <f t="shared" si="13"/>
        <v/>
      </c>
    </row>
    <row r="70" spans="1:27" s="141" customFormat="1" x14ac:dyDescent="0.2">
      <c r="B70" s="148"/>
      <c r="C70" s="149" t="s">
        <v>339</v>
      </c>
      <c r="D70" s="145"/>
      <c r="E70" s="151">
        <f>'willow (parameters)'!A88</f>
        <v>3.5576373626373633E-6</v>
      </c>
      <c r="F70" s="145" t="s">
        <v>327</v>
      </c>
      <c r="G70" s="145" t="s">
        <v>291</v>
      </c>
      <c r="H70" s="145">
        <f>'willow (parameters)'!B88</f>
        <v>3.4825621795275867</v>
      </c>
      <c r="I70" s="145"/>
      <c r="J70" s="145"/>
      <c r="K70" s="145"/>
      <c r="L70" s="145"/>
      <c r="M70" s="145"/>
      <c r="N70" s="145"/>
      <c r="O70" s="145"/>
      <c r="P70" s="145"/>
      <c r="Q70" s="145"/>
      <c r="R70" s="145">
        <f t="shared" si="20"/>
        <v>-12.546413895602081</v>
      </c>
      <c r="S70" s="145">
        <f>IF(OR($W70=2, IFERROR(ISNUMBER(SEARCH("LOGNORMAL", UPPER($F70))), FALSE)), IF(OR(UPPER($G70)="GSD", $H70&gt;1), IF($H70&gt;1, LN($H70), ""), IF(OR(UPPER($G70)="95%", AND($P70&gt;0, $Q70&gt;0)), (LN($Q70)-LN($P70))/(2*$X3), "")), IF(OR($W70=3, IFERROR(ISNUMBER(SEARCH("NORMAL", UPPER($F70))), FALSE)), IF($I70&lt;&gt;"",$I70, IF(AND($P70&gt;0,$Q70&gt;0), ($Q70-$P70)/(2*$X3), "")), ""))</f>
        <v>1.247768281366006</v>
      </c>
      <c r="T70" s="145"/>
      <c r="U70" s="145" t="str">
        <f t="shared" si="18"/>
        <v/>
      </c>
      <c r="V70" s="145" t="str">
        <f t="shared" si="19"/>
        <v/>
      </c>
      <c r="W70" s="150">
        <f t="shared" si="21"/>
        <v>2</v>
      </c>
      <c r="X70" s="150">
        <f t="shared" si="22"/>
        <v>1.9599639845400536</v>
      </c>
      <c r="Y70" s="150">
        <f t="shared" si="11"/>
        <v>3.0836096122883324E-7</v>
      </c>
      <c r="Z70" s="150">
        <f t="shared" si="12"/>
        <v>4.1045350078023635E-5</v>
      </c>
      <c r="AA70" s="150" t="str">
        <f t="shared" si="13"/>
        <v/>
      </c>
    </row>
    <row r="71" spans="1:27" s="141" customFormat="1" x14ac:dyDescent="0.2">
      <c r="B71" s="148"/>
      <c r="C71" s="149" t="s">
        <v>340</v>
      </c>
      <c r="D71" s="145"/>
      <c r="E71" s="151">
        <f>'spruce (parameters)'!A78</f>
        <v>1.9014285714285714E-5</v>
      </c>
      <c r="F71" s="145" t="s">
        <v>327</v>
      </c>
      <c r="G71" s="145" t="s">
        <v>291</v>
      </c>
      <c r="H71" s="145">
        <f>'spruce (parameters)'!B78</f>
        <v>1.7268547782288333</v>
      </c>
      <c r="I71" s="145"/>
      <c r="J71" s="145"/>
      <c r="K71" s="145"/>
      <c r="L71" s="145"/>
      <c r="M71" s="145"/>
      <c r="N71" s="145"/>
      <c r="O71" s="145"/>
      <c r="P71" s="145"/>
      <c r="Q71" s="145"/>
      <c r="R71" s="145">
        <f t="shared" si="20"/>
        <v>-10.870319981618522</v>
      </c>
      <c r="S71" s="145">
        <f>IF(OR($W71=2, IFERROR(ISNUMBER(SEARCH("LOGNORMAL", UPPER($F71))), FALSE)), IF(OR(UPPER($G71)="GSD", $H71&gt;1), IF($H71&gt;1, LN($H71), ""), IF(OR(UPPER($G71)="95%", AND($P71&gt;0, $Q71&gt;0)), (LN($Q71)-LN($P71))/(2*$X3), "")), IF(OR($W71=3, IFERROR(ISNUMBER(SEARCH("NORMAL", UPPER($F71))), FALSE)), IF($I71&lt;&gt;"",$I71, IF(AND($P71&gt;0,$Q71&gt;0), ($Q71-$P71)/(2*$X3), "")), ""))</f>
        <v>0.54630170658938892</v>
      </c>
      <c r="T71" s="145"/>
      <c r="U71" s="145" t="str">
        <f t="shared" si="18"/>
        <v/>
      </c>
      <c r="V71" s="145" t="str">
        <f t="shared" si="19"/>
        <v/>
      </c>
      <c r="W71" s="150">
        <f t="shared" si="21"/>
        <v>2</v>
      </c>
      <c r="X71" s="150">
        <f t="shared" si="22"/>
        <v>1.9599639845400536</v>
      </c>
      <c r="Y71" s="150">
        <f t="shared" si="11"/>
        <v>6.5172917034567908E-6</v>
      </c>
      <c r="Z71" s="150">
        <f t="shared" si="12"/>
        <v>5.5474432889466377E-5</v>
      </c>
      <c r="AA71" s="150" t="str">
        <f t="shared" si="13"/>
        <v/>
      </c>
    </row>
    <row r="72" spans="1:27" s="141" customFormat="1" x14ac:dyDescent="0.2">
      <c r="B72" s="148"/>
      <c r="C72" s="149" t="s">
        <v>341</v>
      </c>
      <c r="D72" s="145"/>
      <c r="E72" s="151">
        <f>'birch (parameters)'!A78</f>
        <v>2.2463571428571431E-6</v>
      </c>
      <c r="F72" s="145" t="s">
        <v>327</v>
      </c>
      <c r="G72" s="145" t="s">
        <v>291</v>
      </c>
      <c r="H72" s="145">
        <f>'birch (parameters)'!B78</f>
        <v>1.476201226198731</v>
      </c>
      <c r="I72" s="145"/>
      <c r="J72" s="145"/>
      <c r="K72" s="145"/>
      <c r="L72" s="145"/>
      <c r="M72" s="145"/>
      <c r="N72" s="145"/>
      <c r="O72" s="145"/>
      <c r="P72" s="145"/>
      <c r="Q72" s="145"/>
      <c r="R72" s="145">
        <f t="shared" si="20"/>
        <v>-13.006200701440987</v>
      </c>
      <c r="S72" s="145">
        <f>IF(OR($W72=2, IFERROR(ISNUMBER(SEARCH("LOGNORMAL", UPPER($F72))), FALSE)), IF(OR(UPPER($G72)="GSD", $H72&gt;1), IF($H72&gt;1, LN($H72), ""), IF(OR(UPPER($G72)="95%", AND($P72&gt;0, $Q72&gt;0)), (LN($Q72)-LN($P72))/(2*$X3), "")), IF(OR($W72=3, IFERROR(ISNUMBER(SEARCH("NORMAL", UPPER($F72))), FALSE)), IF($I72&lt;&gt;"",$I72, IF(AND($P72&gt;0,$Q72&gt;0), ($Q72-$P72)/(2*$X3), "")), ""))</f>
        <v>0.38947204899886417</v>
      </c>
      <c r="T72" s="145"/>
      <c r="U72" s="145" t="str">
        <f t="shared" si="18"/>
        <v/>
      </c>
      <c r="V72" s="145" t="str">
        <f t="shared" si="19"/>
        <v/>
      </c>
      <c r="W72" s="150">
        <f t="shared" si="21"/>
        <v>2</v>
      </c>
      <c r="X72" s="150">
        <f t="shared" si="22"/>
        <v>1.9599639845400536</v>
      </c>
      <c r="Y72" s="150">
        <f t="shared" si="11"/>
        <v>1.0470311336487509E-6</v>
      </c>
      <c r="Z72" s="150">
        <f t="shared" si="12"/>
        <v>4.8194559369789825E-6</v>
      </c>
      <c r="AA72" s="150" t="str">
        <f t="shared" si="13"/>
        <v/>
      </c>
    </row>
    <row r="73" spans="1:27" s="141" customFormat="1" x14ac:dyDescent="0.2">
      <c r="A73" s="156" t="s">
        <v>298</v>
      </c>
      <c r="B73" s="148"/>
      <c r="C73" s="149" t="s">
        <v>342</v>
      </c>
      <c r="D73" s="145"/>
      <c r="E73" s="151">
        <f>'rice_straw (parameters)'!A114</f>
        <v>8.5073891625615778E-5</v>
      </c>
      <c r="F73" s="145" t="s">
        <v>327</v>
      </c>
      <c r="G73" s="145" t="s">
        <v>291</v>
      </c>
      <c r="H73" s="145">
        <v>1.5</v>
      </c>
      <c r="I73" s="145"/>
      <c r="J73" s="145"/>
      <c r="K73" s="145"/>
      <c r="L73" s="145"/>
      <c r="M73" s="145"/>
      <c r="N73" s="145"/>
      <c r="O73" s="145"/>
      <c r="P73" s="145"/>
      <c r="Q73" s="145"/>
      <c r="R73" s="145">
        <f t="shared" si="20"/>
        <v>-9.3719903658653365</v>
      </c>
      <c r="S73" s="145">
        <f>IF(OR($W73=2, IFERROR(ISNUMBER(SEARCH("LOGNORMAL", UPPER($F73))), FALSE)), IF(OR(UPPER($G73)="GSD", $H73&gt;1), IF($H73&gt;1, LN($H73), ""), IF(OR(UPPER($G73)="95%", AND($P73&gt;0, $Q73&gt;0)), (LN($Q73)-LN($P73))/(2*$X4), "")), IF(OR($W73=3, IFERROR(ISNUMBER(SEARCH("NORMAL", UPPER($F73))), FALSE)), IF($I73&lt;&gt;"",$I73, IF(AND($P73&gt;0,$Q73&gt;0), ($Q73-$P73)/(2*$X4), "")), ""))</f>
        <v>0.40546510810816438</v>
      </c>
      <c r="T73" s="145" t="str">
        <f>""</f>
        <v/>
      </c>
      <c r="U73" s="145" t="str">
        <f>IF($E73="","",
IF(OR($W73=5,$W73=4),
IF($J73&lt;&gt;"",$J73,
IF(ISNUMBER($O73),
IF($E73&gt;=0,$E73*(1-$O73),$E73*(1+$O73)),
IF(OR($L73=TRUE, UPPER($L73)="YES", UPPER($L73)="TRUE", $L73=1),
IF($E73&gt;=0,$E73*(1-$M73),$E73*(1+$M73)),
IF(AND($E73&lt;0,$K73="", $O73="", NOT(OR($L73=TRUE, UPPER($L73)="YES", UPPER($L73)="TRUE", $L73=1))),
2*$E73,
""
)
)
)
),
""
))</f>
        <v/>
      </c>
      <c r="V73" s="145" t="str">
        <f>IF($E73="","",
IF(OR($W73=5,$W73=4),
IF($K73&lt;&gt;"",$K73,
IF(ISNUMBER($O73),
IF($E73&gt;=0,$E73*(1+$O73),$E73*(1-$O73)),
IF(OR($L73=TRUE, UPPER($L73)="YES", UPPER($L73)="TRUE", $L73=1),
IF($E73&gt;=0,$E73*(1+$N73),$E73*(1-$N73)),
IF(AND($E73&lt;0,$J73="", $O73="", NOT(OR($L73=TRUE, UPPER($L73)="YES", UPPER($L73)="TRUE", $L73=1))),
0,
""
)
)
)
),
""
))</f>
        <v/>
      </c>
      <c r="W73" s="150">
        <f t="shared" si="21"/>
        <v>2</v>
      </c>
      <c r="X73" s="150">
        <f t="shared" si="22"/>
        <v>1.9599639845400536</v>
      </c>
      <c r="Y73" s="150">
        <f t="shared" si="11"/>
        <v>3.8429415047684881E-5</v>
      </c>
      <c r="Z73" s="150">
        <f t="shared" si="12"/>
        <v>1.8833404118554319E-4</v>
      </c>
      <c r="AA73" s="150" t="str">
        <f t="shared" si="13"/>
        <v/>
      </c>
    </row>
    <row r="74" spans="1:27" s="141" customFormat="1" x14ac:dyDescent="0.2">
      <c r="A74" s="156"/>
      <c r="B74" s="148"/>
      <c r="C74" s="149"/>
      <c r="D74" s="145"/>
      <c r="E74" s="151"/>
      <c r="F74" s="145"/>
      <c r="G74" s="145"/>
      <c r="H74" s="145"/>
      <c r="I74" s="145"/>
      <c r="J74" s="145"/>
      <c r="K74" s="145"/>
      <c r="L74" s="145"/>
      <c r="M74" s="145"/>
      <c r="N74" s="145"/>
      <c r="O74" s="145"/>
      <c r="P74" s="145"/>
      <c r="Q74" s="145"/>
      <c r="R74" s="145" t="str">
        <f>IF($E74="","",
 IF($W74=1, $E74,
 IF($W74=2,
    IF(OR(UPPER($G74)="GSD", AND($H74&lt;&gt;"", ISNUMBER($H74))),
       LN(ABS($E74)),
       IF(OR(UPPER($G74)="95%", AND($P74&gt;0, $Q74&gt;0)),
          (LN($P74)+LN($Q74))/2,
          ""
       )
    ),
 IF($W74=3, $E74,
 IF($W74=4, "",
 IF($W74=5, $E74, ""))))))</f>
        <v/>
      </c>
      <c r="S74" s="145" t="str">
        <f>IF($E74="","",
 IF($W74=1, "",
 IF($W74=2,
    IF(OR(UPPER($G74)="GSD", AND($H74&lt;&gt;"", ISNUMBER($H74))),
       LN($H74),
       IF(OR(UPPER($G74)="95%", AND($P74&gt;0, $Q74&gt;0)),
          LN($Q74/$P74)/(2*$X$3),
          ""
       )
    ),
 IF($W74=3, $I74, ""))))</f>
        <v/>
      </c>
      <c r="T74" s="145" t="str">
        <f>""</f>
        <v/>
      </c>
      <c r="U74" s="145" t="str">
        <f>IF($E74="","",
 IF(OR($W74=5,$W74=4),
    IF($J74&lt;&gt;"",$J74,
       IF(ISNUMBER($O74),
          IF($E74&gt;=0,$E74*(1-$O74),$E74*(1+$O74)),
          IF(OR($L74=TRUE, UPPER($L74)="YES", UPPER($L74)="TRUE", $L74=1),
             IF($E74&gt;=0,$E74*(1-$M74),$E74*(1+$M74)),
             IF(AND($E74&lt;0,$K74="", $O74="", NOT(OR($L74=TRUE, UPPER($L74)="YES", UPPER($L74)="TRUE", $L74=1))),
                2*$E74,
                ""
             )
          )
       )
    ),
    ""
 ))</f>
        <v/>
      </c>
      <c r="V74" s="145" t="str">
        <f>IF($E74="","",
 IF(OR($W74=5,$W74=4),
    IF($K74&lt;&gt;"",$K74,
       IF(ISNUMBER($O74),
          IF($E74&gt;=0,$E74*(1+$O74),$E74*(1-$O74)),
          IF(OR($L74=TRUE, UPPER($L74)="YES", UPPER($L74)="TRUE", $L74=1),
             IF($E74&gt;=0,$E74*(1+$N74),$E74*(1-$N74)),
             IF(AND($E74&lt;0,$J74="", $O74="", NOT(OR($L74=TRUE, UPPER($L74)="YES", UPPER($L74)="TRUE", $L74=1))),
                0,
                ""
             )
          )
       )
    ),
    ""
 ))</f>
        <v/>
      </c>
      <c r="W74" s="150">
        <f t="shared" ref="W74:W129" si="23">IFERROR(VALUE(LEFT($F74, FIND(" ", $F74&amp;" ")-1)),
 IFERROR(VALUE(LEFT($F74, FIND("-", $F74&amp;"-")-1)),
 IFERROR($F74, NA())))</f>
        <v>0</v>
      </c>
      <c r="X74" s="150">
        <f t="shared" ref="X74:X129" si="24">_xlfn.NORM.S.INV(0.975)</f>
        <v>1.9599639845400536</v>
      </c>
      <c r="Y74" s="150" t="str">
        <f>IF($E74="","",
 IF($W74=2,
    IF(OR(UPPER($G74)="GSD", AND($H74&lt;&gt;"", ISNUMBER($H74))),
       $E74*EXP(-$X$3*LN($H74)),
       IF($P74&gt;0, $P74, "")
    ),
    ""
 ))</f>
        <v/>
      </c>
      <c r="Z74" s="150" t="str">
        <f>IF($E74="","",
 IF($W74=2,
    IF(OR(UPPER($G74)="GSD", AND($H74&lt;&gt;"", ISNUMBER($H74))),
       $E74*EXP($X$3*LN($H74)),
       IF($Q74&gt;0, $Q74, "")
    ),
    ""
 ))</f>
        <v/>
      </c>
      <c r="AA74" s="150" t="str">
        <f>IF($E74="","",
 IF(AND($W74=2, $P74&gt;0, $Q74&gt;0),
    EXP(LN($Q74/$P74)/(2*$X$3)),
    ""
 ))</f>
        <v/>
      </c>
    </row>
    <row r="75" spans="1:27" s="141" customFormat="1" x14ac:dyDescent="0.2">
      <c r="A75" s="157"/>
      <c r="B75" s="148"/>
      <c r="C75" s="149"/>
      <c r="D75" s="145"/>
      <c r="E75" s="151"/>
      <c r="F75" s="145"/>
      <c r="G75" s="145"/>
      <c r="H75" s="145"/>
      <c r="I75" s="145"/>
      <c r="J75" s="145"/>
      <c r="K75" s="145"/>
      <c r="L75" s="145" t="b">
        <v>1</v>
      </c>
      <c r="M75" s="145">
        <f t="shared" ref="M75" si="25">1.5-1</f>
        <v>0.5</v>
      </c>
      <c r="N75" s="145">
        <f>1-(1/1.5)</f>
        <v>0.33333333333333337</v>
      </c>
      <c r="O75" s="145"/>
      <c r="P75" s="145"/>
      <c r="Q75" s="145"/>
      <c r="R75" s="145"/>
      <c r="S75" s="145" t="str">
        <f>IF($E75="","",
 IF($W75=1, "",
 IF($W75=2,
    IF(OR(UPPER($G75)="GSD", AND($H75&lt;&gt;"", ISNUMBER($H75))),
       LN($H75),
       IF(OR(UPPER($G75)="95%", AND($P75&gt;0, $Q75&gt;0)),
          LN($Q75/$P75)/(2*$X$3),
          ""
       )
    ),
 IF($W75=3, $I75, ""))))</f>
        <v/>
      </c>
      <c r="T75" s="145" t="str">
        <f>""</f>
        <v/>
      </c>
      <c r="U75" s="145" t="str">
        <f>IF($E75="","",
 IF(OR($W75=5,$W75=4),
    IF($J75&lt;&gt;"",$J75,
       IF(ISNUMBER($O75),
          IF($E75&gt;=0,$E75*(1-$O75),$E75*(1+$O75)),
          IF(OR($L75=TRUE, UPPER($L75)="YES", UPPER($L75)="TRUE", $L75=1),
             IF($E75&gt;=0,$E75*(1-$M75),$E75*(1+$M75)),
             IF(AND($E75&lt;0,$K75="", $O75="", NOT(OR($L75=TRUE, UPPER($L75)="YES", UPPER($L75)="TRUE", $L75=1))),
                2*$E75,
                ""
             )
          )
       )
    ),
    ""
 ))</f>
        <v/>
      </c>
      <c r="V75" s="145" t="str">
        <f>IF($E75="","",
 IF(OR($W75=5,$W75=4),
    IF($K75&lt;&gt;"",$K75,
       IF(ISNUMBER($O75),
          IF($E75&gt;=0,$E75*(1+$O75),$E75*(1-$O75)),
          IF(OR($L75=TRUE, UPPER($L75)="YES", UPPER($L75)="TRUE", $L75=1),
             IF($E75&gt;=0,$E75*(1+$N75),$E75*(1-$N75)),
             IF(AND($E75&lt;0,$J75="", $O75="", NOT(OR($L75=TRUE, UPPER($L75)="YES", UPPER($L75)="TRUE", $L75=1))),
                0,
                ""
             )
          )
       )
    ),
    ""
 ))</f>
        <v/>
      </c>
      <c r="W75" s="150">
        <f t="shared" si="23"/>
        <v>0</v>
      </c>
      <c r="X75" s="150">
        <f t="shared" si="24"/>
        <v>1.9599639845400536</v>
      </c>
      <c r="Y75" s="150" t="str">
        <f>IF($E75="","",
 IF($W75=2,
    IF(OR(UPPER($G75)="GSD", AND($H75&lt;&gt;"", ISNUMBER($H75))),
       $E75*EXP(-$X$3*LN($H75)),
       IF($P75&gt;0, $P75, "")
    ),
    ""
 ))</f>
        <v/>
      </c>
      <c r="Z75" s="150" t="str">
        <f>IF($E75="","",
 IF($W75=2,
    IF(OR(UPPER($G75)="GSD", AND($H75&lt;&gt;"", ISNUMBER($H75))),
       $E75*EXP($X$3*LN($H75)),
       IF($Q75&gt;0, $Q75, "")
    ),
    ""
 ))</f>
        <v/>
      </c>
      <c r="AA75" s="150" t="str">
        <f>IF($E75="","",
 IF(AND($W75=2, $P75&gt;0, $Q75&gt;0),
    EXP(LN($Q75/$P75)/(2*$X$3)),
    ""
 ))</f>
        <v/>
      </c>
    </row>
    <row r="76" spans="1:27" s="141" customFormat="1" x14ac:dyDescent="0.2">
      <c r="A76" s="185" t="s">
        <v>338</v>
      </c>
      <c r="B76" s="148"/>
      <c r="C76" s="149"/>
      <c r="D76" s="145"/>
      <c r="E76" s="151"/>
      <c r="F76" s="145"/>
      <c r="G76" s="145"/>
      <c r="H76" s="145"/>
      <c r="I76" s="145"/>
      <c r="J76" s="145"/>
      <c r="K76" s="145"/>
      <c r="L76" s="145"/>
      <c r="M76" s="145"/>
      <c r="N76" s="145"/>
      <c r="O76" s="145"/>
      <c r="P76" s="145"/>
      <c r="Q76" s="145"/>
      <c r="R76" s="145" t="str">
        <f>IF($E76="","",
 IF($W76=1, $E76,
 IF($W76=2,
    IF(OR(UPPER($G76)="GSD", AND($H76&lt;&gt;"", ISNUMBER($H76))),
       LN(ABS($E76)),
       IF(OR(UPPER($G76)="95%", AND($P76&gt;0, $Q76&gt;0)),
          (LN($P76)+LN($Q76))/2,
          ""
       )
    ),
 IF($W76=3, $E76,
 IF($W76=4, "",
 IF($W76=5, $E76, ""))))))</f>
        <v/>
      </c>
      <c r="S76" s="145" t="str">
        <f>IF($E76="","",
 IF($W76=1, "",
 IF($W76=2,
    IF(OR(UPPER($G76)="GSD", AND($H76&lt;&gt;"", ISNUMBER($H76))),
       LN($H76),
       IF(OR(UPPER($G76)="95%", AND($P76&gt;0, $Q76&gt;0)),
          LN($Q76/$P76)/(2*$X$3),
          ""
       )
    ),
 IF($W76=3, $I76, ""))))</f>
        <v/>
      </c>
      <c r="T76" s="145" t="str">
        <f>""</f>
        <v/>
      </c>
      <c r="U76" s="145" t="str">
        <f>IF($E76="","",
 IF(OR($W76=5,$W76=4),
    IF($J76&lt;&gt;"",$J76,
       IF(ISNUMBER($O76),
          IF($E76&gt;=0,$E76*(1-$O76),$E76*(1+$O76)),
          IF(OR($L76=TRUE, UPPER($L76)="YES", UPPER($L76)="TRUE", $L76=1),
             IF($E76&gt;=0,$E76*(1-$M76),$E76*(1+$M76)),
             IF(AND($E76&lt;0,$K76="", $O76="", NOT(OR($L76=TRUE, UPPER($L76)="YES", UPPER($L76)="TRUE", $L76=1))),
                2*$E76,
                ""
             )
          )
       )
    ),
    ""
 ))</f>
        <v/>
      </c>
      <c r="V76" s="145" t="str">
        <f>IF($E76="","",
 IF(OR($W76=5,$W76=4),
    IF($K76&lt;&gt;"",$K76,
       IF(ISNUMBER($O76),
          IF($E76&gt;=0,$E76*(1+$O76),$E76*(1-$O76)),
          IF(OR($L76=TRUE, UPPER($L76)="YES", UPPER($L76)="TRUE", $L76=1),
             IF($E76&gt;=0,$E76*(1+$N76),$E76*(1-$N76)),
             IF(AND($E76&lt;0,$J76="", $O76="", NOT(OR($L76=TRUE, UPPER($L76)="YES", UPPER($L76)="TRUE", $L76=1))),
                0,
                ""
             )
          )
       )
    ),
    ""
 ))</f>
        <v/>
      </c>
      <c r="W76" s="150">
        <f t="shared" si="23"/>
        <v>0</v>
      </c>
      <c r="X76" s="150">
        <f t="shared" si="24"/>
        <v>1.9599639845400536</v>
      </c>
      <c r="Y76" s="150" t="str">
        <f>IF($E76="","",
 IF($W76=2,
    IF(OR(UPPER($G76)="GSD", AND($H76&lt;&gt;"", ISNUMBER($H76))),
       $E76*EXP(-$X$3*LN($H76)),
       IF($P76&gt;0, $P76, "")
    ),
    ""
 ))</f>
        <v/>
      </c>
      <c r="Z76" s="150" t="str">
        <f>IF($E76="","",
 IF($W76=2,
    IF(OR(UPPER($G76)="GSD", AND($H76&lt;&gt;"", ISNUMBER($H76))),
       $E76*EXP($X$3*LN($H76)),
       IF($Q76&gt;0, $Q76, "")
    ),
    ""
 ))</f>
        <v/>
      </c>
      <c r="AA76" s="150" t="str">
        <f>IF($E76="","",
 IF(AND($W76=2, $P76&gt;0, $Q76&gt;0),
    EXP(LN($Q76/$P76)/(2*$X$3)),
    ""
 ))</f>
        <v/>
      </c>
    </row>
    <row r="77" spans="1:27" s="141" customFormat="1" x14ac:dyDescent="0.2">
      <c r="A77" s="145"/>
      <c r="B77" s="148"/>
      <c r="C77" s="149"/>
      <c r="D77" s="145"/>
      <c r="E77" s="151"/>
      <c r="F77" s="145"/>
      <c r="G77" s="145"/>
      <c r="H77" s="145"/>
      <c r="I77" s="145"/>
      <c r="J77" s="145"/>
      <c r="K77" s="145"/>
      <c r="L77" s="145"/>
      <c r="M77" s="145"/>
      <c r="N77" s="145"/>
      <c r="O77" s="145"/>
      <c r="P77" s="145"/>
      <c r="Q77" s="145"/>
      <c r="R77" s="145" t="str">
        <f>IF($E77="","",
 IF($W77=1, $E77,
 IF($W77=2,
    IF(OR(UPPER($G77)="GSD", AND($H77&lt;&gt;"", ISNUMBER($H77))),
       LN(ABS($E77)),
       IF(OR(UPPER($G77)="95%", AND($P77&gt;0, $Q77&gt;0)),
          (LN($P77)+LN($Q77))/2,
          ""
       )
    ),
 IF($W77=3, $E77,
 IF($W77=4, "",
 IF($W77=5, $E77, ""))))))</f>
        <v/>
      </c>
      <c r="S77" s="145" t="str">
        <f>IF($E77="","",
 IF($W77=1, "",
 IF($W77=2,
    IF(OR(UPPER($G77)="GSD", AND($H77&lt;&gt;"", ISNUMBER($H77))),
       LN($H77),
       IF(OR(UPPER($G77)="95%", AND($P77&gt;0, $Q77&gt;0)),
          LN($Q77/$P77)/(2*$X$3),
          ""
       )
    ),
 IF($W77=3, $I77, ""))))</f>
        <v/>
      </c>
      <c r="T77" s="145" t="str">
        <f>""</f>
        <v/>
      </c>
      <c r="U77" s="145" t="str">
        <f>IF($E77="","",
 IF(OR($W77=5,$W77=4),
    IF($J77&lt;&gt;"",$J77,
       IF(ISNUMBER($O77),
          IF($E77&gt;=0,$E77*(1-$O77),$E77*(1+$O77)),
          IF(OR($L77=TRUE, UPPER($L77)="YES", UPPER($L77)="TRUE", $L77=1),
             IF($E77&gt;=0,$E77*(1-$M77),$E77*(1+$M77)),
             IF(AND($E77&lt;0,$K77="", $O77="", NOT(OR($L77=TRUE, UPPER($L77)="YES", UPPER($L77)="TRUE", $L77=1))),
                2*$E77,
                ""
             )
          )
       )
    ),
    ""
 ))</f>
        <v/>
      </c>
      <c r="V77" s="145" t="str">
        <f>IF($E77="","",
 IF(OR($W77=5,$W77=4),
    IF($K77&lt;&gt;"",$K77,
       IF(ISNUMBER($O77),
          IF($E77&gt;=0,$E77*(1+$O77),$E77*(1-$O77)),
          IF(OR($L77=TRUE, UPPER($L77)="YES", UPPER($L77)="TRUE", $L77=1),
             IF($E77&gt;=0,$E77*(1+$N77),$E77*(1-$N77)),
             IF(AND($E77&lt;0,$J77="", $O77="", NOT(OR($L77=TRUE, UPPER($L77)="YES", UPPER($L77)="TRUE", $L77=1))),
                0,
                ""
             )
          )
       )
    ),
    ""
 ))</f>
        <v/>
      </c>
      <c r="W77" s="150">
        <f t="shared" si="23"/>
        <v>0</v>
      </c>
      <c r="X77" s="150">
        <f t="shared" si="24"/>
        <v>1.9599639845400536</v>
      </c>
      <c r="Y77" s="150" t="str">
        <f>IF($E77="","",
 IF($W77=2,
    IF(OR(UPPER($G77)="GSD", AND($H77&lt;&gt;"", ISNUMBER($H77))),
       $E77*EXP(-$X$3*LN($H77)),
       IF($P77&gt;0, $P77, "")
    ),
    ""
 ))</f>
        <v/>
      </c>
      <c r="Z77" s="150" t="str">
        <f>IF($E77="","",
 IF($W77=2,
    IF(OR(UPPER($G77)="GSD", AND($H77&lt;&gt;"", ISNUMBER($H77))),
       $E77*EXP($X$3*LN($H77)),
       IF($Q77&gt;0, $Q77, "")
    ),
    ""
 ))</f>
        <v/>
      </c>
      <c r="AA77" s="150" t="str">
        <f>IF($E77="","",
 IF(AND($W77=2, $P77&gt;0, $Q77&gt;0),
    EXP(LN($Q77/$P77)/(2*$X$3)),
    ""
 ))</f>
        <v/>
      </c>
    </row>
    <row r="78" spans="1:27" s="141" customFormat="1" x14ac:dyDescent="0.2">
      <c r="A78" s="145"/>
      <c r="B78" s="148"/>
      <c r="C78" s="149"/>
      <c r="D78" s="145"/>
      <c r="E78" s="151"/>
      <c r="F78" s="145"/>
      <c r="G78" s="145"/>
      <c r="H78" s="145"/>
      <c r="I78" s="145"/>
      <c r="J78" s="145"/>
      <c r="K78" s="145"/>
      <c r="L78" s="145"/>
      <c r="M78" s="145"/>
      <c r="N78" s="145"/>
      <c r="O78" s="145"/>
      <c r="P78" s="145"/>
      <c r="Q78" s="145"/>
      <c r="R78" s="145" t="str">
        <f>IF($E78="","",
 IF($W78=1, $E78,
 IF($W78=2,
    IF(OR(UPPER($G78)="GSD", AND($H78&lt;&gt;"", ISNUMBER($H78))),
       LN(ABS($E78)),
       IF(OR(UPPER($G78)="95%", AND($P78&gt;0, $Q78&gt;0)),
          (LN($P78)+LN($Q78))/2,
          ""
       )
    ),
 IF($W78=3, $E78,
 IF($W78=4, "",
 IF($W78=5, $E78, ""))))))</f>
        <v/>
      </c>
      <c r="S78" s="145" t="str">
        <f>IF($E78="","",
 IF($W78=1, "",
 IF($W78=2,
    IF(OR(UPPER($G78)="GSD", AND($H78&lt;&gt;"", ISNUMBER($H78))),
       LN($H78),
       IF(OR(UPPER($G78)="95%", AND($P78&gt;0, $Q78&gt;0)),
          LN($Q78/$P78)/(2*$X$3),
          ""
       )
    ),
 IF($W78=3, $I78, ""))))</f>
        <v/>
      </c>
      <c r="T78" s="145" t="str">
        <f>""</f>
        <v/>
      </c>
      <c r="U78" s="145" t="str">
        <f>IF($E78="","",
 IF(OR($W78=5,$W78=4),
    IF($J78&lt;&gt;"",$J78,
       IF(ISNUMBER($O78),
          IF($E78&gt;=0,$E78*(1-$O78),$E78*(1+$O78)),
          IF(OR($L78=TRUE, UPPER($L78)="YES", UPPER($L78)="TRUE", $L78=1),
             IF($E78&gt;=0,$E78*(1-$M78),$E78*(1+$M78)),
             IF(AND($E78&lt;0,$K78="", $O78="", NOT(OR($L78=TRUE, UPPER($L78)="YES", UPPER($L78)="TRUE", $L78=1))),
                2*$E78,
                ""
             )
          )
       )
    ),
    ""
 ))</f>
        <v/>
      </c>
      <c r="V78" s="145" t="str">
        <f>IF($E78="","",
 IF(OR($W78=5,$W78=4),
    IF($K78&lt;&gt;"",$K78,
       IF(ISNUMBER($O78),
          IF($E78&gt;=0,$E78*(1+$O78),$E78*(1-$O78)),
          IF(OR($L78=TRUE, UPPER($L78)="YES", UPPER($L78)="TRUE", $L78=1),
             IF($E78&gt;=0,$E78*(1+$N78),$E78*(1-$N78)),
             IF(AND($E78&lt;0,$J78="", $O78="", NOT(OR($L78=TRUE, UPPER($L78)="YES", UPPER($L78)="TRUE", $L78=1))),
                0,
                ""
             )
          )
       )
    ),
    ""
 ))</f>
        <v/>
      </c>
      <c r="W78" s="150">
        <f t="shared" si="23"/>
        <v>0</v>
      </c>
      <c r="X78" s="150">
        <f t="shared" si="24"/>
        <v>1.9599639845400536</v>
      </c>
      <c r="Y78" s="150" t="str">
        <f>IF($E78="","",
 IF($W78=2,
    IF(OR(UPPER($G78)="GSD", AND($H78&lt;&gt;"", ISNUMBER($H78))),
       $E78*EXP(-$X$3*LN($H78)),
       IF($P78&gt;0, $P78, "")
    ),
    ""
 ))</f>
        <v/>
      </c>
      <c r="Z78" s="150" t="str">
        <f>IF($E78="","",
 IF($W78=2,
    IF(OR(UPPER($G78)="GSD", AND($H78&lt;&gt;"", ISNUMBER($H78))),
       $E78*EXP($X$3*LN($H78)),
       IF($Q78&gt;0, $Q78, "")
    ),
    ""
 ))</f>
        <v/>
      </c>
      <c r="AA78" s="150" t="str">
        <f>IF($E78="","",
 IF(AND($W78=2, $P78&gt;0, $Q78&gt;0),
    EXP(LN($Q78/$P78)/(2*$X$3)),
    ""
 ))</f>
        <v/>
      </c>
    </row>
    <row r="79" spans="1:27" s="141" customFormat="1" x14ac:dyDescent="0.2">
      <c r="A79" s="156"/>
      <c r="B79" s="148"/>
      <c r="C79" s="149"/>
      <c r="D79" s="145"/>
      <c r="E79" s="151"/>
      <c r="F79" s="145"/>
      <c r="G79" s="145"/>
      <c r="H79" s="145"/>
      <c r="I79" s="145"/>
      <c r="J79" s="145"/>
      <c r="K79" s="145"/>
      <c r="L79" s="145"/>
      <c r="M79" s="145"/>
      <c r="N79" s="145"/>
      <c r="O79" s="145"/>
      <c r="P79" s="145"/>
      <c r="Q79" s="145"/>
      <c r="R79" s="145"/>
      <c r="S79" s="145"/>
      <c r="T79" s="145"/>
      <c r="U79" s="145"/>
      <c r="V79" s="145"/>
      <c r="W79" s="150"/>
      <c r="X79" s="150"/>
      <c r="Y79" s="150"/>
      <c r="Z79" s="150"/>
      <c r="AA79" s="150"/>
    </row>
    <row r="80" spans="1:27" s="141" customFormat="1" x14ac:dyDescent="0.2">
      <c r="A80" s="156"/>
      <c r="B80" s="148"/>
      <c r="C80" s="149"/>
      <c r="D80" s="145"/>
      <c r="E80" s="151"/>
      <c r="F80" s="145"/>
      <c r="G80" s="145"/>
      <c r="H80" s="145"/>
      <c r="I80" s="145"/>
      <c r="J80" s="145"/>
      <c r="K80" s="145"/>
      <c r="L80" s="145"/>
      <c r="M80" s="145"/>
      <c r="N80" s="145"/>
      <c r="O80" s="145"/>
      <c r="P80" s="145"/>
      <c r="Q80" s="145"/>
      <c r="R80" s="145"/>
      <c r="S80" s="145"/>
      <c r="T80" s="145"/>
      <c r="U80" s="145"/>
      <c r="V80" s="145"/>
      <c r="W80" s="150"/>
      <c r="X80" s="150"/>
      <c r="Y80" s="150"/>
      <c r="Z80" s="150"/>
      <c r="AA80" s="150"/>
    </row>
    <row r="81" spans="1:27" s="141" customFormat="1" x14ac:dyDescent="0.2">
      <c r="A81" s="156"/>
      <c r="B81" s="148"/>
      <c r="C81" s="149"/>
      <c r="D81" s="145"/>
      <c r="E81" s="151"/>
      <c r="F81" s="145"/>
      <c r="G81" s="145"/>
      <c r="H81" s="145"/>
      <c r="I81" s="145"/>
      <c r="J81" s="145"/>
      <c r="K81" s="145"/>
      <c r="L81" s="145"/>
      <c r="M81" s="145"/>
      <c r="N81" s="145"/>
      <c r="O81" s="145"/>
      <c r="P81" s="145"/>
      <c r="Q81" s="145"/>
      <c r="R81" s="145"/>
      <c r="S81" s="145"/>
      <c r="T81" s="145"/>
      <c r="U81" s="145"/>
      <c r="V81" s="145"/>
      <c r="W81" s="150"/>
      <c r="X81" s="150"/>
      <c r="Y81" s="150"/>
      <c r="Z81" s="150"/>
      <c r="AA81" s="150"/>
    </row>
    <row r="82" spans="1:27" s="141" customFormat="1" x14ac:dyDescent="0.2">
      <c r="A82" s="145"/>
      <c r="B82" s="148"/>
      <c r="C82" s="149"/>
      <c r="D82" s="145"/>
      <c r="E82" s="151"/>
      <c r="F82" s="145"/>
      <c r="G82" s="145"/>
      <c r="H82" s="145"/>
      <c r="I82" s="145"/>
      <c r="J82" s="145"/>
      <c r="K82" s="145"/>
      <c r="L82" s="145"/>
      <c r="M82" s="145"/>
      <c r="N82" s="145"/>
      <c r="O82" s="145"/>
      <c r="P82" s="145"/>
      <c r="Q82" s="145"/>
      <c r="R82" s="145" t="str">
        <f t="shared" ref="R82:R113" si="26">IF($E82="","",
 IF($W82=1, $E82,
 IF($W82=2,
    IF(OR(UPPER($G82)="GSD", AND($H82&lt;&gt;"", ISNUMBER($H82))),
       LN(ABS($E82)),
       IF(OR(UPPER($G82)="95%", AND($P82&gt;0, $Q82&gt;0)),
          (LN($P82)+LN($Q82))/2,
          ""
       )
    ),
 IF($W82=3, $E82,
 IF($W82=4, "",
 IF($W82=5, $E82, ""))))))</f>
        <v/>
      </c>
      <c r="S82" s="145" t="str">
        <f t="shared" ref="S82:S113" si="27">IF($E82="","",
 IF($W82=1, "",
 IF($W82=2,
    IF(OR(UPPER($G82)="GSD", AND($H82&lt;&gt;"", ISNUMBER($H82))),
       LN($H82),
       IF(OR(UPPER($G82)="95%", AND($P82&gt;0, $Q82&gt;0)),
          LN($Q82/$P82)/(2*$X$3),
          ""
       )
    ),
 IF($W82=3, $I82, ""))))</f>
        <v/>
      </c>
      <c r="T82" s="145" t="str">
        <f>""</f>
        <v/>
      </c>
      <c r="U82" s="145" t="str">
        <f t="shared" ref="U82:U113" si="28">IF($E82="","",
 IF(OR($W82=5,$W82=4),
    IF($J82&lt;&gt;"",$J82,
       IF(ISNUMBER($O82),
          IF($E82&gt;=0,$E82*(1-$O82),$E82*(1+$O82)),
          IF(OR($L82=TRUE, UPPER($L82)="YES", UPPER($L82)="TRUE", $L82=1),
             IF($E82&gt;=0,$E82*(1-$M82),$E82*(1+$M82)),
             IF(AND($E82&lt;0,$K82="", $O82="", NOT(OR($L82=TRUE, UPPER($L82)="YES", UPPER($L82)="TRUE", $L82=1))),
                2*$E82,
                ""
             )
          )
       )
    ),
    ""
 ))</f>
        <v/>
      </c>
      <c r="V82" s="145" t="str">
        <f t="shared" ref="V82:V113" si="29">IF($E82="","",
 IF(OR($W82=5,$W82=4),
    IF($K82&lt;&gt;"",$K82,
       IF(ISNUMBER($O82),
          IF($E82&gt;=0,$E82*(1+$O82),$E82*(1-$O82)),
          IF(OR($L82=TRUE, UPPER($L82)="YES", UPPER($L82)="TRUE", $L82=1),
             IF($E82&gt;=0,$E82*(1+$N82),$E82*(1-$N82)),
             IF(AND($E82&lt;0,$J82="", $O82="", NOT(OR($L82=TRUE, UPPER($L82)="YES", UPPER($L82)="TRUE", $L82=1))),
                0,
                ""
             )
          )
       )
    ),
    ""
 ))</f>
        <v/>
      </c>
      <c r="W82" s="150">
        <f t="shared" si="23"/>
        <v>0</v>
      </c>
      <c r="X82" s="150">
        <f t="shared" si="24"/>
        <v>1.9599639845400536</v>
      </c>
      <c r="Y82" s="150" t="str">
        <f t="shared" ref="Y82:Y113" si="30">IF($E82="","",
 IF($W82=2,
    IF(OR(UPPER($G82)="GSD", AND($H82&lt;&gt;"", ISNUMBER($H82))),
       $E82*EXP(-$X$3*LN($H82)),
       IF($P82&gt;0, $P82, "")
    ),
    ""
 ))</f>
        <v/>
      </c>
      <c r="Z82" s="150" t="str">
        <f t="shared" ref="Z82:Z113" si="31">IF($E82="","",
 IF($W82=2,
    IF(OR(UPPER($G82)="GSD", AND($H82&lt;&gt;"", ISNUMBER($H82))),
       $E82*EXP($X$3*LN($H82)),
       IF($Q82&gt;0, $Q82, "")
    ),
    ""
 ))</f>
        <v/>
      </c>
      <c r="AA82" s="150" t="str">
        <f t="shared" ref="AA82:AA113" si="32">IF($E82="","",
 IF(AND($W82=2, $P82&gt;0, $Q82&gt;0),
    EXP(LN($Q82/$P82)/(2*$X$3)),
    ""
 ))</f>
        <v/>
      </c>
    </row>
    <row r="83" spans="1:27" s="141" customFormat="1" x14ac:dyDescent="0.2">
      <c r="A83" s="145"/>
      <c r="B83" s="148"/>
      <c r="C83" s="149"/>
      <c r="D83" s="145"/>
      <c r="E83" s="151"/>
      <c r="F83" s="145"/>
      <c r="G83" s="145"/>
      <c r="H83" s="145"/>
      <c r="I83" s="145"/>
      <c r="J83" s="145"/>
      <c r="K83" s="145"/>
      <c r="L83" s="145"/>
      <c r="M83" s="145"/>
      <c r="N83" s="145"/>
      <c r="O83" s="145"/>
      <c r="P83" s="145"/>
      <c r="Q83" s="145"/>
      <c r="R83" s="145" t="str">
        <f t="shared" si="26"/>
        <v/>
      </c>
      <c r="S83" s="145" t="str">
        <f t="shared" si="27"/>
        <v/>
      </c>
      <c r="T83" s="145" t="str">
        <f>""</f>
        <v/>
      </c>
      <c r="U83" s="145" t="str">
        <f t="shared" si="28"/>
        <v/>
      </c>
      <c r="V83" s="145" t="str">
        <f t="shared" si="29"/>
        <v/>
      </c>
      <c r="W83" s="150">
        <f t="shared" si="23"/>
        <v>0</v>
      </c>
      <c r="X83" s="150">
        <f t="shared" si="24"/>
        <v>1.9599639845400536</v>
      </c>
      <c r="Y83" s="150" t="str">
        <f t="shared" si="30"/>
        <v/>
      </c>
      <c r="Z83" s="150" t="str">
        <f t="shared" si="31"/>
        <v/>
      </c>
      <c r="AA83" s="150" t="str">
        <f t="shared" si="32"/>
        <v/>
      </c>
    </row>
    <row r="84" spans="1:27" s="141" customFormat="1" x14ac:dyDescent="0.2">
      <c r="A84" s="145"/>
      <c r="B84" s="148"/>
      <c r="C84" s="149"/>
      <c r="D84" s="145"/>
      <c r="E84" s="151"/>
      <c r="F84" s="145"/>
      <c r="G84" s="145"/>
      <c r="H84" s="145"/>
      <c r="I84" s="145"/>
      <c r="J84" s="145"/>
      <c r="K84" s="145"/>
      <c r="L84" s="145"/>
      <c r="M84" s="145"/>
      <c r="N84" s="145"/>
      <c r="O84" s="145"/>
      <c r="P84" s="145"/>
      <c r="Q84" s="145"/>
      <c r="R84" s="145" t="str">
        <f t="shared" si="26"/>
        <v/>
      </c>
      <c r="S84" s="145" t="str">
        <f t="shared" si="27"/>
        <v/>
      </c>
      <c r="T84" s="145" t="str">
        <f>""</f>
        <v/>
      </c>
      <c r="U84" s="145" t="str">
        <f t="shared" si="28"/>
        <v/>
      </c>
      <c r="V84" s="145" t="str">
        <f t="shared" si="29"/>
        <v/>
      </c>
      <c r="W84" s="150">
        <f t="shared" si="23"/>
        <v>0</v>
      </c>
      <c r="X84" s="150">
        <f t="shared" si="24"/>
        <v>1.9599639845400536</v>
      </c>
      <c r="Y84" s="150" t="str">
        <f t="shared" si="30"/>
        <v/>
      </c>
      <c r="Z84" s="150" t="str">
        <f t="shared" si="31"/>
        <v/>
      </c>
      <c r="AA84" s="150" t="str">
        <f t="shared" si="32"/>
        <v/>
      </c>
    </row>
    <row r="85" spans="1:27" s="141" customFormat="1" x14ac:dyDescent="0.2">
      <c r="A85" s="145"/>
      <c r="B85" s="148"/>
      <c r="C85" s="149"/>
      <c r="D85" s="145"/>
      <c r="E85" s="151"/>
      <c r="F85" s="145"/>
      <c r="G85" s="145"/>
      <c r="H85" s="145"/>
      <c r="I85" s="145"/>
      <c r="J85" s="145"/>
      <c r="K85" s="145"/>
      <c r="L85" s="145"/>
      <c r="M85" s="145"/>
      <c r="N85" s="145"/>
      <c r="O85" s="145"/>
      <c r="P85" s="145"/>
      <c r="Q85" s="145"/>
      <c r="R85" s="145" t="str">
        <f t="shared" si="26"/>
        <v/>
      </c>
      <c r="S85" s="145" t="str">
        <f t="shared" si="27"/>
        <v/>
      </c>
      <c r="T85" s="145" t="str">
        <f>""</f>
        <v/>
      </c>
      <c r="U85" s="145" t="str">
        <f t="shared" si="28"/>
        <v/>
      </c>
      <c r="V85" s="145" t="str">
        <f t="shared" si="29"/>
        <v/>
      </c>
      <c r="W85" s="150">
        <f t="shared" si="23"/>
        <v>0</v>
      </c>
      <c r="X85" s="150">
        <f t="shared" si="24"/>
        <v>1.9599639845400536</v>
      </c>
      <c r="Y85" s="150" t="str">
        <f t="shared" si="30"/>
        <v/>
      </c>
      <c r="Z85" s="150" t="str">
        <f t="shared" si="31"/>
        <v/>
      </c>
      <c r="AA85" s="150" t="str">
        <f t="shared" si="32"/>
        <v/>
      </c>
    </row>
    <row r="86" spans="1:27" s="141" customFormat="1" x14ac:dyDescent="0.2">
      <c r="A86" s="145"/>
      <c r="B86" s="148"/>
      <c r="C86" s="149"/>
      <c r="D86" s="145"/>
      <c r="E86" s="151"/>
      <c r="F86" s="145"/>
      <c r="G86" s="145"/>
      <c r="H86" s="145"/>
      <c r="I86" s="145"/>
      <c r="J86" s="145"/>
      <c r="K86" s="145"/>
      <c r="L86" s="145"/>
      <c r="M86" s="145"/>
      <c r="N86" s="145"/>
      <c r="O86" s="145"/>
      <c r="P86" s="145"/>
      <c r="Q86" s="145"/>
      <c r="R86" s="145" t="str">
        <f t="shared" si="26"/>
        <v/>
      </c>
      <c r="S86" s="145" t="str">
        <f t="shared" si="27"/>
        <v/>
      </c>
      <c r="T86" s="145" t="str">
        <f>""</f>
        <v/>
      </c>
      <c r="U86" s="145" t="str">
        <f t="shared" si="28"/>
        <v/>
      </c>
      <c r="V86" s="145" t="str">
        <f t="shared" si="29"/>
        <v/>
      </c>
      <c r="W86" s="150">
        <f t="shared" si="23"/>
        <v>0</v>
      </c>
      <c r="X86" s="150">
        <f t="shared" si="24"/>
        <v>1.9599639845400536</v>
      </c>
      <c r="Y86" s="150" t="str">
        <f t="shared" si="30"/>
        <v/>
      </c>
      <c r="Z86" s="150" t="str">
        <f t="shared" si="31"/>
        <v/>
      </c>
      <c r="AA86" s="150" t="str">
        <f t="shared" si="32"/>
        <v/>
      </c>
    </row>
    <row r="87" spans="1:27" s="141" customFormat="1" x14ac:dyDescent="0.2">
      <c r="A87" s="145"/>
      <c r="B87" s="148"/>
      <c r="C87" s="149"/>
      <c r="D87" s="145"/>
      <c r="E87" s="151"/>
      <c r="F87" s="145"/>
      <c r="G87" s="145"/>
      <c r="H87" s="145"/>
      <c r="I87" s="145"/>
      <c r="J87" s="145"/>
      <c r="K87" s="145"/>
      <c r="L87" s="145"/>
      <c r="M87" s="145"/>
      <c r="N87" s="145"/>
      <c r="O87" s="145"/>
      <c r="P87" s="145"/>
      <c r="Q87" s="145"/>
      <c r="R87" s="145" t="str">
        <f t="shared" si="26"/>
        <v/>
      </c>
      <c r="S87" s="145" t="str">
        <f t="shared" si="27"/>
        <v/>
      </c>
      <c r="T87" s="145" t="str">
        <f>""</f>
        <v/>
      </c>
      <c r="U87" s="145" t="str">
        <f t="shared" si="28"/>
        <v/>
      </c>
      <c r="V87" s="145" t="str">
        <f t="shared" si="29"/>
        <v/>
      </c>
      <c r="W87" s="150">
        <f t="shared" si="23"/>
        <v>0</v>
      </c>
      <c r="X87" s="150">
        <f t="shared" si="24"/>
        <v>1.9599639845400536</v>
      </c>
      <c r="Y87" s="150" t="str">
        <f t="shared" si="30"/>
        <v/>
      </c>
      <c r="Z87" s="150" t="str">
        <f t="shared" si="31"/>
        <v/>
      </c>
      <c r="AA87" s="150" t="str">
        <f t="shared" si="32"/>
        <v/>
      </c>
    </row>
    <row r="88" spans="1:27" s="141" customFormat="1" x14ac:dyDescent="0.2">
      <c r="A88" s="145"/>
      <c r="B88" s="148"/>
      <c r="C88" s="149"/>
      <c r="D88" s="145"/>
      <c r="E88" s="151"/>
      <c r="F88" s="145"/>
      <c r="G88" s="145"/>
      <c r="H88" s="145"/>
      <c r="I88" s="145"/>
      <c r="J88" s="145"/>
      <c r="K88" s="145"/>
      <c r="L88" s="145"/>
      <c r="M88" s="145"/>
      <c r="N88" s="145"/>
      <c r="O88" s="145"/>
      <c r="P88" s="145"/>
      <c r="Q88" s="145"/>
      <c r="R88" s="145" t="str">
        <f t="shared" si="26"/>
        <v/>
      </c>
      <c r="S88" s="145" t="str">
        <f t="shared" si="27"/>
        <v/>
      </c>
      <c r="T88" s="145" t="str">
        <f>""</f>
        <v/>
      </c>
      <c r="U88" s="145" t="str">
        <f t="shared" si="28"/>
        <v/>
      </c>
      <c r="V88" s="145" t="str">
        <f t="shared" si="29"/>
        <v/>
      </c>
      <c r="W88" s="150">
        <f t="shared" si="23"/>
        <v>0</v>
      </c>
      <c r="X88" s="150">
        <f t="shared" si="24"/>
        <v>1.9599639845400536</v>
      </c>
      <c r="Y88" s="150" t="str">
        <f t="shared" si="30"/>
        <v/>
      </c>
      <c r="Z88" s="150" t="str">
        <f t="shared" si="31"/>
        <v/>
      </c>
      <c r="AA88" s="150" t="str">
        <f t="shared" si="32"/>
        <v/>
      </c>
    </row>
    <row r="89" spans="1:27" s="141" customFormat="1" x14ac:dyDescent="0.2">
      <c r="A89" s="145"/>
      <c r="B89" s="148"/>
      <c r="C89" s="149"/>
      <c r="D89" s="145"/>
      <c r="E89" s="151"/>
      <c r="F89" s="145"/>
      <c r="G89" s="145"/>
      <c r="H89" s="145"/>
      <c r="I89" s="145"/>
      <c r="J89" s="145"/>
      <c r="K89" s="145"/>
      <c r="L89" s="145"/>
      <c r="M89" s="145"/>
      <c r="N89" s="145"/>
      <c r="O89" s="145"/>
      <c r="P89" s="145"/>
      <c r="Q89" s="145"/>
      <c r="R89" s="145" t="str">
        <f t="shared" si="26"/>
        <v/>
      </c>
      <c r="S89" s="145" t="str">
        <f t="shared" si="27"/>
        <v/>
      </c>
      <c r="T89" s="145" t="str">
        <f>""</f>
        <v/>
      </c>
      <c r="U89" s="145" t="str">
        <f t="shared" si="28"/>
        <v/>
      </c>
      <c r="V89" s="145" t="str">
        <f t="shared" si="29"/>
        <v/>
      </c>
      <c r="W89" s="150">
        <f t="shared" si="23"/>
        <v>0</v>
      </c>
      <c r="X89" s="150">
        <f t="shared" si="24"/>
        <v>1.9599639845400536</v>
      </c>
      <c r="Y89" s="150" t="str">
        <f t="shared" si="30"/>
        <v/>
      </c>
      <c r="Z89" s="150" t="str">
        <f t="shared" si="31"/>
        <v/>
      </c>
      <c r="AA89" s="150" t="str">
        <f t="shared" si="32"/>
        <v/>
      </c>
    </row>
    <row r="90" spans="1:27" s="141" customFormat="1" x14ac:dyDescent="0.2">
      <c r="A90" s="145"/>
      <c r="B90" s="148"/>
      <c r="C90" s="149"/>
      <c r="D90" s="145"/>
      <c r="E90" s="151"/>
      <c r="F90" s="145"/>
      <c r="G90" s="145"/>
      <c r="H90" s="145"/>
      <c r="I90" s="145"/>
      <c r="J90" s="145"/>
      <c r="K90" s="145"/>
      <c r="L90" s="145"/>
      <c r="M90" s="145"/>
      <c r="N90" s="145"/>
      <c r="O90" s="145"/>
      <c r="P90" s="145"/>
      <c r="Q90" s="145"/>
      <c r="R90" s="145" t="str">
        <f t="shared" si="26"/>
        <v/>
      </c>
      <c r="S90" s="145" t="str">
        <f t="shared" si="27"/>
        <v/>
      </c>
      <c r="T90" s="145" t="str">
        <f>""</f>
        <v/>
      </c>
      <c r="U90" s="145" t="str">
        <f t="shared" si="28"/>
        <v/>
      </c>
      <c r="V90" s="145" t="str">
        <f t="shared" si="29"/>
        <v/>
      </c>
      <c r="W90" s="150">
        <f t="shared" si="23"/>
        <v>0</v>
      </c>
      <c r="X90" s="150">
        <f t="shared" si="24"/>
        <v>1.9599639845400536</v>
      </c>
      <c r="Y90" s="150" t="str">
        <f t="shared" si="30"/>
        <v/>
      </c>
      <c r="Z90" s="150" t="str">
        <f t="shared" si="31"/>
        <v/>
      </c>
      <c r="AA90" s="150" t="str">
        <f t="shared" si="32"/>
        <v/>
      </c>
    </row>
    <row r="91" spans="1:27" s="141" customFormat="1" x14ac:dyDescent="0.2">
      <c r="A91" s="145"/>
      <c r="B91" s="148"/>
      <c r="C91" s="149"/>
      <c r="D91" s="145"/>
      <c r="E91" s="151"/>
      <c r="F91" s="145"/>
      <c r="G91" s="145"/>
      <c r="H91" s="145"/>
      <c r="I91" s="145"/>
      <c r="J91" s="145"/>
      <c r="K91" s="145"/>
      <c r="L91" s="145"/>
      <c r="M91" s="145"/>
      <c r="N91" s="145"/>
      <c r="O91" s="145"/>
      <c r="P91" s="145"/>
      <c r="Q91" s="145"/>
      <c r="R91" s="145" t="str">
        <f t="shared" si="26"/>
        <v/>
      </c>
      <c r="S91" s="145" t="str">
        <f t="shared" si="27"/>
        <v/>
      </c>
      <c r="T91" s="145" t="str">
        <f>""</f>
        <v/>
      </c>
      <c r="U91" s="145" t="str">
        <f t="shared" si="28"/>
        <v/>
      </c>
      <c r="V91" s="145" t="str">
        <f t="shared" si="29"/>
        <v/>
      </c>
      <c r="W91" s="150">
        <f t="shared" si="23"/>
        <v>0</v>
      </c>
      <c r="X91" s="150">
        <f t="shared" si="24"/>
        <v>1.9599639845400536</v>
      </c>
      <c r="Y91" s="150" t="str">
        <f t="shared" si="30"/>
        <v/>
      </c>
      <c r="Z91" s="150" t="str">
        <f t="shared" si="31"/>
        <v/>
      </c>
      <c r="AA91" s="150" t="str">
        <f t="shared" si="32"/>
        <v/>
      </c>
    </row>
    <row r="92" spans="1:27" s="141" customFormat="1" x14ac:dyDescent="0.2">
      <c r="A92" s="145"/>
      <c r="B92" s="148"/>
      <c r="C92" s="149"/>
      <c r="D92" s="145"/>
      <c r="E92" s="151"/>
      <c r="F92" s="145"/>
      <c r="G92" s="145"/>
      <c r="H92" s="145"/>
      <c r="I92" s="145"/>
      <c r="J92" s="145"/>
      <c r="K92" s="145"/>
      <c r="L92" s="145"/>
      <c r="M92" s="145"/>
      <c r="N92" s="145"/>
      <c r="O92" s="145"/>
      <c r="P92" s="145"/>
      <c r="Q92" s="145"/>
      <c r="R92" s="145" t="str">
        <f t="shared" si="26"/>
        <v/>
      </c>
      <c r="S92" s="145" t="str">
        <f t="shared" si="27"/>
        <v/>
      </c>
      <c r="T92" s="145" t="str">
        <f>""</f>
        <v/>
      </c>
      <c r="U92" s="145" t="str">
        <f t="shared" si="28"/>
        <v/>
      </c>
      <c r="V92" s="145" t="str">
        <f t="shared" si="29"/>
        <v/>
      </c>
      <c r="W92" s="150">
        <f t="shared" si="23"/>
        <v>0</v>
      </c>
      <c r="X92" s="150">
        <f t="shared" si="24"/>
        <v>1.9599639845400536</v>
      </c>
      <c r="Y92" s="150" t="str">
        <f t="shared" si="30"/>
        <v/>
      </c>
      <c r="Z92" s="150" t="str">
        <f t="shared" si="31"/>
        <v/>
      </c>
      <c r="AA92" s="150" t="str">
        <f t="shared" si="32"/>
        <v/>
      </c>
    </row>
    <row r="93" spans="1:27" s="141" customFormat="1" x14ac:dyDescent="0.2">
      <c r="A93" s="145"/>
      <c r="B93" s="148"/>
      <c r="C93" s="149"/>
      <c r="D93" s="145"/>
      <c r="E93" s="151"/>
      <c r="F93" s="145"/>
      <c r="G93" s="145"/>
      <c r="H93" s="145"/>
      <c r="I93" s="145"/>
      <c r="J93" s="145"/>
      <c r="K93" s="145"/>
      <c r="L93" s="145"/>
      <c r="M93" s="145"/>
      <c r="N93" s="145"/>
      <c r="O93" s="145"/>
      <c r="P93" s="145"/>
      <c r="Q93" s="145"/>
      <c r="R93" s="145" t="str">
        <f t="shared" si="26"/>
        <v/>
      </c>
      <c r="S93" s="145" t="str">
        <f t="shared" si="27"/>
        <v/>
      </c>
      <c r="T93" s="145" t="str">
        <f>""</f>
        <v/>
      </c>
      <c r="U93" s="145" t="str">
        <f t="shared" si="28"/>
        <v/>
      </c>
      <c r="V93" s="145" t="str">
        <f t="shared" si="29"/>
        <v/>
      </c>
      <c r="W93" s="150">
        <f t="shared" si="23"/>
        <v>0</v>
      </c>
      <c r="X93" s="150">
        <f t="shared" si="24"/>
        <v>1.9599639845400536</v>
      </c>
      <c r="Y93" s="150" t="str">
        <f t="shared" si="30"/>
        <v/>
      </c>
      <c r="Z93" s="150" t="str">
        <f t="shared" si="31"/>
        <v/>
      </c>
      <c r="AA93" s="150" t="str">
        <f t="shared" si="32"/>
        <v/>
      </c>
    </row>
    <row r="94" spans="1:27" s="141" customFormat="1" x14ac:dyDescent="0.2">
      <c r="A94" s="145"/>
      <c r="B94" s="148"/>
      <c r="C94" s="149"/>
      <c r="D94" s="145"/>
      <c r="E94" s="151"/>
      <c r="F94" s="145"/>
      <c r="G94" s="145"/>
      <c r="H94" s="145"/>
      <c r="I94" s="145"/>
      <c r="J94" s="145"/>
      <c r="K94" s="145"/>
      <c r="L94" s="145"/>
      <c r="M94" s="145"/>
      <c r="N94" s="145"/>
      <c r="O94" s="145"/>
      <c r="P94" s="145"/>
      <c r="Q94" s="145"/>
      <c r="R94" s="145" t="str">
        <f t="shared" si="26"/>
        <v/>
      </c>
      <c r="S94" s="145" t="str">
        <f t="shared" si="27"/>
        <v/>
      </c>
      <c r="T94" s="145" t="str">
        <f>""</f>
        <v/>
      </c>
      <c r="U94" s="145" t="str">
        <f t="shared" si="28"/>
        <v/>
      </c>
      <c r="V94" s="145" t="str">
        <f t="shared" si="29"/>
        <v/>
      </c>
      <c r="W94" s="150">
        <f t="shared" si="23"/>
        <v>0</v>
      </c>
      <c r="X94" s="150">
        <f t="shared" si="24"/>
        <v>1.9599639845400536</v>
      </c>
      <c r="Y94" s="150" t="str">
        <f t="shared" si="30"/>
        <v/>
      </c>
      <c r="Z94" s="150" t="str">
        <f t="shared" si="31"/>
        <v/>
      </c>
      <c r="AA94" s="150" t="str">
        <f t="shared" si="32"/>
        <v/>
      </c>
    </row>
    <row r="95" spans="1:27" s="141" customFormat="1" x14ac:dyDescent="0.2">
      <c r="A95" s="145"/>
      <c r="B95" s="148"/>
      <c r="C95" s="149"/>
      <c r="D95" s="145"/>
      <c r="E95" s="151"/>
      <c r="F95" s="145"/>
      <c r="G95" s="145"/>
      <c r="H95" s="145"/>
      <c r="I95" s="145"/>
      <c r="J95" s="145"/>
      <c r="K95" s="145"/>
      <c r="L95" s="145"/>
      <c r="M95" s="145"/>
      <c r="N95" s="145"/>
      <c r="O95" s="145"/>
      <c r="P95" s="145"/>
      <c r="Q95" s="145"/>
      <c r="R95" s="145" t="str">
        <f t="shared" si="26"/>
        <v/>
      </c>
      <c r="S95" s="145" t="str">
        <f t="shared" si="27"/>
        <v/>
      </c>
      <c r="T95" s="145" t="str">
        <f>""</f>
        <v/>
      </c>
      <c r="U95" s="145" t="str">
        <f t="shared" si="28"/>
        <v/>
      </c>
      <c r="V95" s="145" t="str">
        <f t="shared" si="29"/>
        <v/>
      </c>
      <c r="W95" s="150">
        <f t="shared" si="23"/>
        <v>0</v>
      </c>
      <c r="X95" s="150">
        <f t="shared" si="24"/>
        <v>1.9599639845400536</v>
      </c>
      <c r="Y95" s="150" t="str">
        <f t="shared" si="30"/>
        <v/>
      </c>
      <c r="Z95" s="150" t="str">
        <f t="shared" si="31"/>
        <v/>
      </c>
      <c r="AA95" s="150" t="str">
        <f t="shared" si="32"/>
        <v/>
      </c>
    </row>
    <row r="96" spans="1:27" s="141" customFormat="1" x14ac:dyDescent="0.2">
      <c r="A96" s="145"/>
      <c r="B96" s="148"/>
      <c r="C96" s="149"/>
      <c r="D96" s="145"/>
      <c r="E96" s="151"/>
      <c r="F96" s="145"/>
      <c r="G96" s="145"/>
      <c r="H96" s="145"/>
      <c r="I96" s="145"/>
      <c r="J96" s="145"/>
      <c r="K96" s="145"/>
      <c r="L96" s="145"/>
      <c r="M96" s="145"/>
      <c r="N96" s="145"/>
      <c r="O96" s="145"/>
      <c r="P96" s="145"/>
      <c r="Q96" s="145"/>
      <c r="R96" s="145" t="str">
        <f t="shared" si="26"/>
        <v/>
      </c>
      <c r="S96" s="145" t="str">
        <f t="shared" si="27"/>
        <v/>
      </c>
      <c r="T96" s="145" t="str">
        <f>""</f>
        <v/>
      </c>
      <c r="U96" s="145" t="str">
        <f t="shared" si="28"/>
        <v/>
      </c>
      <c r="V96" s="145" t="str">
        <f t="shared" si="29"/>
        <v/>
      </c>
      <c r="W96" s="150">
        <f t="shared" si="23"/>
        <v>0</v>
      </c>
      <c r="X96" s="150">
        <f t="shared" si="24"/>
        <v>1.9599639845400536</v>
      </c>
      <c r="Y96" s="150" t="str">
        <f t="shared" si="30"/>
        <v/>
      </c>
      <c r="Z96" s="150" t="str">
        <f t="shared" si="31"/>
        <v/>
      </c>
      <c r="AA96" s="150" t="str">
        <f t="shared" si="32"/>
        <v/>
      </c>
    </row>
    <row r="97" spans="1:27" s="141" customFormat="1" x14ac:dyDescent="0.2">
      <c r="A97" s="145"/>
      <c r="B97" s="148"/>
      <c r="C97" s="149"/>
      <c r="D97" s="145"/>
      <c r="E97" s="151"/>
      <c r="F97" s="145"/>
      <c r="G97" s="145"/>
      <c r="H97" s="145"/>
      <c r="I97" s="145"/>
      <c r="J97" s="145"/>
      <c r="K97" s="145"/>
      <c r="L97" s="145"/>
      <c r="M97" s="145"/>
      <c r="N97" s="145"/>
      <c r="O97" s="145"/>
      <c r="P97" s="145"/>
      <c r="Q97" s="145"/>
      <c r="R97" s="145" t="str">
        <f t="shared" si="26"/>
        <v/>
      </c>
      <c r="S97" s="145" t="str">
        <f t="shared" si="27"/>
        <v/>
      </c>
      <c r="T97" s="145" t="str">
        <f>""</f>
        <v/>
      </c>
      <c r="U97" s="145" t="str">
        <f t="shared" si="28"/>
        <v/>
      </c>
      <c r="V97" s="145" t="str">
        <f t="shared" si="29"/>
        <v/>
      </c>
      <c r="W97" s="150">
        <f t="shared" si="23"/>
        <v>0</v>
      </c>
      <c r="X97" s="150">
        <f t="shared" si="24"/>
        <v>1.9599639845400536</v>
      </c>
      <c r="Y97" s="150" t="str">
        <f t="shared" si="30"/>
        <v/>
      </c>
      <c r="Z97" s="150" t="str">
        <f t="shared" si="31"/>
        <v/>
      </c>
      <c r="AA97" s="150" t="str">
        <f t="shared" si="32"/>
        <v/>
      </c>
    </row>
    <row r="98" spans="1:27" s="141" customFormat="1" x14ac:dyDescent="0.2">
      <c r="A98" s="145"/>
      <c r="B98" s="148"/>
      <c r="C98" s="149"/>
      <c r="D98" s="145"/>
      <c r="E98" s="151"/>
      <c r="F98" s="145"/>
      <c r="G98" s="145"/>
      <c r="H98" s="145"/>
      <c r="I98" s="145"/>
      <c r="J98" s="145"/>
      <c r="K98" s="145"/>
      <c r="L98" s="145"/>
      <c r="M98" s="145"/>
      <c r="N98" s="145"/>
      <c r="O98" s="145"/>
      <c r="P98" s="145"/>
      <c r="Q98" s="145"/>
      <c r="R98" s="145" t="str">
        <f t="shared" si="26"/>
        <v/>
      </c>
      <c r="S98" s="145" t="str">
        <f t="shared" si="27"/>
        <v/>
      </c>
      <c r="T98" s="145" t="str">
        <f>""</f>
        <v/>
      </c>
      <c r="U98" s="145" t="str">
        <f t="shared" si="28"/>
        <v/>
      </c>
      <c r="V98" s="145" t="str">
        <f t="shared" si="29"/>
        <v/>
      </c>
      <c r="W98" s="150">
        <f t="shared" si="23"/>
        <v>0</v>
      </c>
      <c r="X98" s="150">
        <f t="shared" si="24"/>
        <v>1.9599639845400536</v>
      </c>
      <c r="Y98" s="150" t="str">
        <f t="shared" si="30"/>
        <v/>
      </c>
      <c r="Z98" s="150" t="str">
        <f t="shared" si="31"/>
        <v/>
      </c>
      <c r="AA98" s="150" t="str">
        <f t="shared" si="32"/>
        <v/>
      </c>
    </row>
    <row r="99" spans="1:27" s="141" customFormat="1" x14ac:dyDescent="0.2">
      <c r="A99" s="145"/>
      <c r="B99" s="148"/>
      <c r="C99" s="149"/>
      <c r="D99" s="145"/>
      <c r="E99" s="151"/>
      <c r="F99" s="145"/>
      <c r="G99" s="145"/>
      <c r="H99" s="145"/>
      <c r="I99" s="145"/>
      <c r="J99" s="145"/>
      <c r="K99" s="145"/>
      <c r="L99" s="145"/>
      <c r="M99" s="145"/>
      <c r="N99" s="145"/>
      <c r="O99" s="145"/>
      <c r="P99" s="145"/>
      <c r="Q99" s="145"/>
      <c r="R99" s="145" t="str">
        <f t="shared" si="26"/>
        <v/>
      </c>
      <c r="S99" s="145" t="str">
        <f t="shared" si="27"/>
        <v/>
      </c>
      <c r="T99" s="145" t="str">
        <f>""</f>
        <v/>
      </c>
      <c r="U99" s="145" t="str">
        <f t="shared" si="28"/>
        <v/>
      </c>
      <c r="V99" s="145" t="str">
        <f t="shared" si="29"/>
        <v/>
      </c>
      <c r="W99" s="150">
        <f t="shared" si="23"/>
        <v>0</v>
      </c>
      <c r="X99" s="150">
        <f t="shared" si="24"/>
        <v>1.9599639845400536</v>
      </c>
      <c r="Y99" s="150" t="str">
        <f t="shared" si="30"/>
        <v/>
      </c>
      <c r="Z99" s="150" t="str">
        <f t="shared" si="31"/>
        <v/>
      </c>
      <c r="AA99" s="150" t="str">
        <f t="shared" si="32"/>
        <v/>
      </c>
    </row>
    <row r="100" spans="1:27" s="141" customFormat="1" x14ac:dyDescent="0.2">
      <c r="A100" s="145"/>
      <c r="B100" s="148"/>
      <c r="C100" s="149"/>
      <c r="D100" s="145"/>
      <c r="E100" s="151"/>
      <c r="F100" s="145"/>
      <c r="G100" s="145"/>
      <c r="H100" s="145"/>
      <c r="I100" s="145"/>
      <c r="J100" s="145"/>
      <c r="K100" s="145"/>
      <c r="L100" s="145"/>
      <c r="M100" s="145"/>
      <c r="N100" s="145"/>
      <c r="O100" s="145"/>
      <c r="P100" s="145"/>
      <c r="Q100" s="145"/>
      <c r="R100" s="145" t="str">
        <f t="shared" si="26"/>
        <v/>
      </c>
      <c r="S100" s="145" t="str">
        <f t="shared" si="27"/>
        <v/>
      </c>
      <c r="T100" s="145" t="str">
        <f>""</f>
        <v/>
      </c>
      <c r="U100" s="145" t="str">
        <f t="shared" si="28"/>
        <v/>
      </c>
      <c r="V100" s="145" t="str">
        <f t="shared" si="29"/>
        <v/>
      </c>
      <c r="W100" s="150">
        <f t="shared" si="23"/>
        <v>0</v>
      </c>
      <c r="X100" s="150">
        <f t="shared" si="24"/>
        <v>1.9599639845400536</v>
      </c>
      <c r="Y100" s="150" t="str">
        <f t="shared" si="30"/>
        <v/>
      </c>
      <c r="Z100" s="150" t="str">
        <f t="shared" si="31"/>
        <v/>
      </c>
      <c r="AA100" s="150" t="str">
        <f t="shared" si="32"/>
        <v/>
      </c>
    </row>
    <row r="101" spans="1:27" s="141" customFormat="1" x14ac:dyDescent="0.2">
      <c r="A101" s="145"/>
      <c r="B101" s="148"/>
      <c r="C101" s="149"/>
      <c r="D101" s="145"/>
      <c r="E101" s="151"/>
      <c r="F101" s="145"/>
      <c r="G101" s="145"/>
      <c r="H101" s="145"/>
      <c r="I101" s="145"/>
      <c r="J101" s="145"/>
      <c r="K101" s="145"/>
      <c r="L101" s="145"/>
      <c r="M101" s="145"/>
      <c r="N101" s="145"/>
      <c r="O101" s="145"/>
      <c r="P101" s="145"/>
      <c r="Q101" s="145"/>
      <c r="R101" s="145" t="str">
        <f t="shared" si="26"/>
        <v/>
      </c>
      <c r="S101" s="145" t="str">
        <f t="shared" si="27"/>
        <v/>
      </c>
      <c r="T101" s="145" t="str">
        <f>""</f>
        <v/>
      </c>
      <c r="U101" s="145" t="str">
        <f t="shared" si="28"/>
        <v/>
      </c>
      <c r="V101" s="145" t="str">
        <f t="shared" si="29"/>
        <v/>
      </c>
      <c r="W101" s="150">
        <f t="shared" si="23"/>
        <v>0</v>
      </c>
      <c r="X101" s="150">
        <f t="shared" si="24"/>
        <v>1.9599639845400536</v>
      </c>
      <c r="Y101" s="150" t="str">
        <f t="shared" si="30"/>
        <v/>
      </c>
      <c r="Z101" s="150" t="str">
        <f t="shared" si="31"/>
        <v/>
      </c>
      <c r="AA101" s="150" t="str">
        <f t="shared" si="32"/>
        <v/>
      </c>
    </row>
    <row r="102" spans="1:27" s="141" customFormat="1" x14ac:dyDescent="0.2">
      <c r="A102" s="145"/>
      <c r="B102" s="148"/>
      <c r="C102" s="149"/>
      <c r="D102" s="145"/>
      <c r="E102" s="151"/>
      <c r="F102" s="145"/>
      <c r="G102" s="145"/>
      <c r="H102" s="145"/>
      <c r="I102" s="145"/>
      <c r="J102" s="145"/>
      <c r="K102" s="145"/>
      <c r="L102" s="145"/>
      <c r="M102" s="145"/>
      <c r="N102" s="145"/>
      <c r="O102" s="145"/>
      <c r="P102" s="145"/>
      <c r="Q102" s="145"/>
      <c r="R102" s="145" t="str">
        <f t="shared" si="26"/>
        <v/>
      </c>
      <c r="S102" s="145" t="str">
        <f t="shared" si="27"/>
        <v/>
      </c>
      <c r="T102" s="145" t="str">
        <f>""</f>
        <v/>
      </c>
      <c r="U102" s="145" t="str">
        <f t="shared" si="28"/>
        <v/>
      </c>
      <c r="V102" s="145" t="str">
        <f t="shared" si="29"/>
        <v/>
      </c>
      <c r="W102" s="150">
        <f t="shared" si="23"/>
        <v>0</v>
      </c>
      <c r="X102" s="150">
        <f t="shared" si="24"/>
        <v>1.9599639845400536</v>
      </c>
      <c r="Y102" s="150" t="str">
        <f t="shared" si="30"/>
        <v/>
      </c>
      <c r="Z102" s="150" t="str">
        <f t="shared" si="31"/>
        <v/>
      </c>
      <c r="AA102" s="150" t="str">
        <f t="shared" si="32"/>
        <v/>
      </c>
    </row>
    <row r="103" spans="1:27" s="141" customFormat="1" x14ac:dyDescent="0.2">
      <c r="A103" s="145"/>
      <c r="B103" s="148"/>
      <c r="C103" s="149"/>
      <c r="D103" s="145"/>
      <c r="E103" s="151"/>
      <c r="F103" s="145"/>
      <c r="G103" s="145"/>
      <c r="H103" s="145"/>
      <c r="I103" s="145"/>
      <c r="J103" s="145"/>
      <c r="K103" s="145"/>
      <c r="L103" s="145"/>
      <c r="M103" s="145"/>
      <c r="N103" s="145"/>
      <c r="O103" s="145"/>
      <c r="P103" s="145"/>
      <c r="Q103" s="145"/>
      <c r="R103" s="145" t="str">
        <f t="shared" si="26"/>
        <v/>
      </c>
      <c r="S103" s="145" t="str">
        <f t="shared" si="27"/>
        <v/>
      </c>
      <c r="T103" s="145" t="str">
        <f>""</f>
        <v/>
      </c>
      <c r="U103" s="145" t="str">
        <f t="shared" si="28"/>
        <v/>
      </c>
      <c r="V103" s="145" t="str">
        <f t="shared" si="29"/>
        <v/>
      </c>
      <c r="W103" s="150">
        <f t="shared" si="23"/>
        <v>0</v>
      </c>
      <c r="X103" s="150">
        <f t="shared" si="24"/>
        <v>1.9599639845400536</v>
      </c>
      <c r="Y103" s="150" t="str">
        <f t="shared" si="30"/>
        <v/>
      </c>
      <c r="Z103" s="150" t="str">
        <f t="shared" si="31"/>
        <v/>
      </c>
      <c r="AA103" s="150" t="str">
        <f t="shared" si="32"/>
        <v/>
      </c>
    </row>
    <row r="104" spans="1:27" s="141" customFormat="1" x14ac:dyDescent="0.2">
      <c r="A104" s="145"/>
      <c r="B104" s="148"/>
      <c r="C104" s="149"/>
      <c r="D104" s="145"/>
      <c r="E104" s="151"/>
      <c r="F104" s="145"/>
      <c r="G104" s="145"/>
      <c r="H104" s="145"/>
      <c r="I104" s="145"/>
      <c r="J104" s="145"/>
      <c r="K104" s="145"/>
      <c r="L104" s="145"/>
      <c r="M104" s="145"/>
      <c r="N104" s="145"/>
      <c r="O104" s="145"/>
      <c r="P104" s="145"/>
      <c r="Q104" s="145"/>
      <c r="R104" s="145" t="str">
        <f t="shared" si="26"/>
        <v/>
      </c>
      <c r="S104" s="145" t="str">
        <f t="shared" si="27"/>
        <v/>
      </c>
      <c r="T104" s="145" t="str">
        <f>""</f>
        <v/>
      </c>
      <c r="U104" s="145" t="str">
        <f t="shared" si="28"/>
        <v/>
      </c>
      <c r="V104" s="145" t="str">
        <f t="shared" si="29"/>
        <v/>
      </c>
      <c r="W104" s="150">
        <f t="shared" si="23"/>
        <v>0</v>
      </c>
      <c r="X104" s="150">
        <f t="shared" si="24"/>
        <v>1.9599639845400536</v>
      </c>
      <c r="Y104" s="150" t="str">
        <f t="shared" si="30"/>
        <v/>
      </c>
      <c r="Z104" s="150" t="str">
        <f t="shared" si="31"/>
        <v/>
      </c>
      <c r="AA104" s="150" t="str">
        <f t="shared" si="32"/>
        <v/>
      </c>
    </row>
    <row r="105" spans="1:27" s="141" customFormat="1" x14ac:dyDescent="0.2">
      <c r="A105" s="145"/>
      <c r="B105" s="148"/>
      <c r="C105" s="149"/>
      <c r="D105" s="145"/>
      <c r="E105" s="151"/>
      <c r="F105" s="145"/>
      <c r="G105" s="145"/>
      <c r="H105" s="145"/>
      <c r="I105" s="145"/>
      <c r="J105" s="145"/>
      <c r="K105" s="145"/>
      <c r="L105" s="145"/>
      <c r="M105" s="145"/>
      <c r="N105" s="145"/>
      <c r="O105" s="145"/>
      <c r="P105" s="145"/>
      <c r="Q105" s="145"/>
      <c r="R105" s="145" t="str">
        <f t="shared" si="26"/>
        <v/>
      </c>
      <c r="S105" s="145" t="str">
        <f t="shared" si="27"/>
        <v/>
      </c>
      <c r="T105" s="145" t="str">
        <f>""</f>
        <v/>
      </c>
      <c r="U105" s="145" t="str">
        <f t="shared" si="28"/>
        <v/>
      </c>
      <c r="V105" s="145" t="str">
        <f t="shared" si="29"/>
        <v/>
      </c>
      <c r="W105" s="150">
        <f t="shared" si="23"/>
        <v>0</v>
      </c>
      <c r="X105" s="150">
        <f t="shared" si="24"/>
        <v>1.9599639845400536</v>
      </c>
      <c r="Y105" s="150" t="str">
        <f t="shared" si="30"/>
        <v/>
      </c>
      <c r="Z105" s="150" t="str">
        <f t="shared" si="31"/>
        <v/>
      </c>
      <c r="AA105" s="150" t="str">
        <f t="shared" si="32"/>
        <v/>
      </c>
    </row>
    <row r="106" spans="1:27" s="141" customFormat="1" x14ac:dyDescent="0.2">
      <c r="A106" s="145"/>
      <c r="B106" s="148"/>
      <c r="C106" s="149"/>
      <c r="D106" s="145"/>
      <c r="E106" s="151"/>
      <c r="F106" s="145"/>
      <c r="G106" s="145"/>
      <c r="H106" s="145"/>
      <c r="I106" s="145"/>
      <c r="J106" s="145"/>
      <c r="K106" s="145"/>
      <c r="L106" s="145"/>
      <c r="M106" s="145"/>
      <c r="N106" s="145"/>
      <c r="O106" s="145"/>
      <c r="P106" s="145"/>
      <c r="Q106" s="145"/>
      <c r="R106" s="145" t="str">
        <f t="shared" si="26"/>
        <v/>
      </c>
      <c r="S106" s="145" t="str">
        <f t="shared" si="27"/>
        <v/>
      </c>
      <c r="T106" s="145" t="str">
        <f>""</f>
        <v/>
      </c>
      <c r="U106" s="145" t="str">
        <f t="shared" si="28"/>
        <v/>
      </c>
      <c r="V106" s="145" t="str">
        <f t="shared" si="29"/>
        <v/>
      </c>
      <c r="W106" s="150">
        <f t="shared" si="23"/>
        <v>0</v>
      </c>
      <c r="X106" s="150">
        <f t="shared" si="24"/>
        <v>1.9599639845400536</v>
      </c>
      <c r="Y106" s="150" t="str">
        <f t="shared" si="30"/>
        <v/>
      </c>
      <c r="Z106" s="150" t="str">
        <f t="shared" si="31"/>
        <v/>
      </c>
      <c r="AA106" s="150" t="str">
        <f t="shared" si="32"/>
        <v/>
      </c>
    </row>
    <row r="107" spans="1:27" s="141" customFormat="1" x14ac:dyDescent="0.2">
      <c r="A107" s="145"/>
      <c r="B107" s="148"/>
      <c r="C107" s="149"/>
      <c r="D107" s="145"/>
      <c r="E107" s="151"/>
      <c r="F107" s="145"/>
      <c r="G107" s="145"/>
      <c r="H107" s="145"/>
      <c r="I107" s="145"/>
      <c r="J107" s="145"/>
      <c r="K107" s="145"/>
      <c r="L107" s="145"/>
      <c r="M107" s="145"/>
      <c r="N107" s="145"/>
      <c r="O107" s="145"/>
      <c r="P107" s="145"/>
      <c r="Q107" s="145"/>
      <c r="R107" s="145" t="str">
        <f t="shared" si="26"/>
        <v/>
      </c>
      <c r="S107" s="145" t="str">
        <f t="shared" si="27"/>
        <v/>
      </c>
      <c r="T107" s="145" t="str">
        <f>""</f>
        <v/>
      </c>
      <c r="U107" s="145" t="str">
        <f t="shared" si="28"/>
        <v/>
      </c>
      <c r="V107" s="145" t="str">
        <f t="shared" si="29"/>
        <v/>
      </c>
      <c r="W107" s="150">
        <f t="shared" si="23"/>
        <v>0</v>
      </c>
      <c r="X107" s="150">
        <f t="shared" si="24"/>
        <v>1.9599639845400536</v>
      </c>
      <c r="Y107" s="150" t="str">
        <f t="shared" si="30"/>
        <v/>
      </c>
      <c r="Z107" s="150" t="str">
        <f t="shared" si="31"/>
        <v/>
      </c>
      <c r="AA107" s="150" t="str">
        <f t="shared" si="32"/>
        <v/>
      </c>
    </row>
    <row r="108" spans="1:27" s="141" customFormat="1" x14ac:dyDescent="0.2">
      <c r="A108" s="145"/>
      <c r="B108" s="148"/>
      <c r="C108" s="149"/>
      <c r="D108" s="145"/>
      <c r="E108" s="151"/>
      <c r="F108" s="145"/>
      <c r="G108" s="145"/>
      <c r="H108" s="145"/>
      <c r="I108" s="145"/>
      <c r="J108" s="145"/>
      <c r="K108" s="145"/>
      <c r="L108" s="145"/>
      <c r="M108" s="145"/>
      <c r="N108" s="145"/>
      <c r="O108" s="145"/>
      <c r="P108" s="145"/>
      <c r="Q108" s="145"/>
      <c r="R108" s="145" t="str">
        <f t="shared" si="26"/>
        <v/>
      </c>
      <c r="S108" s="145" t="str">
        <f t="shared" si="27"/>
        <v/>
      </c>
      <c r="T108" s="145" t="str">
        <f>""</f>
        <v/>
      </c>
      <c r="U108" s="145" t="str">
        <f t="shared" si="28"/>
        <v/>
      </c>
      <c r="V108" s="145" t="str">
        <f t="shared" si="29"/>
        <v/>
      </c>
      <c r="W108" s="150">
        <f t="shared" si="23"/>
        <v>0</v>
      </c>
      <c r="X108" s="150">
        <f t="shared" si="24"/>
        <v>1.9599639845400536</v>
      </c>
      <c r="Y108" s="150" t="str">
        <f t="shared" si="30"/>
        <v/>
      </c>
      <c r="Z108" s="150" t="str">
        <f t="shared" si="31"/>
        <v/>
      </c>
      <c r="AA108" s="150" t="str">
        <f t="shared" si="32"/>
        <v/>
      </c>
    </row>
    <row r="109" spans="1:27" s="141" customFormat="1" x14ac:dyDescent="0.2">
      <c r="A109" s="145"/>
      <c r="B109" s="148"/>
      <c r="C109" s="149"/>
      <c r="D109" s="145"/>
      <c r="E109" s="151"/>
      <c r="F109" s="145"/>
      <c r="G109" s="145"/>
      <c r="H109" s="145"/>
      <c r="I109" s="145"/>
      <c r="J109" s="145"/>
      <c r="K109" s="145"/>
      <c r="L109" s="145"/>
      <c r="M109" s="145"/>
      <c r="N109" s="145"/>
      <c r="O109" s="145"/>
      <c r="P109" s="145"/>
      <c r="Q109" s="145"/>
      <c r="R109" s="145" t="str">
        <f t="shared" si="26"/>
        <v/>
      </c>
      <c r="S109" s="145" t="str">
        <f t="shared" si="27"/>
        <v/>
      </c>
      <c r="T109" s="145" t="str">
        <f>""</f>
        <v/>
      </c>
      <c r="U109" s="145" t="str">
        <f t="shared" si="28"/>
        <v/>
      </c>
      <c r="V109" s="145" t="str">
        <f t="shared" si="29"/>
        <v/>
      </c>
      <c r="W109" s="150">
        <f t="shared" si="23"/>
        <v>0</v>
      </c>
      <c r="X109" s="150">
        <f t="shared" si="24"/>
        <v>1.9599639845400536</v>
      </c>
      <c r="Y109" s="150" t="str">
        <f t="shared" si="30"/>
        <v/>
      </c>
      <c r="Z109" s="150" t="str">
        <f t="shared" si="31"/>
        <v/>
      </c>
      <c r="AA109" s="150" t="str">
        <f t="shared" si="32"/>
        <v/>
      </c>
    </row>
    <row r="110" spans="1:27" s="141" customFormat="1" x14ac:dyDescent="0.2">
      <c r="A110" s="145"/>
      <c r="B110" s="148"/>
      <c r="C110" s="149"/>
      <c r="D110" s="145"/>
      <c r="E110" s="151"/>
      <c r="F110" s="145"/>
      <c r="G110" s="145"/>
      <c r="H110" s="145"/>
      <c r="I110" s="145"/>
      <c r="J110" s="145"/>
      <c r="K110" s="145"/>
      <c r="L110" s="145"/>
      <c r="M110" s="145"/>
      <c r="N110" s="145"/>
      <c r="O110" s="145"/>
      <c r="P110" s="145"/>
      <c r="Q110" s="145"/>
      <c r="R110" s="145" t="str">
        <f t="shared" si="26"/>
        <v/>
      </c>
      <c r="S110" s="145" t="str">
        <f t="shared" si="27"/>
        <v/>
      </c>
      <c r="T110" s="145" t="str">
        <f>""</f>
        <v/>
      </c>
      <c r="U110" s="145" t="str">
        <f t="shared" si="28"/>
        <v/>
      </c>
      <c r="V110" s="145" t="str">
        <f t="shared" si="29"/>
        <v/>
      </c>
      <c r="W110" s="150">
        <f t="shared" si="23"/>
        <v>0</v>
      </c>
      <c r="X110" s="150">
        <f t="shared" si="24"/>
        <v>1.9599639845400536</v>
      </c>
      <c r="Y110" s="150" t="str">
        <f t="shared" si="30"/>
        <v/>
      </c>
      <c r="Z110" s="150" t="str">
        <f t="shared" si="31"/>
        <v/>
      </c>
      <c r="AA110" s="150" t="str">
        <f t="shared" si="32"/>
        <v/>
      </c>
    </row>
    <row r="111" spans="1:27" s="141" customFormat="1" x14ac:dyDescent="0.2">
      <c r="A111" s="145"/>
      <c r="B111" s="148"/>
      <c r="C111" s="149"/>
      <c r="D111" s="145"/>
      <c r="E111" s="151"/>
      <c r="F111" s="145"/>
      <c r="G111" s="145"/>
      <c r="H111" s="145"/>
      <c r="I111" s="145"/>
      <c r="J111" s="145"/>
      <c r="K111" s="145"/>
      <c r="L111" s="145"/>
      <c r="M111" s="145"/>
      <c r="N111" s="145"/>
      <c r="O111" s="145"/>
      <c r="P111" s="145"/>
      <c r="Q111" s="145"/>
      <c r="R111" s="145" t="str">
        <f t="shared" si="26"/>
        <v/>
      </c>
      <c r="S111" s="145" t="str">
        <f t="shared" si="27"/>
        <v/>
      </c>
      <c r="T111" s="145" t="str">
        <f>""</f>
        <v/>
      </c>
      <c r="U111" s="145" t="str">
        <f t="shared" si="28"/>
        <v/>
      </c>
      <c r="V111" s="145" t="str">
        <f t="shared" si="29"/>
        <v/>
      </c>
      <c r="W111" s="150">
        <f t="shared" si="23"/>
        <v>0</v>
      </c>
      <c r="X111" s="150">
        <f t="shared" si="24"/>
        <v>1.9599639845400536</v>
      </c>
      <c r="Y111" s="150" t="str">
        <f t="shared" si="30"/>
        <v/>
      </c>
      <c r="Z111" s="150" t="str">
        <f t="shared" si="31"/>
        <v/>
      </c>
      <c r="AA111" s="150" t="str">
        <f t="shared" si="32"/>
        <v/>
      </c>
    </row>
    <row r="112" spans="1:27" s="141" customFormat="1" x14ac:dyDescent="0.2">
      <c r="A112" s="145"/>
      <c r="B112" s="148"/>
      <c r="C112" s="149"/>
      <c r="D112" s="145"/>
      <c r="E112" s="151"/>
      <c r="F112" s="145"/>
      <c r="G112" s="145"/>
      <c r="H112" s="145"/>
      <c r="I112" s="145"/>
      <c r="J112" s="145"/>
      <c r="K112" s="145"/>
      <c r="L112" s="145"/>
      <c r="M112" s="145"/>
      <c r="N112" s="145"/>
      <c r="O112" s="145"/>
      <c r="P112" s="145"/>
      <c r="Q112" s="145"/>
      <c r="R112" s="145" t="str">
        <f t="shared" si="26"/>
        <v/>
      </c>
      <c r="S112" s="145" t="str">
        <f t="shared" si="27"/>
        <v/>
      </c>
      <c r="T112" s="145" t="str">
        <f>""</f>
        <v/>
      </c>
      <c r="U112" s="145" t="str">
        <f t="shared" si="28"/>
        <v/>
      </c>
      <c r="V112" s="145" t="str">
        <f t="shared" si="29"/>
        <v/>
      </c>
      <c r="W112" s="150">
        <f t="shared" si="23"/>
        <v>0</v>
      </c>
      <c r="X112" s="150">
        <f t="shared" si="24"/>
        <v>1.9599639845400536</v>
      </c>
      <c r="Y112" s="150" t="str">
        <f t="shared" si="30"/>
        <v/>
      </c>
      <c r="Z112" s="150" t="str">
        <f t="shared" si="31"/>
        <v/>
      </c>
      <c r="AA112" s="150" t="str">
        <f t="shared" si="32"/>
        <v/>
      </c>
    </row>
    <row r="113" spans="1:27" s="141" customFormat="1" x14ac:dyDescent="0.2">
      <c r="A113" s="145"/>
      <c r="B113" s="148"/>
      <c r="C113" s="149"/>
      <c r="D113" s="145"/>
      <c r="E113" s="151"/>
      <c r="F113" s="145"/>
      <c r="G113" s="145"/>
      <c r="H113" s="145"/>
      <c r="I113" s="145"/>
      <c r="J113" s="145"/>
      <c r="K113" s="145"/>
      <c r="L113" s="145"/>
      <c r="M113" s="145"/>
      <c r="N113" s="145"/>
      <c r="O113" s="145"/>
      <c r="P113" s="145"/>
      <c r="Q113" s="145"/>
      <c r="R113" s="145" t="str">
        <f t="shared" si="26"/>
        <v/>
      </c>
      <c r="S113" s="145" t="str">
        <f t="shared" si="27"/>
        <v/>
      </c>
      <c r="T113" s="145" t="str">
        <f>""</f>
        <v/>
      </c>
      <c r="U113" s="145" t="str">
        <f t="shared" si="28"/>
        <v/>
      </c>
      <c r="V113" s="145" t="str">
        <f t="shared" si="29"/>
        <v/>
      </c>
      <c r="W113" s="150">
        <f t="shared" si="23"/>
        <v>0</v>
      </c>
      <c r="X113" s="150">
        <f t="shared" si="24"/>
        <v>1.9599639845400536</v>
      </c>
      <c r="Y113" s="150" t="str">
        <f t="shared" si="30"/>
        <v/>
      </c>
      <c r="Z113" s="150" t="str">
        <f t="shared" si="31"/>
        <v/>
      </c>
      <c r="AA113" s="150" t="str">
        <f t="shared" si="32"/>
        <v/>
      </c>
    </row>
    <row r="114" spans="1:27" s="141" customFormat="1" x14ac:dyDescent="0.2">
      <c r="A114" s="145"/>
      <c r="B114" s="148"/>
      <c r="C114" s="149"/>
      <c r="D114" s="145"/>
      <c r="E114" s="151"/>
      <c r="F114" s="145"/>
      <c r="G114" s="145"/>
      <c r="H114" s="145"/>
      <c r="I114" s="145"/>
      <c r="J114" s="145"/>
      <c r="K114" s="145"/>
      <c r="L114" s="145"/>
      <c r="M114" s="145"/>
      <c r="N114" s="145"/>
      <c r="O114" s="145"/>
      <c r="P114" s="145"/>
      <c r="Q114" s="145"/>
      <c r="R114" s="145" t="str">
        <f t="shared" ref="R114:R145" si="33">IF($E114="","",
 IF($W114=1, $E114,
 IF($W114=2,
    IF(OR(UPPER($G114)="GSD", AND($H114&lt;&gt;"", ISNUMBER($H114))),
       LN(ABS($E114)),
       IF(OR(UPPER($G114)="95%", AND($P114&gt;0, $Q114&gt;0)),
          (LN($P114)+LN($Q114))/2,
          ""
       )
    ),
 IF($W114=3, $E114,
 IF($W114=4, "",
 IF($W114=5, $E114, ""))))))</f>
        <v/>
      </c>
      <c r="S114" s="145" t="str">
        <f t="shared" ref="S114:S145" si="34">IF($E114="","",
 IF($W114=1, "",
 IF($W114=2,
    IF(OR(UPPER($G114)="GSD", AND($H114&lt;&gt;"", ISNUMBER($H114))),
       LN($H114),
       IF(OR(UPPER($G114)="95%", AND($P114&gt;0, $Q114&gt;0)),
          LN($Q114/$P114)/(2*$X$3),
          ""
       )
    ),
 IF($W114=3, $I114, ""))))</f>
        <v/>
      </c>
      <c r="T114" s="145" t="str">
        <f>""</f>
        <v/>
      </c>
      <c r="U114" s="145" t="str">
        <f t="shared" ref="U114:U145" si="35">IF($E114="","",
 IF(OR($W114=5,$W114=4),
    IF($J114&lt;&gt;"",$J114,
       IF(ISNUMBER($O114),
          IF($E114&gt;=0,$E114*(1-$O114),$E114*(1+$O114)),
          IF(OR($L114=TRUE, UPPER($L114)="YES", UPPER($L114)="TRUE", $L114=1),
             IF($E114&gt;=0,$E114*(1-$M114),$E114*(1+$M114)),
             IF(AND($E114&lt;0,$K114="", $O114="", NOT(OR($L114=TRUE, UPPER($L114)="YES", UPPER($L114)="TRUE", $L114=1))),
                2*$E114,
                ""
             )
          )
       )
    ),
    ""
 ))</f>
        <v/>
      </c>
      <c r="V114" s="145" t="str">
        <f t="shared" ref="V114:V145" si="36">IF($E114="","",
 IF(OR($W114=5,$W114=4),
    IF($K114&lt;&gt;"",$K114,
       IF(ISNUMBER($O114),
          IF($E114&gt;=0,$E114*(1+$O114),$E114*(1-$O114)),
          IF(OR($L114=TRUE, UPPER($L114)="YES", UPPER($L114)="TRUE", $L114=1),
             IF($E114&gt;=0,$E114*(1+$N114),$E114*(1-$N114)),
             IF(AND($E114&lt;0,$J114="", $O114="", NOT(OR($L114=TRUE, UPPER($L114)="YES", UPPER($L114)="TRUE", $L114=1))),
                0,
                ""
             )
          )
       )
    ),
    ""
 ))</f>
        <v/>
      </c>
      <c r="W114" s="150">
        <f t="shared" si="23"/>
        <v>0</v>
      </c>
      <c r="X114" s="150">
        <f t="shared" si="24"/>
        <v>1.9599639845400536</v>
      </c>
      <c r="Y114" s="150" t="str">
        <f t="shared" ref="Y114:Y145" si="37">IF($E114="","",
 IF($W114=2,
    IF(OR(UPPER($G114)="GSD", AND($H114&lt;&gt;"", ISNUMBER($H114))),
       $E114*EXP(-$X$3*LN($H114)),
       IF($P114&gt;0, $P114, "")
    ),
    ""
 ))</f>
        <v/>
      </c>
      <c r="Z114" s="150" t="str">
        <f t="shared" ref="Z114:Z145" si="38">IF($E114="","",
 IF($W114=2,
    IF(OR(UPPER($G114)="GSD", AND($H114&lt;&gt;"", ISNUMBER($H114))),
       $E114*EXP($X$3*LN($H114)),
       IF($Q114&gt;0, $Q114, "")
    ),
    ""
 ))</f>
        <v/>
      </c>
      <c r="AA114" s="150" t="str">
        <f t="shared" ref="AA114:AA145" si="39">IF($E114="","",
 IF(AND($W114=2, $P114&gt;0, $Q114&gt;0),
    EXP(LN($Q114/$P114)/(2*$X$3)),
    ""
 ))</f>
        <v/>
      </c>
    </row>
    <row r="115" spans="1:27" s="141" customFormat="1" x14ac:dyDescent="0.2">
      <c r="A115" s="145"/>
      <c r="B115" s="148"/>
      <c r="C115" s="149"/>
      <c r="D115" s="145"/>
      <c r="E115" s="151"/>
      <c r="F115" s="145"/>
      <c r="G115" s="145"/>
      <c r="H115" s="145"/>
      <c r="I115" s="145"/>
      <c r="J115" s="145"/>
      <c r="K115" s="145"/>
      <c r="L115" s="145"/>
      <c r="M115" s="145"/>
      <c r="N115" s="145"/>
      <c r="O115" s="145"/>
      <c r="P115" s="145"/>
      <c r="Q115" s="145"/>
      <c r="R115" s="145" t="str">
        <f t="shared" si="33"/>
        <v/>
      </c>
      <c r="S115" s="145" t="str">
        <f t="shared" si="34"/>
        <v/>
      </c>
      <c r="T115" s="145" t="str">
        <f>""</f>
        <v/>
      </c>
      <c r="U115" s="145" t="str">
        <f t="shared" si="35"/>
        <v/>
      </c>
      <c r="V115" s="145" t="str">
        <f t="shared" si="36"/>
        <v/>
      </c>
      <c r="W115" s="150">
        <f t="shared" si="23"/>
        <v>0</v>
      </c>
      <c r="X115" s="150">
        <f t="shared" si="24"/>
        <v>1.9599639845400536</v>
      </c>
      <c r="Y115" s="150" t="str">
        <f t="shared" si="37"/>
        <v/>
      </c>
      <c r="Z115" s="150" t="str">
        <f t="shared" si="38"/>
        <v/>
      </c>
      <c r="AA115" s="150" t="str">
        <f t="shared" si="39"/>
        <v/>
      </c>
    </row>
    <row r="116" spans="1:27" s="141" customFormat="1" x14ac:dyDescent="0.2">
      <c r="A116" s="145"/>
      <c r="B116" s="148"/>
      <c r="C116" s="149"/>
      <c r="D116" s="145"/>
      <c r="E116" s="151"/>
      <c r="F116" s="145"/>
      <c r="G116" s="145"/>
      <c r="H116" s="145"/>
      <c r="I116" s="145"/>
      <c r="J116" s="145"/>
      <c r="K116" s="145"/>
      <c r="L116" s="145"/>
      <c r="M116" s="145"/>
      <c r="N116" s="145"/>
      <c r="O116" s="145"/>
      <c r="P116" s="145"/>
      <c r="Q116" s="145"/>
      <c r="R116" s="145" t="str">
        <f t="shared" si="33"/>
        <v/>
      </c>
      <c r="S116" s="145" t="str">
        <f t="shared" si="34"/>
        <v/>
      </c>
      <c r="T116" s="145" t="str">
        <f>""</f>
        <v/>
      </c>
      <c r="U116" s="145" t="str">
        <f t="shared" si="35"/>
        <v/>
      </c>
      <c r="V116" s="145" t="str">
        <f t="shared" si="36"/>
        <v/>
      </c>
      <c r="W116" s="150">
        <f t="shared" si="23"/>
        <v>0</v>
      </c>
      <c r="X116" s="150">
        <f t="shared" si="24"/>
        <v>1.9599639845400536</v>
      </c>
      <c r="Y116" s="150" t="str">
        <f t="shared" si="37"/>
        <v/>
      </c>
      <c r="Z116" s="150" t="str">
        <f t="shared" si="38"/>
        <v/>
      </c>
      <c r="AA116" s="150" t="str">
        <f t="shared" si="39"/>
        <v/>
      </c>
    </row>
    <row r="117" spans="1:27" s="141" customFormat="1" x14ac:dyDescent="0.2">
      <c r="A117" s="145"/>
      <c r="B117" s="148"/>
      <c r="C117" s="149"/>
      <c r="D117" s="145"/>
      <c r="E117" s="151"/>
      <c r="F117" s="145"/>
      <c r="G117" s="145"/>
      <c r="H117" s="145"/>
      <c r="I117" s="145"/>
      <c r="J117" s="145"/>
      <c r="K117" s="145"/>
      <c r="L117" s="145"/>
      <c r="M117" s="145"/>
      <c r="N117" s="145"/>
      <c r="O117" s="145"/>
      <c r="P117" s="145"/>
      <c r="Q117" s="145"/>
      <c r="R117" s="145" t="str">
        <f t="shared" si="33"/>
        <v/>
      </c>
      <c r="S117" s="145" t="str">
        <f t="shared" si="34"/>
        <v/>
      </c>
      <c r="T117" s="145" t="str">
        <f>""</f>
        <v/>
      </c>
      <c r="U117" s="145" t="str">
        <f t="shared" si="35"/>
        <v/>
      </c>
      <c r="V117" s="145" t="str">
        <f t="shared" si="36"/>
        <v/>
      </c>
      <c r="W117" s="150">
        <f t="shared" si="23"/>
        <v>0</v>
      </c>
      <c r="X117" s="150">
        <f t="shared" si="24"/>
        <v>1.9599639845400536</v>
      </c>
      <c r="Y117" s="150" t="str">
        <f t="shared" si="37"/>
        <v/>
      </c>
      <c r="Z117" s="150" t="str">
        <f t="shared" si="38"/>
        <v/>
      </c>
      <c r="AA117" s="150" t="str">
        <f t="shared" si="39"/>
        <v/>
      </c>
    </row>
    <row r="118" spans="1:27" s="141" customFormat="1" x14ac:dyDescent="0.2">
      <c r="A118" s="145"/>
      <c r="B118" s="148"/>
      <c r="C118" s="149"/>
      <c r="D118" s="145"/>
      <c r="E118" s="151"/>
      <c r="F118" s="145"/>
      <c r="G118" s="145"/>
      <c r="H118" s="145"/>
      <c r="I118" s="145"/>
      <c r="J118" s="145"/>
      <c r="K118" s="145"/>
      <c r="L118" s="145"/>
      <c r="M118" s="145"/>
      <c r="N118" s="145"/>
      <c r="O118" s="145"/>
      <c r="P118" s="145"/>
      <c r="Q118" s="145"/>
      <c r="R118" s="145" t="str">
        <f t="shared" si="33"/>
        <v/>
      </c>
      <c r="S118" s="145" t="str">
        <f t="shared" si="34"/>
        <v/>
      </c>
      <c r="T118" s="145" t="str">
        <f>""</f>
        <v/>
      </c>
      <c r="U118" s="145" t="str">
        <f t="shared" si="35"/>
        <v/>
      </c>
      <c r="V118" s="145" t="str">
        <f t="shared" si="36"/>
        <v/>
      </c>
      <c r="W118" s="150">
        <f t="shared" si="23"/>
        <v>0</v>
      </c>
      <c r="X118" s="150">
        <f t="shared" si="24"/>
        <v>1.9599639845400536</v>
      </c>
      <c r="Y118" s="150" t="str">
        <f t="shared" si="37"/>
        <v/>
      </c>
      <c r="Z118" s="150" t="str">
        <f t="shared" si="38"/>
        <v/>
      </c>
      <c r="AA118" s="150" t="str">
        <f t="shared" si="39"/>
        <v/>
      </c>
    </row>
    <row r="119" spans="1:27" s="141" customFormat="1" x14ac:dyDescent="0.2">
      <c r="A119" s="145"/>
      <c r="B119" s="148"/>
      <c r="C119" s="149"/>
      <c r="D119" s="145"/>
      <c r="E119" s="151"/>
      <c r="F119" s="145"/>
      <c r="G119" s="145"/>
      <c r="H119" s="145"/>
      <c r="I119" s="145"/>
      <c r="J119" s="145"/>
      <c r="K119" s="145"/>
      <c r="L119" s="145"/>
      <c r="M119" s="145"/>
      <c r="N119" s="145"/>
      <c r="O119" s="145"/>
      <c r="P119" s="145"/>
      <c r="Q119" s="145"/>
      <c r="R119" s="145" t="str">
        <f t="shared" si="33"/>
        <v/>
      </c>
      <c r="S119" s="145" t="str">
        <f t="shared" si="34"/>
        <v/>
      </c>
      <c r="T119" s="145" t="str">
        <f>""</f>
        <v/>
      </c>
      <c r="U119" s="145" t="str">
        <f t="shared" si="35"/>
        <v/>
      </c>
      <c r="V119" s="145" t="str">
        <f t="shared" si="36"/>
        <v/>
      </c>
      <c r="W119" s="150">
        <f t="shared" si="23"/>
        <v>0</v>
      </c>
      <c r="X119" s="150">
        <f t="shared" si="24"/>
        <v>1.9599639845400536</v>
      </c>
      <c r="Y119" s="150" t="str">
        <f t="shared" si="37"/>
        <v/>
      </c>
      <c r="Z119" s="150" t="str">
        <f t="shared" si="38"/>
        <v/>
      </c>
      <c r="AA119" s="150" t="str">
        <f t="shared" si="39"/>
        <v/>
      </c>
    </row>
    <row r="120" spans="1:27" s="141" customFormat="1" x14ac:dyDescent="0.2">
      <c r="A120" s="145"/>
      <c r="B120" s="148"/>
      <c r="C120" s="149"/>
      <c r="D120" s="145"/>
      <c r="E120" s="151"/>
      <c r="F120" s="145"/>
      <c r="G120" s="145"/>
      <c r="H120" s="145"/>
      <c r="I120" s="145"/>
      <c r="J120" s="145"/>
      <c r="K120" s="145"/>
      <c r="L120" s="145"/>
      <c r="M120" s="145"/>
      <c r="N120" s="145"/>
      <c r="O120" s="145"/>
      <c r="P120" s="145"/>
      <c r="Q120" s="145"/>
      <c r="R120" s="145" t="str">
        <f t="shared" si="33"/>
        <v/>
      </c>
      <c r="S120" s="145" t="str">
        <f t="shared" si="34"/>
        <v/>
      </c>
      <c r="T120" s="145" t="str">
        <f>""</f>
        <v/>
      </c>
      <c r="U120" s="145" t="str">
        <f t="shared" si="35"/>
        <v/>
      </c>
      <c r="V120" s="145" t="str">
        <f t="shared" si="36"/>
        <v/>
      </c>
      <c r="W120" s="150">
        <f t="shared" si="23"/>
        <v>0</v>
      </c>
      <c r="X120" s="150">
        <f t="shared" si="24"/>
        <v>1.9599639845400536</v>
      </c>
      <c r="Y120" s="150" t="str">
        <f t="shared" si="37"/>
        <v/>
      </c>
      <c r="Z120" s="150" t="str">
        <f t="shared" si="38"/>
        <v/>
      </c>
      <c r="AA120" s="150" t="str">
        <f t="shared" si="39"/>
        <v/>
      </c>
    </row>
    <row r="121" spans="1:27" s="141" customFormat="1" x14ac:dyDescent="0.2">
      <c r="A121" s="145"/>
      <c r="B121" s="148"/>
      <c r="C121" s="149"/>
      <c r="D121" s="145"/>
      <c r="E121" s="151"/>
      <c r="F121" s="145"/>
      <c r="G121" s="145"/>
      <c r="H121" s="145"/>
      <c r="I121" s="145"/>
      <c r="J121" s="145"/>
      <c r="K121" s="145"/>
      <c r="L121" s="145"/>
      <c r="M121" s="145"/>
      <c r="N121" s="145"/>
      <c r="O121" s="145"/>
      <c r="P121" s="145"/>
      <c r="Q121" s="145"/>
      <c r="R121" s="145" t="str">
        <f t="shared" si="33"/>
        <v/>
      </c>
      <c r="S121" s="145" t="str">
        <f t="shared" si="34"/>
        <v/>
      </c>
      <c r="T121" s="145" t="str">
        <f>""</f>
        <v/>
      </c>
      <c r="U121" s="145" t="str">
        <f t="shared" si="35"/>
        <v/>
      </c>
      <c r="V121" s="145" t="str">
        <f t="shared" si="36"/>
        <v/>
      </c>
      <c r="W121" s="150">
        <f t="shared" si="23"/>
        <v>0</v>
      </c>
      <c r="X121" s="150">
        <f t="shared" si="24"/>
        <v>1.9599639845400536</v>
      </c>
      <c r="Y121" s="150" t="str">
        <f t="shared" si="37"/>
        <v/>
      </c>
      <c r="Z121" s="150" t="str">
        <f t="shared" si="38"/>
        <v/>
      </c>
      <c r="AA121" s="150" t="str">
        <f t="shared" si="39"/>
        <v/>
      </c>
    </row>
    <row r="122" spans="1:27" s="141" customFormat="1" x14ac:dyDescent="0.2">
      <c r="A122" s="145"/>
      <c r="B122" s="148"/>
      <c r="C122" s="149"/>
      <c r="D122" s="145"/>
      <c r="E122" s="151"/>
      <c r="F122" s="145"/>
      <c r="G122" s="145"/>
      <c r="H122" s="145"/>
      <c r="I122" s="145"/>
      <c r="J122" s="145"/>
      <c r="K122" s="145"/>
      <c r="L122" s="145"/>
      <c r="M122" s="145"/>
      <c r="N122" s="145"/>
      <c r="O122" s="145"/>
      <c r="P122" s="145"/>
      <c r="Q122" s="145"/>
      <c r="R122" s="145" t="str">
        <f t="shared" si="33"/>
        <v/>
      </c>
      <c r="S122" s="145" t="str">
        <f t="shared" si="34"/>
        <v/>
      </c>
      <c r="T122" s="145" t="str">
        <f>""</f>
        <v/>
      </c>
      <c r="U122" s="145" t="str">
        <f t="shared" si="35"/>
        <v/>
      </c>
      <c r="V122" s="145" t="str">
        <f t="shared" si="36"/>
        <v/>
      </c>
      <c r="W122" s="150">
        <f t="shared" si="23"/>
        <v>0</v>
      </c>
      <c r="X122" s="150">
        <f t="shared" si="24"/>
        <v>1.9599639845400536</v>
      </c>
      <c r="Y122" s="150" t="str">
        <f t="shared" si="37"/>
        <v/>
      </c>
      <c r="Z122" s="150" t="str">
        <f t="shared" si="38"/>
        <v/>
      </c>
      <c r="AA122" s="150" t="str">
        <f t="shared" si="39"/>
        <v/>
      </c>
    </row>
    <row r="123" spans="1:27" s="141" customFormat="1" x14ac:dyDescent="0.2">
      <c r="A123" s="145"/>
      <c r="B123" s="148"/>
      <c r="C123" s="149"/>
      <c r="D123" s="145"/>
      <c r="E123" s="151"/>
      <c r="F123" s="145"/>
      <c r="G123" s="145"/>
      <c r="H123" s="145"/>
      <c r="I123" s="145"/>
      <c r="J123" s="145"/>
      <c r="K123" s="145"/>
      <c r="L123" s="145"/>
      <c r="M123" s="145"/>
      <c r="N123" s="145"/>
      <c r="O123" s="145"/>
      <c r="P123" s="145"/>
      <c r="Q123" s="145"/>
      <c r="R123" s="145" t="str">
        <f t="shared" si="33"/>
        <v/>
      </c>
      <c r="S123" s="145" t="str">
        <f t="shared" si="34"/>
        <v/>
      </c>
      <c r="T123" s="145" t="str">
        <f>""</f>
        <v/>
      </c>
      <c r="U123" s="145" t="str">
        <f t="shared" si="35"/>
        <v/>
      </c>
      <c r="V123" s="145" t="str">
        <f t="shared" si="36"/>
        <v/>
      </c>
      <c r="W123" s="150">
        <f t="shared" si="23"/>
        <v>0</v>
      </c>
      <c r="X123" s="150">
        <f t="shared" si="24"/>
        <v>1.9599639845400536</v>
      </c>
      <c r="Y123" s="150" t="str">
        <f t="shared" si="37"/>
        <v/>
      </c>
      <c r="Z123" s="150" t="str">
        <f t="shared" si="38"/>
        <v/>
      </c>
      <c r="AA123" s="150" t="str">
        <f t="shared" si="39"/>
        <v/>
      </c>
    </row>
    <row r="124" spans="1:27" s="141" customFormat="1" x14ac:dyDescent="0.2">
      <c r="A124" s="145"/>
      <c r="B124" s="148"/>
      <c r="C124" s="149"/>
      <c r="D124" s="145"/>
      <c r="E124" s="151"/>
      <c r="F124" s="145"/>
      <c r="G124" s="145"/>
      <c r="H124" s="145"/>
      <c r="I124" s="145"/>
      <c r="J124" s="145"/>
      <c r="K124" s="145"/>
      <c r="L124" s="145"/>
      <c r="M124" s="145"/>
      <c r="N124" s="145"/>
      <c r="O124" s="145"/>
      <c r="P124" s="145"/>
      <c r="Q124" s="145"/>
      <c r="R124" s="145" t="str">
        <f t="shared" si="33"/>
        <v/>
      </c>
      <c r="S124" s="145" t="str">
        <f t="shared" si="34"/>
        <v/>
      </c>
      <c r="T124" s="145" t="str">
        <f>""</f>
        <v/>
      </c>
      <c r="U124" s="145" t="str">
        <f t="shared" si="35"/>
        <v/>
      </c>
      <c r="V124" s="145" t="str">
        <f t="shared" si="36"/>
        <v/>
      </c>
      <c r="W124" s="150">
        <f t="shared" si="23"/>
        <v>0</v>
      </c>
      <c r="X124" s="150">
        <f t="shared" si="24"/>
        <v>1.9599639845400536</v>
      </c>
      <c r="Y124" s="150" t="str">
        <f t="shared" si="37"/>
        <v/>
      </c>
      <c r="Z124" s="150" t="str">
        <f t="shared" si="38"/>
        <v/>
      </c>
      <c r="AA124" s="150" t="str">
        <f t="shared" si="39"/>
        <v/>
      </c>
    </row>
    <row r="125" spans="1:27" s="141" customFormat="1" x14ac:dyDescent="0.2">
      <c r="A125" s="145"/>
      <c r="B125" s="148"/>
      <c r="C125" s="149"/>
      <c r="D125" s="145"/>
      <c r="E125" s="151"/>
      <c r="F125" s="145"/>
      <c r="G125" s="145"/>
      <c r="H125" s="145"/>
      <c r="I125" s="145"/>
      <c r="J125" s="145"/>
      <c r="K125" s="145"/>
      <c r="L125" s="145"/>
      <c r="M125" s="145"/>
      <c r="N125" s="145"/>
      <c r="O125" s="145"/>
      <c r="P125" s="145"/>
      <c r="Q125" s="145"/>
      <c r="R125" s="145" t="str">
        <f t="shared" si="33"/>
        <v/>
      </c>
      <c r="S125" s="145" t="str">
        <f t="shared" si="34"/>
        <v/>
      </c>
      <c r="T125" s="145" t="str">
        <f>""</f>
        <v/>
      </c>
      <c r="U125" s="145" t="str">
        <f t="shared" si="35"/>
        <v/>
      </c>
      <c r="V125" s="145" t="str">
        <f t="shared" si="36"/>
        <v/>
      </c>
      <c r="W125" s="150">
        <f t="shared" si="23"/>
        <v>0</v>
      </c>
      <c r="X125" s="150">
        <f t="shared" si="24"/>
        <v>1.9599639845400536</v>
      </c>
      <c r="Y125" s="150" t="str">
        <f t="shared" si="37"/>
        <v/>
      </c>
      <c r="Z125" s="150" t="str">
        <f t="shared" si="38"/>
        <v/>
      </c>
      <c r="AA125" s="150" t="str">
        <f t="shared" si="39"/>
        <v/>
      </c>
    </row>
    <row r="126" spans="1:27" s="141" customFormat="1" x14ac:dyDescent="0.2">
      <c r="A126" s="145"/>
      <c r="B126" s="148"/>
      <c r="C126" s="149"/>
      <c r="D126" s="145"/>
      <c r="E126" s="151"/>
      <c r="F126" s="145"/>
      <c r="G126" s="145"/>
      <c r="H126" s="145"/>
      <c r="I126" s="145"/>
      <c r="J126" s="145"/>
      <c r="K126" s="145"/>
      <c r="L126" s="145"/>
      <c r="M126" s="145"/>
      <c r="N126" s="145"/>
      <c r="O126" s="145"/>
      <c r="P126" s="145"/>
      <c r="Q126" s="145"/>
      <c r="R126" s="145" t="str">
        <f t="shared" si="33"/>
        <v/>
      </c>
      <c r="S126" s="145" t="str">
        <f t="shared" si="34"/>
        <v/>
      </c>
      <c r="T126" s="145" t="str">
        <f>""</f>
        <v/>
      </c>
      <c r="U126" s="145" t="str">
        <f t="shared" si="35"/>
        <v/>
      </c>
      <c r="V126" s="145" t="str">
        <f t="shared" si="36"/>
        <v/>
      </c>
      <c r="W126" s="150">
        <f t="shared" si="23"/>
        <v>0</v>
      </c>
      <c r="X126" s="150">
        <f t="shared" si="24"/>
        <v>1.9599639845400536</v>
      </c>
      <c r="Y126" s="150" t="str">
        <f t="shared" si="37"/>
        <v/>
      </c>
      <c r="Z126" s="150" t="str">
        <f t="shared" si="38"/>
        <v/>
      </c>
      <c r="AA126" s="150" t="str">
        <f t="shared" si="39"/>
        <v/>
      </c>
    </row>
    <row r="127" spans="1:27" s="141" customFormat="1" x14ac:dyDescent="0.2">
      <c r="A127" s="145"/>
      <c r="B127" s="148"/>
      <c r="C127" s="149"/>
      <c r="D127" s="145"/>
      <c r="E127" s="151"/>
      <c r="F127" s="145"/>
      <c r="G127" s="145"/>
      <c r="H127" s="145"/>
      <c r="I127" s="145"/>
      <c r="J127" s="145"/>
      <c r="K127" s="145"/>
      <c r="L127" s="145"/>
      <c r="M127" s="145"/>
      <c r="N127" s="145"/>
      <c r="O127" s="145"/>
      <c r="P127" s="145"/>
      <c r="Q127" s="145"/>
      <c r="R127" s="145" t="str">
        <f t="shared" si="33"/>
        <v/>
      </c>
      <c r="S127" s="145" t="str">
        <f t="shared" si="34"/>
        <v/>
      </c>
      <c r="T127" s="145" t="str">
        <f>""</f>
        <v/>
      </c>
      <c r="U127" s="145" t="str">
        <f t="shared" si="35"/>
        <v/>
      </c>
      <c r="V127" s="145" t="str">
        <f t="shared" si="36"/>
        <v/>
      </c>
      <c r="W127" s="150">
        <f t="shared" si="23"/>
        <v>0</v>
      </c>
      <c r="X127" s="150">
        <f t="shared" si="24"/>
        <v>1.9599639845400536</v>
      </c>
      <c r="Y127" s="150" t="str">
        <f t="shared" si="37"/>
        <v/>
      </c>
      <c r="Z127" s="150" t="str">
        <f t="shared" si="38"/>
        <v/>
      </c>
      <c r="AA127" s="150" t="str">
        <f t="shared" si="39"/>
        <v/>
      </c>
    </row>
    <row r="128" spans="1:27" s="141" customFormat="1" x14ac:dyDescent="0.2">
      <c r="A128" s="145"/>
      <c r="B128" s="148"/>
      <c r="C128" s="149"/>
      <c r="D128" s="145"/>
      <c r="E128" s="151"/>
      <c r="F128" s="145"/>
      <c r="G128" s="145"/>
      <c r="H128" s="145"/>
      <c r="I128" s="145"/>
      <c r="J128" s="145"/>
      <c r="K128" s="145"/>
      <c r="L128" s="145"/>
      <c r="M128" s="145"/>
      <c r="N128" s="145"/>
      <c r="O128" s="145"/>
      <c r="P128" s="145"/>
      <c r="Q128" s="145"/>
      <c r="R128" s="145" t="str">
        <f t="shared" si="33"/>
        <v/>
      </c>
      <c r="S128" s="145" t="str">
        <f t="shared" si="34"/>
        <v/>
      </c>
      <c r="T128" s="145" t="str">
        <f>""</f>
        <v/>
      </c>
      <c r="U128" s="145" t="str">
        <f t="shared" si="35"/>
        <v/>
      </c>
      <c r="V128" s="145" t="str">
        <f t="shared" si="36"/>
        <v/>
      </c>
      <c r="W128" s="150">
        <f t="shared" si="23"/>
        <v>0</v>
      </c>
      <c r="X128" s="150">
        <f t="shared" si="24"/>
        <v>1.9599639845400536</v>
      </c>
      <c r="Y128" s="150" t="str">
        <f t="shared" si="37"/>
        <v/>
      </c>
      <c r="Z128" s="150" t="str">
        <f t="shared" si="38"/>
        <v/>
      </c>
      <c r="AA128" s="150" t="str">
        <f t="shared" si="39"/>
        <v/>
      </c>
    </row>
    <row r="129" spans="1:27" s="141" customFormat="1" x14ac:dyDescent="0.2">
      <c r="A129" s="145"/>
      <c r="B129" s="148"/>
      <c r="C129" s="149"/>
      <c r="D129" s="145"/>
      <c r="E129" s="151"/>
      <c r="F129" s="145"/>
      <c r="G129" s="145"/>
      <c r="H129" s="145"/>
      <c r="I129" s="145"/>
      <c r="J129" s="145"/>
      <c r="K129" s="145"/>
      <c r="L129" s="145"/>
      <c r="M129" s="145"/>
      <c r="N129" s="145"/>
      <c r="O129" s="145"/>
      <c r="P129" s="145"/>
      <c r="Q129" s="145"/>
      <c r="R129" s="145" t="str">
        <f t="shared" si="33"/>
        <v/>
      </c>
      <c r="S129" s="145" t="str">
        <f t="shared" si="34"/>
        <v/>
      </c>
      <c r="T129" s="145" t="str">
        <f>""</f>
        <v/>
      </c>
      <c r="U129" s="145" t="str">
        <f t="shared" si="35"/>
        <v/>
      </c>
      <c r="V129" s="145" t="str">
        <f t="shared" si="36"/>
        <v/>
      </c>
      <c r="W129" s="150">
        <f t="shared" si="23"/>
        <v>0</v>
      </c>
      <c r="X129" s="150">
        <f t="shared" si="24"/>
        <v>1.9599639845400536</v>
      </c>
      <c r="Y129" s="150" t="str">
        <f t="shared" si="37"/>
        <v/>
      </c>
      <c r="Z129" s="150" t="str">
        <f t="shared" si="38"/>
        <v/>
      </c>
      <c r="AA129" s="150" t="str">
        <f t="shared" si="39"/>
        <v/>
      </c>
    </row>
    <row r="130" spans="1:27" s="141" customFormat="1" x14ac:dyDescent="0.2">
      <c r="A130" s="145"/>
      <c r="B130" s="148"/>
      <c r="C130" s="149"/>
      <c r="D130" s="145"/>
      <c r="E130" s="151"/>
      <c r="F130" s="145"/>
      <c r="G130" s="145"/>
      <c r="H130" s="145"/>
      <c r="I130" s="145"/>
      <c r="J130" s="145"/>
      <c r="K130" s="145"/>
      <c r="L130" s="145"/>
      <c r="M130" s="145"/>
      <c r="N130" s="145"/>
      <c r="O130" s="145"/>
      <c r="P130" s="145"/>
      <c r="Q130" s="145"/>
      <c r="R130" s="145" t="str">
        <f t="shared" si="33"/>
        <v/>
      </c>
      <c r="S130" s="145" t="str">
        <f t="shared" si="34"/>
        <v/>
      </c>
      <c r="T130" s="145" t="str">
        <f>""</f>
        <v/>
      </c>
      <c r="U130" s="145" t="str">
        <f t="shared" si="35"/>
        <v/>
      </c>
      <c r="V130" s="145" t="str">
        <f t="shared" si="36"/>
        <v/>
      </c>
      <c r="W130" s="150">
        <f t="shared" ref="W130:W178" si="40">IFERROR(VALUE(LEFT($F130, FIND(" ", $F130&amp;" ")-1)),
 IFERROR(VALUE(LEFT($F130, FIND("-", $F130&amp;"-")-1)),
 IFERROR($F130, NA())))</f>
        <v>0</v>
      </c>
      <c r="X130" s="150">
        <f t="shared" ref="X130:X178" si="41">_xlfn.NORM.S.INV(0.975)</f>
        <v>1.9599639845400536</v>
      </c>
      <c r="Y130" s="150" t="str">
        <f t="shared" si="37"/>
        <v/>
      </c>
      <c r="Z130" s="150" t="str">
        <f t="shared" si="38"/>
        <v/>
      </c>
      <c r="AA130" s="150" t="str">
        <f t="shared" si="39"/>
        <v/>
      </c>
    </row>
    <row r="131" spans="1:27" s="141" customFormat="1" x14ac:dyDescent="0.2">
      <c r="A131" s="145"/>
      <c r="B131" s="148"/>
      <c r="C131" s="149"/>
      <c r="D131" s="145"/>
      <c r="E131" s="151"/>
      <c r="F131" s="145"/>
      <c r="G131" s="145"/>
      <c r="H131" s="145"/>
      <c r="I131" s="145"/>
      <c r="J131" s="145"/>
      <c r="K131" s="145"/>
      <c r="L131" s="145"/>
      <c r="M131" s="145"/>
      <c r="N131" s="145"/>
      <c r="O131" s="145"/>
      <c r="P131" s="145"/>
      <c r="Q131" s="145"/>
      <c r="R131" s="145" t="str">
        <f t="shared" si="33"/>
        <v/>
      </c>
      <c r="S131" s="145" t="str">
        <f t="shared" si="34"/>
        <v/>
      </c>
      <c r="T131" s="145" t="str">
        <f>""</f>
        <v/>
      </c>
      <c r="U131" s="145" t="str">
        <f t="shared" si="35"/>
        <v/>
      </c>
      <c r="V131" s="145" t="str">
        <f t="shared" si="36"/>
        <v/>
      </c>
      <c r="W131" s="150">
        <f t="shared" si="40"/>
        <v>0</v>
      </c>
      <c r="X131" s="150">
        <f t="shared" si="41"/>
        <v>1.9599639845400536</v>
      </c>
      <c r="Y131" s="150" t="str">
        <f t="shared" si="37"/>
        <v/>
      </c>
      <c r="Z131" s="150" t="str">
        <f t="shared" si="38"/>
        <v/>
      </c>
      <c r="AA131" s="150" t="str">
        <f t="shared" si="39"/>
        <v/>
      </c>
    </row>
    <row r="132" spans="1:27" s="141" customFormat="1" x14ac:dyDescent="0.2">
      <c r="A132" s="145"/>
      <c r="B132" s="148"/>
      <c r="C132" s="149"/>
      <c r="D132" s="145"/>
      <c r="E132" s="151"/>
      <c r="F132" s="145"/>
      <c r="G132" s="145"/>
      <c r="H132" s="145"/>
      <c r="I132" s="145"/>
      <c r="J132" s="145"/>
      <c r="K132" s="145"/>
      <c r="L132" s="145"/>
      <c r="M132" s="145"/>
      <c r="N132" s="145"/>
      <c r="O132" s="145"/>
      <c r="P132" s="145"/>
      <c r="Q132" s="145"/>
      <c r="R132" s="145" t="str">
        <f t="shared" si="33"/>
        <v/>
      </c>
      <c r="S132" s="145" t="str">
        <f t="shared" si="34"/>
        <v/>
      </c>
      <c r="T132" s="145" t="str">
        <f>""</f>
        <v/>
      </c>
      <c r="U132" s="145" t="str">
        <f t="shared" si="35"/>
        <v/>
      </c>
      <c r="V132" s="145" t="str">
        <f t="shared" si="36"/>
        <v/>
      </c>
      <c r="W132" s="150">
        <f t="shared" si="40"/>
        <v>0</v>
      </c>
      <c r="X132" s="150">
        <f t="shared" si="41"/>
        <v>1.9599639845400536</v>
      </c>
      <c r="Y132" s="150" t="str">
        <f t="shared" si="37"/>
        <v/>
      </c>
      <c r="Z132" s="150" t="str">
        <f t="shared" si="38"/>
        <v/>
      </c>
      <c r="AA132" s="150" t="str">
        <f t="shared" si="39"/>
        <v/>
      </c>
    </row>
    <row r="133" spans="1:27" s="141" customFormat="1" x14ac:dyDescent="0.2">
      <c r="A133" s="145"/>
      <c r="B133" s="148"/>
      <c r="C133" s="149"/>
      <c r="D133" s="145"/>
      <c r="E133" s="151"/>
      <c r="F133" s="145"/>
      <c r="G133" s="145"/>
      <c r="H133" s="145"/>
      <c r="I133" s="145"/>
      <c r="J133" s="145"/>
      <c r="K133" s="145"/>
      <c r="L133" s="145"/>
      <c r="M133" s="145"/>
      <c r="N133" s="145"/>
      <c r="O133" s="145"/>
      <c r="P133" s="145"/>
      <c r="Q133" s="145"/>
      <c r="R133" s="145" t="str">
        <f t="shared" si="33"/>
        <v/>
      </c>
      <c r="S133" s="145" t="str">
        <f t="shared" si="34"/>
        <v/>
      </c>
      <c r="T133" s="145" t="str">
        <f>""</f>
        <v/>
      </c>
      <c r="U133" s="145" t="str">
        <f t="shared" si="35"/>
        <v/>
      </c>
      <c r="V133" s="145" t="str">
        <f t="shared" si="36"/>
        <v/>
      </c>
      <c r="W133" s="150">
        <f t="shared" si="40"/>
        <v>0</v>
      </c>
      <c r="X133" s="150">
        <f t="shared" si="41"/>
        <v>1.9599639845400536</v>
      </c>
      <c r="Y133" s="150" t="str">
        <f t="shared" si="37"/>
        <v/>
      </c>
      <c r="Z133" s="150" t="str">
        <f t="shared" si="38"/>
        <v/>
      </c>
      <c r="AA133" s="150" t="str">
        <f t="shared" si="39"/>
        <v/>
      </c>
    </row>
    <row r="134" spans="1:27" s="141" customFormat="1" x14ac:dyDescent="0.2">
      <c r="A134" s="145"/>
      <c r="B134" s="148"/>
      <c r="C134" s="149"/>
      <c r="D134" s="145"/>
      <c r="E134" s="151"/>
      <c r="F134" s="145"/>
      <c r="G134" s="145"/>
      <c r="H134" s="145"/>
      <c r="I134" s="145"/>
      <c r="J134" s="145"/>
      <c r="K134" s="145"/>
      <c r="L134" s="145"/>
      <c r="M134" s="145"/>
      <c r="N134" s="145"/>
      <c r="O134" s="145"/>
      <c r="P134" s="145"/>
      <c r="Q134" s="145"/>
      <c r="R134" s="145" t="str">
        <f t="shared" si="33"/>
        <v/>
      </c>
      <c r="S134" s="145" t="str">
        <f t="shared" si="34"/>
        <v/>
      </c>
      <c r="T134" s="145" t="str">
        <f>""</f>
        <v/>
      </c>
      <c r="U134" s="145" t="str">
        <f t="shared" si="35"/>
        <v/>
      </c>
      <c r="V134" s="145" t="str">
        <f t="shared" si="36"/>
        <v/>
      </c>
      <c r="W134" s="150">
        <f t="shared" si="40"/>
        <v>0</v>
      </c>
      <c r="X134" s="150">
        <f t="shared" si="41"/>
        <v>1.9599639845400536</v>
      </c>
      <c r="Y134" s="150" t="str">
        <f t="shared" si="37"/>
        <v/>
      </c>
      <c r="Z134" s="150" t="str">
        <f t="shared" si="38"/>
        <v/>
      </c>
      <c r="AA134" s="150" t="str">
        <f t="shared" si="39"/>
        <v/>
      </c>
    </row>
    <row r="135" spans="1:27" s="141" customFormat="1" x14ac:dyDescent="0.2">
      <c r="A135" s="145"/>
      <c r="B135" s="148"/>
      <c r="C135" s="149"/>
      <c r="D135" s="145"/>
      <c r="E135" s="151"/>
      <c r="F135" s="145"/>
      <c r="G135" s="145"/>
      <c r="H135" s="145"/>
      <c r="I135" s="145"/>
      <c r="J135" s="145"/>
      <c r="K135" s="145"/>
      <c r="L135" s="145"/>
      <c r="M135" s="145"/>
      <c r="N135" s="145"/>
      <c r="O135" s="145"/>
      <c r="P135" s="145"/>
      <c r="Q135" s="145"/>
      <c r="R135" s="145" t="str">
        <f t="shared" si="33"/>
        <v/>
      </c>
      <c r="S135" s="145" t="str">
        <f t="shared" si="34"/>
        <v/>
      </c>
      <c r="T135" s="145" t="str">
        <f>""</f>
        <v/>
      </c>
      <c r="U135" s="145" t="str">
        <f t="shared" si="35"/>
        <v/>
      </c>
      <c r="V135" s="145" t="str">
        <f t="shared" si="36"/>
        <v/>
      </c>
      <c r="W135" s="150">
        <f t="shared" si="40"/>
        <v>0</v>
      </c>
      <c r="X135" s="150">
        <f t="shared" si="41"/>
        <v>1.9599639845400536</v>
      </c>
      <c r="Y135" s="150" t="str">
        <f t="shared" si="37"/>
        <v/>
      </c>
      <c r="Z135" s="150" t="str">
        <f t="shared" si="38"/>
        <v/>
      </c>
      <c r="AA135" s="150" t="str">
        <f t="shared" si="39"/>
        <v/>
      </c>
    </row>
    <row r="136" spans="1:27" s="141" customFormat="1" x14ac:dyDescent="0.2">
      <c r="A136" s="145"/>
      <c r="B136" s="148"/>
      <c r="C136" s="149"/>
      <c r="D136" s="145"/>
      <c r="E136" s="151"/>
      <c r="F136" s="145"/>
      <c r="G136" s="145"/>
      <c r="H136" s="145"/>
      <c r="I136" s="145"/>
      <c r="J136" s="145"/>
      <c r="K136" s="145"/>
      <c r="L136" s="145"/>
      <c r="M136" s="145"/>
      <c r="N136" s="145"/>
      <c r="O136" s="145"/>
      <c r="P136" s="145"/>
      <c r="Q136" s="145"/>
      <c r="R136" s="145" t="str">
        <f t="shared" si="33"/>
        <v/>
      </c>
      <c r="S136" s="145" t="str">
        <f t="shared" si="34"/>
        <v/>
      </c>
      <c r="T136" s="145" t="str">
        <f>""</f>
        <v/>
      </c>
      <c r="U136" s="145" t="str">
        <f t="shared" si="35"/>
        <v/>
      </c>
      <c r="V136" s="145" t="str">
        <f t="shared" si="36"/>
        <v/>
      </c>
      <c r="W136" s="150">
        <f t="shared" si="40"/>
        <v>0</v>
      </c>
      <c r="X136" s="150">
        <f t="shared" si="41"/>
        <v>1.9599639845400536</v>
      </c>
      <c r="Y136" s="150" t="str">
        <f t="shared" si="37"/>
        <v/>
      </c>
      <c r="Z136" s="150" t="str">
        <f t="shared" si="38"/>
        <v/>
      </c>
      <c r="AA136" s="150" t="str">
        <f t="shared" si="39"/>
        <v/>
      </c>
    </row>
    <row r="137" spans="1:27" s="141" customFormat="1" x14ac:dyDescent="0.2">
      <c r="A137" s="145"/>
      <c r="B137" s="148"/>
      <c r="C137" s="149"/>
      <c r="D137" s="145"/>
      <c r="E137" s="151"/>
      <c r="F137" s="145"/>
      <c r="G137" s="145"/>
      <c r="H137" s="145"/>
      <c r="I137" s="145"/>
      <c r="J137" s="145"/>
      <c r="K137" s="145"/>
      <c r="L137" s="145"/>
      <c r="M137" s="145"/>
      <c r="N137" s="145"/>
      <c r="O137" s="145"/>
      <c r="P137" s="145"/>
      <c r="Q137" s="145"/>
      <c r="R137" s="145" t="str">
        <f t="shared" si="33"/>
        <v/>
      </c>
      <c r="S137" s="145" t="str">
        <f t="shared" si="34"/>
        <v/>
      </c>
      <c r="T137" s="145" t="str">
        <f>""</f>
        <v/>
      </c>
      <c r="U137" s="145" t="str">
        <f t="shared" si="35"/>
        <v/>
      </c>
      <c r="V137" s="145" t="str">
        <f t="shared" si="36"/>
        <v/>
      </c>
      <c r="W137" s="150">
        <f t="shared" si="40"/>
        <v>0</v>
      </c>
      <c r="X137" s="150">
        <f t="shared" si="41"/>
        <v>1.9599639845400536</v>
      </c>
      <c r="Y137" s="150" t="str">
        <f t="shared" si="37"/>
        <v/>
      </c>
      <c r="Z137" s="150" t="str">
        <f t="shared" si="38"/>
        <v/>
      </c>
      <c r="AA137" s="150" t="str">
        <f t="shared" si="39"/>
        <v/>
      </c>
    </row>
    <row r="138" spans="1:27" s="141" customFormat="1" x14ac:dyDescent="0.2">
      <c r="A138" s="145"/>
      <c r="B138" s="148"/>
      <c r="C138" s="149"/>
      <c r="D138" s="145"/>
      <c r="E138" s="151"/>
      <c r="F138" s="145"/>
      <c r="G138" s="145"/>
      <c r="H138" s="145"/>
      <c r="I138" s="145"/>
      <c r="J138" s="145"/>
      <c r="K138" s="145"/>
      <c r="L138" s="145"/>
      <c r="M138" s="145"/>
      <c r="N138" s="145"/>
      <c r="O138" s="145"/>
      <c r="P138" s="145"/>
      <c r="Q138" s="145"/>
      <c r="R138" s="145" t="str">
        <f t="shared" si="33"/>
        <v/>
      </c>
      <c r="S138" s="145" t="str">
        <f t="shared" si="34"/>
        <v/>
      </c>
      <c r="T138" s="145" t="str">
        <f>""</f>
        <v/>
      </c>
      <c r="U138" s="145" t="str">
        <f t="shared" si="35"/>
        <v/>
      </c>
      <c r="V138" s="145" t="str">
        <f t="shared" si="36"/>
        <v/>
      </c>
      <c r="W138" s="150">
        <f t="shared" si="40"/>
        <v>0</v>
      </c>
      <c r="X138" s="150">
        <f t="shared" si="41"/>
        <v>1.9599639845400536</v>
      </c>
      <c r="Y138" s="150" t="str">
        <f t="shared" si="37"/>
        <v/>
      </c>
      <c r="Z138" s="150" t="str">
        <f t="shared" si="38"/>
        <v/>
      </c>
      <c r="AA138" s="150" t="str">
        <f t="shared" si="39"/>
        <v/>
      </c>
    </row>
    <row r="139" spans="1:27" s="141" customFormat="1" x14ac:dyDescent="0.2">
      <c r="A139" s="145"/>
      <c r="B139" s="148"/>
      <c r="C139" s="149"/>
      <c r="D139" s="145"/>
      <c r="E139" s="151"/>
      <c r="F139" s="145"/>
      <c r="G139" s="145"/>
      <c r="H139" s="145"/>
      <c r="I139" s="145"/>
      <c r="J139" s="145"/>
      <c r="K139" s="145"/>
      <c r="L139" s="145"/>
      <c r="M139" s="145"/>
      <c r="N139" s="145"/>
      <c r="O139" s="145"/>
      <c r="P139" s="145"/>
      <c r="Q139" s="145"/>
      <c r="R139" s="145" t="str">
        <f t="shared" si="33"/>
        <v/>
      </c>
      <c r="S139" s="145" t="str">
        <f t="shared" si="34"/>
        <v/>
      </c>
      <c r="T139" s="145" t="str">
        <f>""</f>
        <v/>
      </c>
      <c r="U139" s="145" t="str">
        <f t="shared" si="35"/>
        <v/>
      </c>
      <c r="V139" s="145" t="str">
        <f t="shared" si="36"/>
        <v/>
      </c>
      <c r="W139" s="150">
        <f t="shared" si="40"/>
        <v>0</v>
      </c>
      <c r="X139" s="150">
        <f t="shared" si="41"/>
        <v>1.9599639845400536</v>
      </c>
      <c r="Y139" s="150" t="str">
        <f t="shared" si="37"/>
        <v/>
      </c>
      <c r="Z139" s="150" t="str">
        <f t="shared" si="38"/>
        <v/>
      </c>
      <c r="AA139" s="150" t="str">
        <f t="shared" si="39"/>
        <v/>
      </c>
    </row>
    <row r="140" spans="1:27" s="141" customFormat="1" x14ac:dyDescent="0.2">
      <c r="A140" s="145"/>
      <c r="B140" s="148"/>
      <c r="C140" s="149"/>
      <c r="D140" s="145"/>
      <c r="E140" s="151"/>
      <c r="F140" s="145"/>
      <c r="G140" s="145"/>
      <c r="H140" s="145"/>
      <c r="I140" s="145"/>
      <c r="J140" s="145"/>
      <c r="K140" s="145"/>
      <c r="L140" s="145"/>
      <c r="M140" s="145"/>
      <c r="N140" s="145"/>
      <c r="O140" s="145"/>
      <c r="P140" s="145"/>
      <c r="Q140" s="145"/>
      <c r="R140" s="145" t="str">
        <f t="shared" si="33"/>
        <v/>
      </c>
      <c r="S140" s="145" t="str">
        <f t="shared" si="34"/>
        <v/>
      </c>
      <c r="T140" s="145" t="str">
        <f>""</f>
        <v/>
      </c>
      <c r="U140" s="145" t="str">
        <f t="shared" si="35"/>
        <v/>
      </c>
      <c r="V140" s="145" t="str">
        <f t="shared" si="36"/>
        <v/>
      </c>
      <c r="W140" s="150">
        <f t="shared" si="40"/>
        <v>0</v>
      </c>
      <c r="X140" s="150">
        <f t="shared" si="41"/>
        <v>1.9599639845400536</v>
      </c>
      <c r="Y140" s="150" t="str">
        <f t="shared" si="37"/>
        <v/>
      </c>
      <c r="Z140" s="150" t="str">
        <f t="shared" si="38"/>
        <v/>
      </c>
      <c r="AA140" s="150" t="str">
        <f t="shared" si="39"/>
        <v/>
      </c>
    </row>
    <row r="141" spans="1:27" s="141" customFormat="1" x14ac:dyDescent="0.2">
      <c r="A141" s="145"/>
      <c r="B141" s="148"/>
      <c r="C141" s="149"/>
      <c r="D141" s="145"/>
      <c r="E141" s="151"/>
      <c r="F141" s="145"/>
      <c r="G141" s="145"/>
      <c r="H141" s="145"/>
      <c r="I141" s="145"/>
      <c r="J141" s="145"/>
      <c r="K141" s="145"/>
      <c r="L141" s="145"/>
      <c r="M141" s="145"/>
      <c r="N141" s="145"/>
      <c r="O141" s="145"/>
      <c r="P141" s="145"/>
      <c r="Q141" s="145"/>
      <c r="R141" s="145" t="str">
        <f t="shared" si="33"/>
        <v/>
      </c>
      <c r="S141" s="145" t="str">
        <f t="shared" si="34"/>
        <v/>
      </c>
      <c r="T141" s="145" t="str">
        <f>""</f>
        <v/>
      </c>
      <c r="U141" s="145" t="str">
        <f t="shared" si="35"/>
        <v/>
      </c>
      <c r="V141" s="145" t="str">
        <f t="shared" si="36"/>
        <v/>
      </c>
      <c r="W141" s="150">
        <f t="shared" si="40"/>
        <v>0</v>
      </c>
      <c r="X141" s="150">
        <f t="shared" si="41"/>
        <v>1.9599639845400536</v>
      </c>
      <c r="Y141" s="150" t="str">
        <f t="shared" si="37"/>
        <v/>
      </c>
      <c r="Z141" s="150" t="str">
        <f t="shared" si="38"/>
        <v/>
      </c>
      <c r="AA141" s="150" t="str">
        <f t="shared" si="39"/>
        <v/>
      </c>
    </row>
    <row r="142" spans="1:27" s="141" customFormat="1" x14ac:dyDescent="0.2">
      <c r="A142" s="145"/>
      <c r="B142" s="148"/>
      <c r="C142" s="149"/>
      <c r="D142" s="145"/>
      <c r="E142" s="151"/>
      <c r="F142" s="145"/>
      <c r="G142" s="145"/>
      <c r="H142" s="145"/>
      <c r="I142" s="145"/>
      <c r="J142" s="145"/>
      <c r="K142" s="145"/>
      <c r="L142" s="145"/>
      <c r="M142" s="145"/>
      <c r="N142" s="145"/>
      <c r="O142" s="145"/>
      <c r="P142" s="145"/>
      <c r="Q142" s="145"/>
      <c r="R142" s="145" t="str">
        <f t="shared" si="33"/>
        <v/>
      </c>
      <c r="S142" s="145" t="str">
        <f t="shared" si="34"/>
        <v/>
      </c>
      <c r="T142" s="145" t="str">
        <f>""</f>
        <v/>
      </c>
      <c r="U142" s="145" t="str">
        <f t="shared" si="35"/>
        <v/>
      </c>
      <c r="V142" s="145" t="str">
        <f t="shared" si="36"/>
        <v/>
      </c>
      <c r="W142" s="150">
        <f t="shared" si="40"/>
        <v>0</v>
      </c>
      <c r="X142" s="150">
        <f t="shared" si="41"/>
        <v>1.9599639845400536</v>
      </c>
      <c r="Y142" s="150" t="str">
        <f t="shared" si="37"/>
        <v/>
      </c>
      <c r="Z142" s="150" t="str">
        <f t="shared" si="38"/>
        <v/>
      </c>
      <c r="AA142" s="150" t="str">
        <f t="shared" si="39"/>
        <v/>
      </c>
    </row>
    <row r="143" spans="1:27" s="141" customFormat="1" x14ac:dyDescent="0.2">
      <c r="A143" s="145"/>
      <c r="B143" s="148"/>
      <c r="C143" s="149"/>
      <c r="D143" s="145"/>
      <c r="E143" s="151"/>
      <c r="F143" s="145"/>
      <c r="G143" s="145"/>
      <c r="H143" s="145"/>
      <c r="I143" s="145"/>
      <c r="J143" s="145"/>
      <c r="K143" s="145"/>
      <c r="L143" s="145"/>
      <c r="M143" s="145"/>
      <c r="N143" s="145"/>
      <c r="O143" s="145"/>
      <c r="P143" s="145"/>
      <c r="Q143" s="145"/>
      <c r="R143" s="145" t="str">
        <f t="shared" si="33"/>
        <v/>
      </c>
      <c r="S143" s="145" t="str">
        <f t="shared" si="34"/>
        <v/>
      </c>
      <c r="T143" s="145" t="str">
        <f>""</f>
        <v/>
      </c>
      <c r="U143" s="145" t="str">
        <f t="shared" si="35"/>
        <v/>
      </c>
      <c r="V143" s="145" t="str">
        <f t="shared" si="36"/>
        <v/>
      </c>
      <c r="W143" s="150">
        <f t="shared" si="40"/>
        <v>0</v>
      </c>
      <c r="X143" s="150">
        <f t="shared" si="41"/>
        <v>1.9599639845400536</v>
      </c>
      <c r="Y143" s="150" t="str">
        <f t="shared" si="37"/>
        <v/>
      </c>
      <c r="Z143" s="150" t="str">
        <f t="shared" si="38"/>
        <v/>
      </c>
      <c r="AA143" s="150" t="str">
        <f t="shared" si="39"/>
        <v/>
      </c>
    </row>
    <row r="144" spans="1:27" s="141" customFormat="1" x14ac:dyDescent="0.2">
      <c r="A144" s="145"/>
      <c r="B144" s="148"/>
      <c r="C144" s="149"/>
      <c r="D144" s="145"/>
      <c r="E144" s="151"/>
      <c r="F144" s="145"/>
      <c r="G144" s="145"/>
      <c r="H144" s="145"/>
      <c r="I144" s="145"/>
      <c r="J144" s="145"/>
      <c r="K144" s="145"/>
      <c r="L144" s="145"/>
      <c r="M144" s="145"/>
      <c r="N144" s="145"/>
      <c r="O144" s="145"/>
      <c r="P144" s="145"/>
      <c r="Q144" s="145"/>
      <c r="R144" s="145" t="str">
        <f t="shared" si="33"/>
        <v/>
      </c>
      <c r="S144" s="145" t="str">
        <f t="shared" si="34"/>
        <v/>
      </c>
      <c r="T144" s="145" t="str">
        <f>""</f>
        <v/>
      </c>
      <c r="U144" s="145" t="str">
        <f t="shared" si="35"/>
        <v/>
      </c>
      <c r="V144" s="145" t="str">
        <f t="shared" si="36"/>
        <v/>
      </c>
      <c r="W144" s="150">
        <f t="shared" si="40"/>
        <v>0</v>
      </c>
      <c r="X144" s="150">
        <f t="shared" si="41"/>
        <v>1.9599639845400536</v>
      </c>
      <c r="Y144" s="150" t="str">
        <f t="shared" si="37"/>
        <v/>
      </c>
      <c r="Z144" s="150" t="str">
        <f t="shared" si="38"/>
        <v/>
      </c>
      <c r="AA144" s="150" t="str">
        <f t="shared" si="39"/>
        <v/>
      </c>
    </row>
    <row r="145" spans="1:27" s="141" customFormat="1" x14ac:dyDescent="0.2">
      <c r="A145" s="145"/>
      <c r="B145" s="148"/>
      <c r="C145" s="149"/>
      <c r="D145" s="145"/>
      <c r="E145" s="151"/>
      <c r="F145" s="145"/>
      <c r="G145" s="145"/>
      <c r="H145" s="145"/>
      <c r="I145" s="145"/>
      <c r="J145" s="145"/>
      <c r="K145" s="145"/>
      <c r="L145" s="145"/>
      <c r="M145" s="145"/>
      <c r="N145" s="145"/>
      <c r="O145" s="145"/>
      <c r="P145" s="145"/>
      <c r="Q145" s="145"/>
      <c r="R145" s="145" t="str">
        <f t="shared" si="33"/>
        <v/>
      </c>
      <c r="S145" s="145" t="str">
        <f t="shared" si="34"/>
        <v/>
      </c>
      <c r="T145" s="145" t="str">
        <f>""</f>
        <v/>
      </c>
      <c r="U145" s="145" t="str">
        <f t="shared" si="35"/>
        <v/>
      </c>
      <c r="V145" s="145" t="str">
        <f t="shared" si="36"/>
        <v/>
      </c>
      <c r="W145" s="150">
        <f t="shared" si="40"/>
        <v>0</v>
      </c>
      <c r="X145" s="150">
        <f t="shared" si="41"/>
        <v>1.9599639845400536</v>
      </c>
      <c r="Y145" s="150" t="str">
        <f t="shared" si="37"/>
        <v/>
      </c>
      <c r="Z145" s="150" t="str">
        <f t="shared" si="38"/>
        <v/>
      </c>
      <c r="AA145" s="150" t="str">
        <f t="shared" si="39"/>
        <v/>
      </c>
    </row>
    <row r="146" spans="1:27" s="141" customFormat="1" x14ac:dyDescent="0.2">
      <c r="A146" s="145"/>
      <c r="B146" s="148"/>
      <c r="C146" s="149"/>
      <c r="D146" s="145"/>
      <c r="E146" s="151"/>
      <c r="F146" s="145"/>
      <c r="G146" s="145"/>
      <c r="H146" s="145"/>
      <c r="I146" s="145"/>
      <c r="J146" s="145"/>
      <c r="K146" s="145"/>
      <c r="L146" s="145"/>
      <c r="M146" s="145"/>
      <c r="N146" s="145"/>
      <c r="O146" s="145"/>
      <c r="P146" s="145"/>
      <c r="Q146" s="145"/>
      <c r="R146" s="145" t="str">
        <f t="shared" ref="R146:R178" si="42">IF($E146="","",
 IF($W146=1, $E146,
 IF($W146=2,
    IF(OR(UPPER($G146)="GSD", AND($H146&lt;&gt;"", ISNUMBER($H146))),
       LN(ABS($E146)),
       IF(OR(UPPER($G146)="95%", AND($P146&gt;0, $Q146&gt;0)),
          (LN($P146)+LN($Q146))/2,
          ""
       )
    ),
 IF($W146=3, $E146,
 IF($W146=4, "",
 IF($W146=5, $E146, ""))))))</f>
        <v/>
      </c>
      <c r="S146" s="145" t="str">
        <f t="shared" ref="S146:S179" si="43">IF($E146="","",
 IF($W146=1, "",
 IF($W146=2,
    IF(OR(UPPER($G146)="GSD", AND($H146&lt;&gt;"", ISNUMBER($H146))),
       LN($H146),
       IF(OR(UPPER($G146)="95%", AND($P146&gt;0, $Q146&gt;0)),
          LN($Q146/$P146)/(2*$X$3),
          ""
       )
    ),
 IF($W146=3, $I146, ""))))</f>
        <v/>
      </c>
      <c r="T146" s="145" t="str">
        <f>""</f>
        <v/>
      </c>
      <c r="U146" s="145" t="str">
        <f t="shared" ref="U146:U179" si="44">IF($E146="","",
 IF(OR($W146=5,$W146=4),
    IF($J146&lt;&gt;"",$J146,
       IF(ISNUMBER($O146),
          IF($E146&gt;=0,$E146*(1-$O146),$E146*(1+$O146)),
          IF(OR($L146=TRUE, UPPER($L146)="YES", UPPER($L146)="TRUE", $L146=1),
             IF($E146&gt;=0,$E146*(1-$M146),$E146*(1+$M146)),
             IF(AND($E146&lt;0,$K146="", $O146="", NOT(OR($L146=TRUE, UPPER($L146)="YES", UPPER($L146)="TRUE", $L146=1))),
                2*$E146,
                ""
             )
          )
       )
    ),
    ""
 ))</f>
        <v/>
      </c>
      <c r="V146" s="145" t="str">
        <f t="shared" ref="V146:V178" si="45">IF($E146="","",
 IF(OR($W146=5,$W146=4),
    IF($K146&lt;&gt;"",$K146,
       IF(ISNUMBER($O146),
          IF($E146&gt;=0,$E146*(1+$O146),$E146*(1-$O146)),
          IF(OR($L146=TRUE, UPPER($L146)="YES", UPPER($L146)="TRUE", $L146=1),
             IF($E146&gt;=0,$E146*(1+$N146),$E146*(1-$N146)),
             IF(AND($E146&lt;0,$J146="", $O146="", NOT(OR($L146=TRUE, UPPER($L146)="YES", UPPER($L146)="TRUE", $L146=1))),
                0,
                ""
             )
          )
       )
    ),
    ""
 ))</f>
        <v/>
      </c>
      <c r="W146" s="150">
        <f t="shared" si="40"/>
        <v>0</v>
      </c>
      <c r="X146" s="150">
        <f t="shared" si="41"/>
        <v>1.9599639845400536</v>
      </c>
      <c r="Y146" s="150" t="str">
        <f t="shared" ref="Y146:Y178" si="46">IF($E146="","",
 IF($W146=2,
    IF(OR(UPPER($G146)="GSD", AND($H146&lt;&gt;"", ISNUMBER($H146))),
       $E146*EXP(-$X$3*LN($H146)),
       IF($P146&gt;0, $P146, "")
    ),
    ""
 ))</f>
        <v/>
      </c>
      <c r="Z146" s="150" t="str">
        <f t="shared" ref="Z146:Z178" si="47">IF($E146="","",
 IF($W146=2,
    IF(OR(UPPER($G146)="GSD", AND($H146&lt;&gt;"", ISNUMBER($H146))),
       $E146*EXP($X$3*LN($H146)),
       IF($Q146&gt;0, $Q146, "")
    ),
    ""
 ))</f>
        <v/>
      </c>
      <c r="AA146" s="150" t="str">
        <f t="shared" ref="AA146:AA178" si="48">IF($E146="","",
 IF(AND($W146=2, $P146&gt;0, $Q146&gt;0),
    EXP(LN($Q146/$P146)/(2*$X$3)),
    ""
 ))</f>
        <v/>
      </c>
    </row>
    <row r="147" spans="1:27" s="141" customFormat="1" x14ac:dyDescent="0.2">
      <c r="A147" s="145"/>
      <c r="B147" s="148"/>
      <c r="C147" s="149"/>
      <c r="D147" s="145"/>
      <c r="E147" s="151"/>
      <c r="F147" s="145"/>
      <c r="G147" s="145"/>
      <c r="H147" s="145"/>
      <c r="I147" s="145"/>
      <c r="J147" s="145"/>
      <c r="K147" s="145"/>
      <c r="L147" s="145"/>
      <c r="M147" s="145"/>
      <c r="N147" s="145"/>
      <c r="O147" s="145"/>
      <c r="P147" s="145"/>
      <c r="Q147" s="145"/>
      <c r="R147" s="145" t="str">
        <f t="shared" si="42"/>
        <v/>
      </c>
      <c r="S147" s="145" t="str">
        <f t="shared" si="43"/>
        <v/>
      </c>
      <c r="T147" s="145" t="str">
        <f>""</f>
        <v/>
      </c>
      <c r="U147" s="145" t="str">
        <f t="shared" si="44"/>
        <v/>
      </c>
      <c r="V147" s="145" t="str">
        <f t="shared" si="45"/>
        <v/>
      </c>
      <c r="W147" s="150">
        <f t="shared" si="40"/>
        <v>0</v>
      </c>
      <c r="X147" s="150">
        <f t="shared" si="41"/>
        <v>1.9599639845400536</v>
      </c>
      <c r="Y147" s="150" t="str">
        <f t="shared" si="46"/>
        <v/>
      </c>
      <c r="Z147" s="150" t="str">
        <f t="shared" si="47"/>
        <v/>
      </c>
      <c r="AA147" s="150" t="str">
        <f t="shared" si="48"/>
        <v/>
      </c>
    </row>
    <row r="148" spans="1:27" s="141" customFormat="1" x14ac:dyDescent="0.2">
      <c r="A148" s="145"/>
      <c r="B148" s="148"/>
      <c r="C148" s="149"/>
      <c r="D148" s="145"/>
      <c r="E148" s="151"/>
      <c r="F148" s="145"/>
      <c r="G148" s="145"/>
      <c r="H148" s="145"/>
      <c r="I148" s="145"/>
      <c r="J148" s="145"/>
      <c r="K148" s="145"/>
      <c r="L148" s="145"/>
      <c r="M148" s="145"/>
      <c r="N148" s="145"/>
      <c r="O148" s="145"/>
      <c r="P148" s="145"/>
      <c r="Q148" s="145"/>
      <c r="R148" s="145" t="str">
        <f t="shared" si="42"/>
        <v/>
      </c>
      <c r="S148" s="145" t="str">
        <f t="shared" si="43"/>
        <v/>
      </c>
      <c r="T148" s="145" t="str">
        <f>""</f>
        <v/>
      </c>
      <c r="U148" s="145" t="str">
        <f t="shared" si="44"/>
        <v/>
      </c>
      <c r="V148" s="145" t="str">
        <f t="shared" si="45"/>
        <v/>
      </c>
      <c r="W148" s="150">
        <f t="shared" si="40"/>
        <v>0</v>
      </c>
      <c r="X148" s="150">
        <f t="shared" si="41"/>
        <v>1.9599639845400536</v>
      </c>
      <c r="Y148" s="150" t="str">
        <f t="shared" si="46"/>
        <v/>
      </c>
      <c r="Z148" s="150" t="str">
        <f t="shared" si="47"/>
        <v/>
      </c>
      <c r="AA148" s="150" t="str">
        <f t="shared" si="48"/>
        <v/>
      </c>
    </row>
    <row r="149" spans="1:27" s="141" customFormat="1" x14ac:dyDescent="0.2">
      <c r="A149" s="145"/>
      <c r="B149" s="148"/>
      <c r="C149" s="149"/>
      <c r="D149" s="145"/>
      <c r="E149" s="151"/>
      <c r="F149" s="145"/>
      <c r="G149" s="145"/>
      <c r="H149" s="145"/>
      <c r="I149" s="145"/>
      <c r="J149" s="145"/>
      <c r="K149" s="145"/>
      <c r="L149" s="145"/>
      <c r="M149" s="145"/>
      <c r="N149" s="145"/>
      <c r="O149" s="145"/>
      <c r="P149" s="145"/>
      <c r="Q149" s="145"/>
      <c r="R149" s="145" t="str">
        <f t="shared" si="42"/>
        <v/>
      </c>
      <c r="S149" s="145" t="str">
        <f t="shared" si="43"/>
        <v/>
      </c>
      <c r="T149" s="145" t="str">
        <f>""</f>
        <v/>
      </c>
      <c r="U149" s="145" t="str">
        <f t="shared" si="44"/>
        <v/>
      </c>
      <c r="V149" s="145" t="str">
        <f t="shared" si="45"/>
        <v/>
      </c>
      <c r="W149" s="150">
        <f t="shared" si="40"/>
        <v>0</v>
      </c>
      <c r="X149" s="150">
        <f t="shared" si="41"/>
        <v>1.9599639845400536</v>
      </c>
      <c r="Y149" s="150" t="str">
        <f t="shared" si="46"/>
        <v/>
      </c>
      <c r="Z149" s="150" t="str">
        <f t="shared" si="47"/>
        <v/>
      </c>
      <c r="AA149" s="150" t="str">
        <f t="shared" si="48"/>
        <v/>
      </c>
    </row>
    <row r="150" spans="1:27" s="141" customFormat="1" x14ac:dyDescent="0.2">
      <c r="A150" s="145"/>
      <c r="B150" s="148"/>
      <c r="C150" s="149"/>
      <c r="D150" s="145"/>
      <c r="E150" s="151"/>
      <c r="F150" s="145"/>
      <c r="G150" s="145"/>
      <c r="H150" s="145"/>
      <c r="I150" s="145"/>
      <c r="J150" s="145"/>
      <c r="K150" s="145"/>
      <c r="L150" s="145"/>
      <c r="M150" s="145"/>
      <c r="N150" s="145"/>
      <c r="O150" s="145"/>
      <c r="P150" s="145"/>
      <c r="Q150" s="145"/>
      <c r="R150" s="145" t="str">
        <f t="shared" si="42"/>
        <v/>
      </c>
      <c r="S150" s="145" t="str">
        <f t="shared" si="43"/>
        <v/>
      </c>
      <c r="T150" s="145" t="str">
        <f>""</f>
        <v/>
      </c>
      <c r="U150" s="145" t="str">
        <f t="shared" si="44"/>
        <v/>
      </c>
      <c r="V150" s="145" t="str">
        <f t="shared" si="45"/>
        <v/>
      </c>
      <c r="W150" s="150">
        <f t="shared" si="40"/>
        <v>0</v>
      </c>
      <c r="X150" s="150">
        <f t="shared" si="41"/>
        <v>1.9599639845400536</v>
      </c>
      <c r="Y150" s="150" t="str">
        <f t="shared" si="46"/>
        <v/>
      </c>
      <c r="Z150" s="150" t="str">
        <f t="shared" si="47"/>
        <v/>
      </c>
      <c r="AA150" s="150" t="str">
        <f t="shared" si="48"/>
        <v/>
      </c>
    </row>
    <row r="151" spans="1:27" s="141" customFormat="1" x14ac:dyDescent="0.2">
      <c r="A151" s="145"/>
      <c r="B151" s="148"/>
      <c r="C151" s="149"/>
      <c r="D151" s="145"/>
      <c r="E151" s="151"/>
      <c r="F151" s="145"/>
      <c r="G151" s="145"/>
      <c r="H151" s="145"/>
      <c r="I151" s="145"/>
      <c r="J151" s="145"/>
      <c r="K151" s="145"/>
      <c r="L151" s="145"/>
      <c r="M151" s="145"/>
      <c r="N151" s="145"/>
      <c r="O151" s="145"/>
      <c r="P151" s="145"/>
      <c r="Q151" s="145"/>
      <c r="R151" s="145" t="str">
        <f t="shared" si="42"/>
        <v/>
      </c>
      <c r="S151" s="145" t="str">
        <f t="shared" si="43"/>
        <v/>
      </c>
      <c r="T151" s="145" t="str">
        <f>""</f>
        <v/>
      </c>
      <c r="U151" s="145" t="str">
        <f t="shared" si="44"/>
        <v/>
      </c>
      <c r="V151" s="145" t="str">
        <f t="shared" si="45"/>
        <v/>
      </c>
      <c r="W151" s="150">
        <f t="shared" si="40"/>
        <v>0</v>
      </c>
      <c r="X151" s="150">
        <f t="shared" si="41"/>
        <v>1.9599639845400536</v>
      </c>
      <c r="Y151" s="150" t="str">
        <f t="shared" si="46"/>
        <v/>
      </c>
      <c r="Z151" s="150" t="str">
        <f t="shared" si="47"/>
        <v/>
      </c>
      <c r="AA151" s="150" t="str">
        <f t="shared" si="48"/>
        <v/>
      </c>
    </row>
    <row r="152" spans="1:27" s="141" customFormat="1" x14ac:dyDescent="0.2">
      <c r="A152" s="145"/>
      <c r="B152" s="148"/>
      <c r="C152" s="149"/>
      <c r="D152" s="145"/>
      <c r="E152" s="151"/>
      <c r="F152" s="145"/>
      <c r="G152" s="145"/>
      <c r="H152" s="145"/>
      <c r="I152" s="145"/>
      <c r="J152" s="145"/>
      <c r="K152" s="145"/>
      <c r="L152" s="145"/>
      <c r="M152" s="145"/>
      <c r="N152" s="145"/>
      <c r="O152" s="145"/>
      <c r="P152" s="145"/>
      <c r="Q152" s="145"/>
      <c r="R152" s="145" t="str">
        <f t="shared" si="42"/>
        <v/>
      </c>
      <c r="S152" s="145" t="str">
        <f t="shared" si="43"/>
        <v/>
      </c>
      <c r="T152" s="145" t="str">
        <f>""</f>
        <v/>
      </c>
      <c r="U152" s="145" t="str">
        <f t="shared" si="44"/>
        <v/>
      </c>
      <c r="V152" s="145" t="str">
        <f t="shared" si="45"/>
        <v/>
      </c>
      <c r="W152" s="150">
        <f t="shared" si="40"/>
        <v>0</v>
      </c>
      <c r="X152" s="150">
        <f t="shared" si="41"/>
        <v>1.9599639845400536</v>
      </c>
      <c r="Y152" s="150" t="str">
        <f t="shared" si="46"/>
        <v/>
      </c>
      <c r="Z152" s="150" t="str">
        <f t="shared" si="47"/>
        <v/>
      </c>
      <c r="AA152" s="150" t="str">
        <f t="shared" si="48"/>
        <v/>
      </c>
    </row>
    <row r="153" spans="1:27" s="141" customFormat="1" x14ac:dyDescent="0.2">
      <c r="A153" s="145"/>
      <c r="B153" s="148"/>
      <c r="C153" s="149"/>
      <c r="D153" s="145"/>
      <c r="E153" s="151"/>
      <c r="F153" s="145"/>
      <c r="G153" s="145"/>
      <c r="H153" s="145"/>
      <c r="I153" s="145"/>
      <c r="J153" s="145"/>
      <c r="K153" s="145"/>
      <c r="L153" s="145"/>
      <c r="M153" s="145"/>
      <c r="N153" s="145"/>
      <c r="O153" s="145"/>
      <c r="P153" s="145"/>
      <c r="Q153" s="145"/>
      <c r="R153" s="145" t="str">
        <f t="shared" si="42"/>
        <v/>
      </c>
      <c r="S153" s="145" t="str">
        <f t="shared" si="43"/>
        <v/>
      </c>
      <c r="T153" s="145" t="str">
        <f>""</f>
        <v/>
      </c>
      <c r="U153" s="145" t="str">
        <f t="shared" si="44"/>
        <v/>
      </c>
      <c r="V153" s="145" t="str">
        <f t="shared" si="45"/>
        <v/>
      </c>
      <c r="W153" s="150">
        <f t="shared" si="40"/>
        <v>0</v>
      </c>
      <c r="X153" s="150">
        <f t="shared" si="41"/>
        <v>1.9599639845400536</v>
      </c>
      <c r="Y153" s="150" t="str">
        <f t="shared" si="46"/>
        <v/>
      </c>
      <c r="Z153" s="150" t="str">
        <f t="shared" si="47"/>
        <v/>
      </c>
      <c r="AA153" s="150" t="str">
        <f t="shared" si="48"/>
        <v/>
      </c>
    </row>
    <row r="154" spans="1:27" s="141" customFormat="1" x14ac:dyDescent="0.2">
      <c r="A154" s="145"/>
      <c r="B154" s="148"/>
      <c r="C154" s="149"/>
      <c r="D154" s="145"/>
      <c r="E154" s="151"/>
      <c r="F154" s="145"/>
      <c r="G154" s="145"/>
      <c r="H154" s="145"/>
      <c r="I154" s="145"/>
      <c r="J154" s="145"/>
      <c r="K154" s="145"/>
      <c r="L154" s="145"/>
      <c r="M154" s="145"/>
      <c r="N154" s="145"/>
      <c r="O154" s="145"/>
      <c r="P154" s="145"/>
      <c r="Q154" s="145"/>
      <c r="R154" s="145" t="str">
        <f t="shared" si="42"/>
        <v/>
      </c>
      <c r="S154" s="145" t="str">
        <f t="shared" si="43"/>
        <v/>
      </c>
      <c r="T154" s="145" t="str">
        <f>""</f>
        <v/>
      </c>
      <c r="U154" s="145" t="str">
        <f t="shared" si="44"/>
        <v/>
      </c>
      <c r="V154" s="145" t="str">
        <f t="shared" si="45"/>
        <v/>
      </c>
      <c r="W154" s="150">
        <f t="shared" si="40"/>
        <v>0</v>
      </c>
      <c r="X154" s="150">
        <f t="shared" si="41"/>
        <v>1.9599639845400536</v>
      </c>
      <c r="Y154" s="150" t="str">
        <f t="shared" si="46"/>
        <v/>
      </c>
      <c r="Z154" s="150" t="str">
        <f t="shared" si="47"/>
        <v/>
      </c>
      <c r="AA154" s="150" t="str">
        <f t="shared" si="48"/>
        <v/>
      </c>
    </row>
    <row r="155" spans="1:27" s="141" customFormat="1" x14ac:dyDescent="0.2">
      <c r="A155" s="145"/>
      <c r="B155" s="148"/>
      <c r="C155" s="149"/>
      <c r="D155" s="145"/>
      <c r="E155" s="151"/>
      <c r="F155" s="145"/>
      <c r="G155" s="145"/>
      <c r="H155" s="145"/>
      <c r="I155" s="145"/>
      <c r="J155" s="145"/>
      <c r="K155" s="145"/>
      <c r="L155" s="145"/>
      <c r="M155" s="145"/>
      <c r="N155" s="145"/>
      <c r="O155" s="145"/>
      <c r="P155" s="145"/>
      <c r="Q155" s="145"/>
      <c r="R155" s="145" t="str">
        <f t="shared" si="42"/>
        <v/>
      </c>
      <c r="S155" s="145" t="str">
        <f t="shared" si="43"/>
        <v/>
      </c>
      <c r="T155" s="145" t="str">
        <f>""</f>
        <v/>
      </c>
      <c r="U155" s="145" t="str">
        <f t="shared" si="44"/>
        <v/>
      </c>
      <c r="V155" s="145" t="str">
        <f t="shared" si="45"/>
        <v/>
      </c>
      <c r="W155" s="150">
        <f t="shared" si="40"/>
        <v>0</v>
      </c>
      <c r="X155" s="150">
        <f t="shared" si="41"/>
        <v>1.9599639845400536</v>
      </c>
      <c r="Y155" s="150" t="str">
        <f t="shared" si="46"/>
        <v/>
      </c>
      <c r="Z155" s="150" t="str">
        <f t="shared" si="47"/>
        <v/>
      </c>
      <c r="AA155" s="150" t="str">
        <f t="shared" si="48"/>
        <v/>
      </c>
    </row>
    <row r="156" spans="1:27" s="141" customFormat="1" x14ac:dyDescent="0.2">
      <c r="A156" s="145"/>
      <c r="B156" s="148"/>
      <c r="C156" s="149"/>
      <c r="D156" s="145"/>
      <c r="E156" s="151"/>
      <c r="F156" s="145"/>
      <c r="G156" s="145"/>
      <c r="H156" s="145"/>
      <c r="I156" s="145"/>
      <c r="J156" s="145"/>
      <c r="K156" s="145"/>
      <c r="L156" s="145"/>
      <c r="M156" s="145"/>
      <c r="N156" s="145"/>
      <c r="O156" s="145"/>
      <c r="P156" s="145"/>
      <c r="Q156" s="145"/>
      <c r="R156" s="145" t="str">
        <f t="shared" si="42"/>
        <v/>
      </c>
      <c r="S156" s="145" t="str">
        <f t="shared" si="43"/>
        <v/>
      </c>
      <c r="T156" s="145" t="str">
        <f>""</f>
        <v/>
      </c>
      <c r="U156" s="145" t="str">
        <f t="shared" si="44"/>
        <v/>
      </c>
      <c r="V156" s="145" t="str">
        <f t="shared" si="45"/>
        <v/>
      </c>
      <c r="W156" s="150">
        <f t="shared" si="40"/>
        <v>0</v>
      </c>
      <c r="X156" s="150">
        <f t="shared" si="41"/>
        <v>1.9599639845400536</v>
      </c>
      <c r="Y156" s="150" t="str">
        <f t="shared" si="46"/>
        <v/>
      </c>
      <c r="Z156" s="150" t="str">
        <f t="shared" si="47"/>
        <v/>
      </c>
      <c r="AA156" s="150" t="str">
        <f t="shared" si="48"/>
        <v/>
      </c>
    </row>
    <row r="157" spans="1:27" s="141" customFormat="1" x14ac:dyDescent="0.2">
      <c r="A157" s="145"/>
      <c r="B157" s="148"/>
      <c r="C157" s="149"/>
      <c r="D157" s="145"/>
      <c r="E157" s="151"/>
      <c r="F157" s="145"/>
      <c r="G157" s="145"/>
      <c r="H157" s="145"/>
      <c r="I157" s="145"/>
      <c r="J157" s="145"/>
      <c r="K157" s="145"/>
      <c r="L157" s="145"/>
      <c r="M157" s="145"/>
      <c r="N157" s="145"/>
      <c r="O157" s="145"/>
      <c r="P157" s="145"/>
      <c r="Q157" s="145"/>
      <c r="R157" s="145" t="str">
        <f t="shared" si="42"/>
        <v/>
      </c>
      <c r="S157" s="145" t="str">
        <f t="shared" si="43"/>
        <v/>
      </c>
      <c r="T157" s="145" t="str">
        <f>""</f>
        <v/>
      </c>
      <c r="U157" s="145" t="str">
        <f t="shared" si="44"/>
        <v/>
      </c>
      <c r="V157" s="145" t="str">
        <f t="shared" si="45"/>
        <v/>
      </c>
      <c r="W157" s="150">
        <f t="shared" si="40"/>
        <v>0</v>
      </c>
      <c r="X157" s="150">
        <f t="shared" si="41"/>
        <v>1.9599639845400536</v>
      </c>
      <c r="Y157" s="150" t="str">
        <f t="shared" si="46"/>
        <v/>
      </c>
      <c r="Z157" s="150" t="str">
        <f t="shared" si="47"/>
        <v/>
      </c>
      <c r="AA157" s="150" t="str">
        <f t="shared" si="48"/>
        <v/>
      </c>
    </row>
    <row r="158" spans="1:27" s="141" customFormat="1" x14ac:dyDescent="0.2">
      <c r="A158" s="145"/>
      <c r="B158" s="148"/>
      <c r="C158" s="149"/>
      <c r="D158" s="145"/>
      <c r="E158" s="151"/>
      <c r="F158" s="145"/>
      <c r="G158" s="145"/>
      <c r="H158" s="145"/>
      <c r="I158" s="145"/>
      <c r="J158" s="145"/>
      <c r="K158" s="145"/>
      <c r="L158" s="145"/>
      <c r="M158" s="145"/>
      <c r="N158" s="145"/>
      <c r="O158" s="145"/>
      <c r="P158" s="145"/>
      <c r="Q158" s="145"/>
      <c r="R158" s="145" t="str">
        <f t="shared" si="42"/>
        <v/>
      </c>
      <c r="S158" s="145" t="str">
        <f t="shared" si="43"/>
        <v/>
      </c>
      <c r="T158" s="145" t="str">
        <f>""</f>
        <v/>
      </c>
      <c r="U158" s="145" t="str">
        <f t="shared" si="44"/>
        <v/>
      </c>
      <c r="V158" s="145" t="str">
        <f t="shared" si="45"/>
        <v/>
      </c>
      <c r="W158" s="150">
        <f t="shared" si="40"/>
        <v>0</v>
      </c>
      <c r="X158" s="150">
        <f t="shared" si="41"/>
        <v>1.9599639845400536</v>
      </c>
      <c r="Y158" s="150" t="str">
        <f t="shared" si="46"/>
        <v/>
      </c>
      <c r="Z158" s="150" t="str">
        <f t="shared" si="47"/>
        <v/>
      </c>
      <c r="AA158" s="150" t="str">
        <f t="shared" si="48"/>
        <v/>
      </c>
    </row>
    <row r="159" spans="1:27" s="141" customFormat="1" x14ac:dyDescent="0.2">
      <c r="A159" s="145"/>
      <c r="B159" s="148"/>
      <c r="C159" s="149"/>
      <c r="D159" s="145"/>
      <c r="E159" s="151"/>
      <c r="F159" s="145"/>
      <c r="G159" s="145"/>
      <c r="H159" s="145"/>
      <c r="I159" s="145"/>
      <c r="J159" s="145"/>
      <c r="K159" s="145"/>
      <c r="L159" s="145"/>
      <c r="M159" s="145"/>
      <c r="N159" s="145"/>
      <c r="O159" s="145"/>
      <c r="P159" s="145"/>
      <c r="Q159" s="145"/>
      <c r="R159" s="145" t="str">
        <f t="shared" si="42"/>
        <v/>
      </c>
      <c r="S159" s="145" t="str">
        <f t="shared" si="43"/>
        <v/>
      </c>
      <c r="T159" s="145" t="str">
        <f>""</f>
        <v/>
      </c>
      <c r="U159" s="145" t="str">
        <f t="shared" si="44"/>
        <v/>
      </c>
      <c r="V159" s="145" t="str">
        <f t="shared" si="45"/>
        <v/>
      </c>
      <c r="W159" s="150">
        <f t="shared" si="40"/>
        <v>0</v>
      </c>
      <c r="X159" s="150">
        <f t="shared" si="41"/>
        <v>1.9599639845400536</v>
      </c>
      <c r="Y159" s="150" t="str">
        <f t="shared" si="46"/>
        <v/>
      </c>
      <c r="Z159" s="150" t="str">
        <f t="shared" si="47"/>
        <v/>
      </c>
      <c r="AA159" s="150" t="str">
        <f t="shared" si="48"/>
        <v/>
      </c>
    </row>
    <row r="160" spans="1:27" s="141" customFormat="1" x14ac:dyDescent="0.2">
      <c r="A160" s="145"/>
      <c r="B160" s="148"/>
      <c r="C160" s="149"/>
      <c r="D160" s="145"/>
      <c r="E160" s="151"/>
      <c r="F160" s="145"/>
      <c r="G160" s="145"/>
      <c r="H160" s="145"/>
      <c r="I160" s="145"/>
      <c r="J160" s="145"/>
      <c r="K160" s="145"/>
      <c r="L160" s="145"/>
      <c r="M160" s="145"/>
      <c r="N160" s="145"/>
      <c r="O160" s="145"/>
      <c r="P160" s="145"/>
      <c r="Q160" s="145"/>
      <c r="R160" s="145" t="str">
        <f t="shared" si="42"/>
        <v/>
      </c>
      <c r="S160" s="145" t="str">
        <f t="shared" si="43"/>
        <v/>
      </c>
      <c r="T160" s="145" t="str">
        <f>""</f>
        <v/>
      </c>
      <c r="U160" s="145" t="str">
        <f t="shared" si="44"/>
        <v/>
      </c>
      <c r="V160" s="145" t="str">
        <f t="shared" si="45"/>
        <v/>
      </c>
      <c r="W160" s="150">
        <f t="shared" si="40"/>
        <v>0</v>
      </c>
      <c r="X160" s="150">
        <f t="shared" si="41"/>
        <v>1.9599639845400536</v>
      </c>
      <c r="Y160" s="150" t="str">
        <f t="shared" si="46"/>
        <v/>
      </c>
      <c r="Z160" s="150" t="str">
        <f t="shared" si="47"/>
        <v/>
      </c>
      <c r="AA160" s="150" t="str">
        <f t="shared" si="48"/>
        <v/>
      </c>
    </row>
    <row r="161" spans="1:27" s="141" customFormat="1" x14ac:dyDescent="0.2">
      <c r="A161" s="145"/>
      <c r="B161" s="148"/>
      <c r="C161" s="149"/>
      <c r="D161" s="145"/>
      <c r="E161" s="151"/>
      <c r="F161" s="145"/>
      <c r="G161" s="145"/>
      <c r="H161" s="145"/>
      <c r="I161" s="145"/>
      <c r="J161" s="145"/>
      <c r="K161" s="145"/>
      <c r="L161" s="145"/>
      <c r="M161" s="145"/>
      <c r="N161" s="145"/>
      <c r="O161" s="145"/>
      <c r="P161" s="145"/>
      <c r="Q161" s="145"/>
      <c r="R161" s="145" t="str">
        <f t="shared" si="42"/>
        <v/>
      </c>
      <c r="S161" s="145" t="str">
        <f t="shared" si="43"/>
        <v/>
      </c>
      <c r="T161" s="145" t="str">
        <f>""</f>
        <v/>
      </c>
      <c r="U161" s="145" t="str">
        <f t="shared" si="44"/>
        <v/>
      </c>
      <c r="V161" s="145" t="str">
        <f t="shared" si="45"/>
        <v/>
      </c>
      <c r="W161" s="150">
        <f t="shared" si="40"/>
        <v>0</v>
      </c>
      <c r="X161" s="150">
        <f t="shared" si="41"/>
        <v>1.9599639845400536</v>
      </c>
      <c r="Y161" s="150" t="str">
        <f t="shared" si="46"/>
        <v/>
      </c>
      <c r="Z161" s="150" t="str">
        <f t="shared" si="47"/>
        <v/>
      </c>
      <c r="AA161" s="150" t="str">
        <f t="shared" si="48"/>
        <v/>
      </c>
    </row>
    <row r="162" spans="1:27" s="141" customFormat="1" x14ac:dyDescent="0.2">
      <c r="A162" s="145"/>
      <c r="B162" s="148"/>
      <c r="C162" s="149"/>
      <c r="D162" s="145"/>
      <c r="E162" s="151"/>
      <c r="F162" s="145"/>
      <c r="G162" s="145"/>
      <c r="H162" s="145"/>
      <c r="I162" s="145"/>
      <c r="J162" s="145"/>
      <c r="K162" s="145"/>
      <c r="L162" s="145"/>
      <c r="M162" s="145"/>
      <c r="N162" s="145"/>
      <c r="O162" s="145"/>
      <c r="P162" s="145"/>
      <c r="Q162" s="145"/>
      <c r="R162" s="145" t="str">
        <f t="shared" si="42"/>
        <v/>
      </c>
      <c r="S162" s="145" t="str">
        <f t="shared" si="43"/>
        <v/>
      </c>
      <c r="T162" s="145" t="str">
        <f>""</f>
        <v/>
      </c>
      <c r="U162" s="145" t="str">
        <f t="shared" si="44"/>
        <v/>
      </c>
      <c r="V162" s="145" t="str">
        <f t="shared" si="45"/>
        <v/>
      </c>
      <c r="W162" s="150">
        <f t="shared" si="40"/>
        <v>0</v>
      </c>
      <c r="X162" s="150">
        <f t="shared" si="41"/>
        <v>1.9599639845400536</v>
      </c>
      <c r="Y162" s="150" t="str">
        <f t="shared" si="46"/>
        <v/>
      </c>
      <c r="Z162" s="150" t="str">
        <f t="shared" si="47"/>
        <v/>
      </c>
      <c r="AA162" s="150" t="str">
        <f t="shared" si="48"/>
        <v/>
      </c>
    </row>
    <row r="163" spans="1:27" s="141" customFormat="1" x14ac:dyDescent="0.2">
      <c r="A163" s="145"/>
      <c r="B163" s="148"/>
      <c r="C163" s="149"/>
      <c r="D163" s="145"/>
      <c r="E163" s="151"/>
      <c r="F163" s="145"/>
      <c r="G163" s="145"/>
      <c r="H163" s="145"/>
      <c r="I163" s="145"/>
      <c r="J163" s="145"/>
      <c r="K163" s="145"/>
      <c r="L163" s="145"/>
      <c r="M163" s="145"/>
      <c r="N163" s="145"/>
      <c r="O163" s="145"/>
      <c r="P163" s="145"/>
      <c r="Q163" s="145"/>
      <c r="R163" s="145" t="str">
        <f t="shared" si="42"/>
        <v/>
      </c>
      <c r="S163" s="145" t="str">
        <f t="shared" si="43"/>
        <v/>
      </c>
      <c r="T163" s="145" t="str">
        <f>""</f>
        <v/>
      </c>
      <c r="U163" s="145" t="str">
        <f t="shared" si="44"/>
        <v/>
      </c>
      <c r="V163" s="145" t="str">
        <f t="shared" si="45"/>
        <v/>
      </c>
      <c r="W163" s="150">
        <f t="shared" si="40"/>
        <v>0</v>
      </c>
      <c r="X163" s="150">
        <f t="shared" si="41"/>
        <v>1.9599639845400536</v>
      </c>
      <c r="Y163" s="150" t="str">
        <f t="shared" si="46"/>
        <v/>
      </c>
      <c r="Z163" s="150" t="str">
        <f t="shared" si="47"/>
        <v/>
      </c>
      <c r="AA163" s="150" t="str">
        <f t="shared" si="48"/>
        <v/>
      </c>
    </row>
    <row r="164" spans="1:27" s="141" customFormat="1" x14ac:dyDescent="0.2">
      <c r="A164" s="145"/>
      <c r="B164" s="148"/>
      <c r="C164" s="149"/>
      <c r="D164" s="145"/>
      <c r="E164" s="151"/>
      <c r="F164" s="145"/>
      <c r="G164" s="145"/>
      <c r="H164" s="145"/>
      <c r="I164" s="145"/>
      <c r="J164" s="145"/>
      <c r="K164" s="145"/>
      <c r="L164" s="145"/>
      <c r="M164" s="145"/>
      <c r="N164" s="145"/>
      <c r="O164" s="145"/>
      <c r="P164" s="145"/>
      <c r="Q164" s="145"/>
      <c r="R164" s="145" t="str">
        <f t="shared" si="42"/>
        <v/>
      </c>
      <c r="S164" s="145" t="str">
        <f t="shared" si="43"/>
        <v/>
      </c>
      <c r="T164" s="145" t="str">
        <f>""</f>
        <v/>
      </c>
      <c r="U164" s="145" t="str">
        <f t="shared" si="44"/>
        <v/>
      </c>
      <c r="V164" s="145" t="str">
        <f t="shared" si="45"/>
        <v/>
      </c>
      <c r="W164" s="150">
        <f t="shared" si="40"/>
        <v>0</v>
      </c>
      <c r="X164" s="150">
        <f t="shared" si="41"/>
        <v>1.9599639845400536</v>
      </c>
      <c r="Y164" s="150" t="str">
        <f t="shared" si="46"/>
        <v/>
      </c>
      <c r="Z164" s="150" t="str">
        <f t="shared" si="47"/>
        <v/>
      </c>
      <c r="AA164" s="150" t="str">
        <f t="shared" si="48"/>
        <v/>
      </c>
    </row>
    <row r="165" spans="1:27" s="141" customFormat="1" x14ac:dyDescent="0.2">
      <c r="A165" s="145"/>
      <c r="B165" s="148"/>
      <c r="C165" s="149"/>
      <c r="D165" s="145"/>
      <c r="E165" s="151"/>
      <c r="F165" s="145"/>
      <c r="G165" s="145"/>
      <c r="H165" s="145"/>
      <c r="I165" s="145"/>
      <c r="J165" s="145"/>
      <c r="K165" s="145"/>
      <c r="L165" s="145"/>
      <c r="M165" s="145"/>
      <c r="N165" s="145"/>
      <c r="O165" s="145"/>
      <c r="P165" s="145"/>
      <c r="Q165" s="145"/>
      <c r="R165" s="145" t="str">
        <f t="shared" si="42"/>
        <v/>
      </c>
      <c r="S165" s="145" t="str">
        <f t="shared" si="43"/>
        <v/>
      </c>
      <c r="T165" s="145" t="str">
        <f>""</f>
        <v/>
      </c>
      <c r="U165" s="145" t="str">
        <f t="shared" si="44"/>
        <v/>
      </c>
      <c r="V165" s="145" t="str">
        <f t="shared" si="45"/>
        <v/>
      </c>
      <c r="W165" s="150">
        <f t="shared" si="40"/>
        <v>0</v>
      </c>
      <c r="X165" s="150">
        <f t="shared" si="41"/>
        <v>1.9599639845400536</v>
      </c>
      <c r="Y165" s="150" t="str">
        <f t="shared" si="46"/>
        <v/>
      </c>
      <c r="Z165" s="150" t="str">
        <f t="shared" si="47"/>
        <v/>
      </c>
      <c r="AA165" s="150" t="str">
        <f t="shared" si="48"/>
        <v/>
      </c>
    </row>
    <row r="166" spans="1:27" s="141" customFormat="1" x14ac:dyDescent="0.2">
      <c r="A166" s="145"/>
      <c r="B166" s="148"/>
      <c r="C166" s="149"/>
      <c r="D166" s="145"/>
      <c r="E166" s="151"/>
      <c r="F166" s="145"/>
      <c r="G166" s="145"/>
      <c r="H166" s="145"/>
      <c r="I166" s="145"/>
      <c r="J166" s="145"/>
      <c r="K166" s="145"/>
      <c r="L166" s="145"/>
      <c r="M166" s="145"/>
      <c r="N166" s="145"/>
      <c r="O166" s="145"/>
      <c r="P166" s="145"/>
      <c r="Q166" s="145"/>
      <c r="R166" s="145" t="str">
        <f t="shared" si="42"/>
        <v/>
      </c>
      <c r="S166" s="145" t="str">
        <f t="shared" si="43"/>
        <v/>
      </c>
      <c r="T166" s="145" t="str">
        <f>""</f>
        <v/>
      </c>
      <c r="U166" s="145" t="str">
        <f t="shared" si="44"/>
        <v/>
      </c>
      <c r="V166" s="145" t="str">
        <f t="shared" si="45"/>
        <v/>
      </c>
      <c r="W166" s="150">
        <f t="shared" si="40"/>
        <v>0</v>
      </c>
      <c r="X166" s="150">
        <f t="shared" si="41"/>
        <v>1.9599639845400536</v>
      </c>
      <c r="Y166" s="150" t="str">
        <f t="shared" si="46"/>
        <v/>
      </c>
      <c r="Z166" s="150" t="str">
        <f t="shared" si="47"/>
        <v/>
      </c>
      <c r="AA166" s="150" t="str">
        <f t="shared" si="48"/>
        <v/>
      </c>
    </row>
    <row r="167" spans="1:27" s="141" customFormat="1" x14ac:dyDescent="0.2">
      <c r="A167" s="145"/>
      <c r="B167" s="148"/>
      <c r="C167" s="149"/>
      <c r="D167" s="145"/>
      <c r="E167" s="151"/>
      <c r="F167" s="145"/>
      <c r="G167" s="145"/>
      <c r="H167" s="145"/>
      <c r="I167" s="145"/>
      <c r="J167" s="145"/>
      <c r="K167" s="145"/>
      <c r="L167" s="145"/>
      <c r="M167" s="145"/>
      <c r="N167" s="145"/>
      <c r="O167" s="145"/>
      <c r="P167" s="145"/>
      <c r="Q167" s="145"/>
      <c r="R167" s="145" t="str">
        <f t="shared" si="42"/>
        <v/>
      </c>
      <c r="S167" s="145" t="str">
        <f t="shared" si="43"/>
        <v/>
      </c>
      <c r="T167" s="145" t="str">
        <f>""</f>
        <v/>
      </c>
      <c r="U167" s="145" t="str">
        <f t="shared" si="44"/>
        <v/>
      </c>
      <c r="V167" s="145" t="str">
        <f t="shared" si="45"/>
        <v/>
      </c>
      <c r="W167" s="150">
        <f t="shared" si="40"/>
        <v>0</v>
      </c>
      <c r="X167" s="150">
        <f t="shared" si="41"/>
        <v>1.9599639845400536</v>
      </c>
      <c r="Y167" s="150" t="str">
        <f t="shared" si="46"/>
        <v/>
      </c>
      <c r="Z167" s="150" t="str">
        <f t="shared" si="47"/>
        <v/>
      </c>
      <c r="AA167" s="150" t="str">
        <f t="shared" si="48"/>
        <v/>
      </c>
    </row>
    <row r="168" spans="1:27" s="141" customFormat="1" x14ac:dyDescent="0.2">
      <c r="A168" s="145"/>
      <c r="B168" s="148"/>
      <c r="C168" s="149"/>
      <c r="D168" s="145"/>
      <c r="E168" s="151"/>
      <c r="F168" s="145"/>
      <c r="G168" s="145"/>
      <c r="H168" s="145"/>
      <c r="I168" s="145"/>
      <c r="J168" s="145"/>
      <c r="K168" s="145"/>
      <c r="L168" s="145"/>
      <c r="M168" s="145"/>
      <c r="N168" s="145"/>
      <c r="O168" s="145"/>
      <c r="P168" s="145"/>
      <c r="Q168" s="145"/>
      <c r="R168" s="145" t="str">
        <f t="shared" si="42"/>
        <v/>
      </c>
      <c r="S168" s="145" t="str">
        <f t="shared" si="43"/>
        <v/>
      </c>
      <c r="T168" s="145" t="str">
        <f>""</f>
        <v/>
      </c>
      <c r="U168" s="145" t="str">
        <f t="shared" si="44"/>
        <v/>
      </c>
      <c r="V168" s="145" t="str">
        <f t="shared" si="45"/>
        <v/>
      </c>
      <c r="W168" s="150">
        <f t="shared" si="40"/>
        <v>0</v>
      </c>
      <c r="X168" s="150">
        <f t="shared" si="41"/>
        <v>1.9599639845400536</v>
      </c>
      <c r="Y168" s="150" t="str">
        <f t="shared" si="46"/>
        <v/>
      </c>
      <c r="Z168" s="150" t="str">
        <f t="shared" si="47"/>
        <v/>
      </c>
      <c r="AA168" s="150" t="str">
        <f t="shared" si="48"/>
        <v/>
      </c>
    </row>
    <row r="169" spans="1:27" s="141" customFormat="1" x14ac:dyDescent="0.2">
      <c r="A169" s="145"/>
      <c r="B169" s="148"/>
      <c r="C169" s="149"/>
      <c r="D169" s="145"/>
      <c r="E169" s="151"/>
      <c r="F169" s="145"/>
      <c r="G169" s="145"/>
      <c r="H169" s="145"/>
      <c r="I169" s="145"/>
      <c r="J169" s="145"/>
      <c r="K169" s="145"/>
      <c r="L169" s="145"/>
      <c r="M169" s="145"/>
      <c r="N169" s="145"/>
      <c r="O169" s="145"/>
      <c r="P169" s="145"/>
      <c r="Q169" s="145"/>
      <c r="R169" s="145" t="str">
        <f t="shared" si="42"/>
        <v/>
      </c>
      <c r="S169" s="145" t="str">
        <f t="shared" si="43"/>
        <v/>
      </c>
      <c r="T169" s="145" t="str">
        <f>""</f>
        <v/>
      </c>
      <c r="U169" s="145" t="str">
        <f t="shared" si="44"/>
        <v/>
      </c>
      <c r="V169" s="145" t="str">
        <f t="shared" si="45"/>
        <v/>
      </c>
      <c r="W169" s="150">
        <f t="shared" si="40"/>
        <v>0</v>
      </c>
      <c r="X169" s="150">
        <f t="shared" si="41"/>
        <v>1.9599639845400536</v>
      </c>
      <c r="Y169" s="150" t="str">
        <f t="shared" si="46"/>
        <v/>
      </c>
      <c r="Z169" s="150" t="str">
        <f t="shared" si="47"/>
        <v/>
      </c>
      <c r="AA169" s="150" t="str">
        <f t="shared" si="48"/>
        <v/>
      </c>
    </row>
    <row r="170" spans="1:27" s="141" customFormat="1" x14ac:dyDescent="0.2">
      <c r="A170" s="145"/>
      <c r="B170" s="148"/>
      <c r="C170" s="149"/>
      <c r="D170" s="145"/>
      <c r="E170" s="151"/>
      <c r="F170" s="145"/>
      <c r="G170" s="145"/>
      <c r="H170" s="145"/>
      <c r="I170" s="145"/>
      <c r="J170" s="145"/>
      <c r="K170" s="145"/>
      <c r="L170" s="145"/>
      <c r="M170" s="145"/>
      <c r="N170" s="145"/>
      <c r="O170" s="145"/>
      <c r="P170" s="145"/>
      <c r="Q170" s="145"/>
      <c r="R170" s="145" t="str">
        <f t="shared" si="42"/>
        <v/>
      </c>
      <c r="S170" s="145" t="str">
        <f t="shared" si="43"/>
        <v/>
      </c>
      <c r="T170" s="145" t="str">
        <f>""</f>
        <v/>
      </c>
      <c r="U170" s="145" t="str">
        <f t="shared" si="44"/>
        <v/>
      </c>
      <c r="V170" s="145" t="str">
        <f t="shared" si="45"/>
        <v/>
      </c>
      <c r="W170" s="150">
        <f t="shared" si="40"/>
        <v>0</v>
      </c>
      <c r="X170" s="150">
        <f t="shared" si="41"/>
        <v>1.9599639845400536</v>
      </c>
      <c r="Y170" s="150" t="str">
        <f t="shared" si="46"/>
        <v/>
      </c>
      <c r="Z170" s="150" t="str">
        <f t="shared" si="47"/>
        <v/>
      </c>
      <c r="AA170" s="150" t="str">
        <f t="shared" si="48"/>
        <v/>
      </c>
    </row>
    <row r="171" spans="1:27" s="141" customFormat="1" x14ac:dyDescent="0.2">
      <c r="A171" s="145"/>
      <c r="B171" s="148"/>
      <c r="C171" s="149"/>
      <c r="D171" s="145"/>
      <c r="E171" s="151"/>
      <c r="F171" s="145"/>
      <c r="G171" s="145"/>
      <c r="H171" s="145"/>
      <c r="I171" s="145"/>
      <c r="J171" s="145"/>
      <c r="K171" s="145"/>
      <c r="L171" s="145"/>
      <c r="M171" s="145"/>
      <c r="N171" s="145"/>
      <c r="O171" s="145"/>
      <c r="P171" s="145"/>
      <c r="Q171" s="145"/>
      <c r="R171" s="145" t="str">
        <f t="shared" si="42"/>
        <v/>
      </c>
      <c r="S171" s="145" t="str">
        <f t="shared" si="43"/>
        <v/>
      </c>
      <c r="T171" s="145" t="str">
        <f>""</f>
        <v/>
      </c>
      <c r="U171" s="145" t="str">
        <f t="shared" si="44"/>
        <v/>
      </c>
      <c r="V171" s="145" t="str">
        <f t="shared" si="45"/>
        <v/>
      </c>
      <c r="W171" s="150">
        <f t="shared" si="40"/>
        <v>0</v>
      </c>
      <c r="X171" s="150">
        <f t="shared" si="41"/>
        <v>1.9599639845400536</v>
      </c>
      <c r="Y171" s="150" t="str">
        <f t="shared" si="46"/>
        <v/>
      </c>
      <c r="Z171" s="150" t="str">
        <f t="shared" si="47"/>
        <v/>
      </c>
      <c r="AA171" s="150" t="str">
        <f t="shared" si="48"/>
        <v/>
      </c>
    </row>
    <row r="172" spans="1:27" s="141" customFormat="1" x14ac:dyDescent="0.2">
      <c r="A172" s="145"/>
      <c r="B172" s="148"/>
      <c r="C172" s="149"/>
      <c r="D172" s="145"/>
      <c r="E172" s="151"/>
      <c r="F172" s="145"/>
      <c r="G172" s="145"/>
      <c r="H172" s="145"/>
      <c r="I172" s="145"/>
      <c r="J172" s="145"/>
      <c r="K172" s="145"/>
      <c r="L172" s="145"/>
      <c r="M172" s="145"/>
      <c r="N172" s="145"/>
      <c r="O172" s="145"/>
      <c r="P172" s="145"/>
      <c r="Q172" s="145"/>
      <c r="R172" s="145" t="str">
        <f t="shared" si="42"/>
        <v/>
      </c>
      <c r="S172" s="145" t="str">
        <f t="shared" si="43"/>
        <v/>
      </c>
      <c r="T172" s="145" t="str">
        <f>""</f>
        <v/>
      </c>
      <c r="U172" s="145" t="str">
        <f t="shared" si="44"/>
        <v/>
      </c>
      <c r="V172" s="145" t="str">
        <f t="shared" si="45"/>
        <v/>
      </c>
      <c r="W172" s="150">
        <f t="shared" si="40"/>
        <v>0</v>
      </c>
      <c r="X172" s="150">
        <f t="shared" si="41"/>
        <v>1.9599639845400536</v>
      </c>
      <c r="Y172" s="150" t="str">
        <f t="shared" si="46"/>
        <v/>
      </c>
      <c r="Z172" s="150" t="str">
        <f t="shared" si="47"/>
        <v/>
      </c>
      <c r="AA172" s="150" t="str">
        <f t="shared" si="48"/>
        <v/>
      </c>
    </row>
    <row r="173" spans="1:27" s="141" customFormat="1" x14ac:dyDescent="0.2">
      <c r="A173" s="145"/>
      <c r="B173" s="148"/>
      <c r="C173" s="149"/>
      <c r="D173" s="145"/>
      <c r="E173" s="151"/>
      <c r="F173" s="145"/>
      <c r="G173" s="145"/>
      <c r="H173" s="145"/>
      <c r="I173" s="145"/>
      <c r="J173" s="145"/>
      <c r="K173" s="145"/>
      <c r="L173" s="145"/>
      <c r="M173" s="145"/>
      <c r="N173" s="145"/>
      <c r="O173" s="145"/>
      <c r="P173" s="145"/>
      <c r="Q173" s="145"/>
      <c r="R173" s="145" t="str">
        <f t="shared" si="42"/>
        <v/>
      </c>
      <c r="S173" s="145" t="str">
        <f t="shared" si="43"/>
        <v/>
      </c>
      <c r="T173" s="145" t="str">
        <f>""</f>
        <v/>
      </c>
      <c r="U173" s="145" t="str">
        <f t="shared" si="44"/>
        <v/>
      </c>
      <c r="V173" s="145" t="str">
        <f t="shared" si="45"/>
        <v/>
      </c>
      <c r="W173" s="150">
        <f t="shared" si="40"/>
        <v>0</v>
      </c>
      <c r="X173" s="150">
        <f t="shared" si="41"/>
        <v>1.9599639845400536</v>
      </c>
      <c r="Y173" s="150" t="str">
        <f t="shared" si="46"/>
        <v/>
      </c>
      <c r="Z173" s="150" t="str">
        <f t="shared" si="47"/>
        <v/>
      </c>
      <c r="AA173" s="150" t="str">
        <f t="shared" si="48"/>
        <v/>
      </c>
    </row>
    <row r="174" spans="1:27" s="141" customFormat="1" x14ac:dyDescent="0.2">
      <c r="A174" s="145"/>
      <c r="B174" s="148"/>
      <c r="C174" s="149"/>
      <c r="D174" s="145"/>
      <c r="E174" s="151"/>
      <c r="F174" s="145"/>
      <c r="G174" s="145"/>
      <c r="H174" s="145"/>
      <c r="I174" s="145"/>
      <c r="J174" s="145"/>
      <c r="K174" s="145"/>
      <c r="L174" s="145"/>
      <c r="M174" s="145"/>
      <c r="N174" s="145"/>
      <c r="O174" s="145"/>
      <c r="P174" s="145"/>
      <c r="Q174" s="145"/>
      <c r="R174" s="145" t="str">
        <f t="shared" si="42"/>
        <v/>
      </c>
      <c r="S174" s="145" t="str">
        <f t="shared" si="43"/>
        <v/>
      </c>
      <c r="T174" s="145" t="str">
        <f>""</f>
        <v/>
      </c>
      <c r="U174" s="145" t="str">
        <f t="shared" si="44"/>
        <v/>
      </c>
      <c r="V174" s="145" t="str">
        <f t="shared" si="45"/>
        <v/>
      </c>
      <c r="W174" s="150">
        <f t="shared" si="40"/>
        <v>0</v>
      </c>
      <c r="X174" s="150">
        <f t="shared" si="41"/>
        <v>1.9599639845400536</v>
      </c>
      <c r="Y174" s="150" t="str">
        <f t="shared" si="46"/>
        <v/>
      </c>
      <c r="Z174" s="150" t="str">
        <f t="shared" si="47"/>
        <v/>
      </c>
      <c r="AA174" s="150" t="str">
        <f t="shared" si="48"/>
        <v/>
      </c>
    </row>
    <row r="175" spans="1:27" s="141" customFormat="1" x14ac:dyDescent="0.2">
      <c r="A175" s="145"/>
      <c r="B175" s="148"/>
      <c r="C175" s="149"/>
      <c r="D175" s="145"/>
      <c r="E175" s="151"/>
      <c r="F175" s="145"/>
      <c r="G175" s="145"/>
      <c r="H175" s="145"/>
      <c r="I175" s="145"/>
      <c r="J175" s="145"/>
      <c r="K175" s="145"/>
      <c r="L175" s="145"/>
      <c r="M175" s="145"/>
      <c r="N175" s="145"/>
      <c r="O175" s="145"/>
      <c r="P175" s="145"/>
      <c r="Q175" s="145"/>
      <c r="R175" s="145" t="str">
        <f t="shared" si="42"/>
        <v/>
      </c>
      <c r="S175" s="145" t="str">
        <f t="shared" si="43"/>
        <v/>
      </c>
      <c r="T175" s="145" t="str">
        <f>""</f>
        <v/>
      </c>
      <c r="U175" s="145" t="str">
        <f t="shared" si="44"/>
        <v/>
      </c>
      <c r="V175" s="145" t="str">
        <f t="shared" si="45"/>
        <v/>
      </c>
      <c r="W175" s="150">
        <f t="shared" si="40"/>
        <v>0</v>
      </c>
      <c r="X175" s="150">
        <f t="shared" si="41"/>
        <v>1.9599639845400536</v>
      </c>
      <c r="Y175" s="150" t="str">
        <f t="shared" si="46"/>
        <v/>
      </c>
      <c r="Z175" s="150" t="str">
        <f t="shared" si="47"/>
        <v/>
      </c>
      <c r="AA175" s="150" t="str">
        <f t="shared" si="48"/>
        <v/>
      </c>
    </row>
    <row r="176" spans="1:27" s="141" customFormat="1" x14ac:dyDescent="0.2">
      <c r="A176" s="145"/>
      <c r="B176" s="148"/>
      <c r="C176" s="149"/>
      <c r="D176" s="145"/>
      <c r="E176" s="151"/>
      <c r="F176" s="145"/>
      <c r="G176" s="145"/>
      <c r="H176" s="145"/>
      <c r="I176" s="145"/>
      <c r="J176" s="145"/>
      <c r="K176" s="145"/>
      <c r="L176" s="145"/>
      <c r="M176" s="145"/>
      <c r="N176" s="145"/>
      <c r="O176" s="145"/>
      <c r="P176" s="145"/>
      <c r="Q176" s="145"/>
      <c r="R176" s="145" t="str">
        <f t="shared" si="42"/>
        <v/>
      </c>
      <c r="S176" s="145" t="str">
        <f t="shared" si="43"/>
        <v/>
      </c>
      <c r="T176" s="145" t="str">
        <f>""</f>
        <v/>
      </c>
      <c r="U176" s="145" t="str">
        <f t="shared" si="44"/>
        <v/>
      </c>
      <c r="V176" s="145" t="str">
        <f t="shared" si="45"/>
        <v/>
      </c>
      <c r="W176" s="150">
        <f t="shared" si="40"/>
        <v>0</v>
      </c>
      <c r="X176" s="150">
        <f t="shared" si="41"/>
        <v>1.9599639845400536</v>
      </c>
      <c r="Y176" s="150" t="str">
        <f t="shared" si="46"/>
        <v/>
      </c>
      <c r="Z176" s="150" t="str">
        <f t="shared" si="47"/>
        <v/>
      </c>
      <c r="AA176" s="150" t="str">
        <f t="shared" si="48"/>
        <v/>
      </c>
    </row>
    <row r="177" spans="1:27" s="141" customFormat="1" x14ac:dyDescent="0.2">
      <c r="A177" s="145"/>
      <c r="B177" s="148"/>
      <c r="C177" s="149"/>
      <c r="D177" s="145"/>
      <c r="E177" s="151"/>
      <c r="F177" s="145"/>
      <c r="G177" s="145"/>
      <c r="H177" s="145"/>
      <c r="I177" s="145"/>
      <c r="J177" s="145"/>
      <c r="K177" s="145"/>
      <c r="L177" s="145"/>
      <c r="M177" s="145"/>
      <c r="N177" s="145"/>
      <c r="O177" s="145"/>
      <c r="P177" s="145"/>
      <c r="Q177" s="145"/>
      <c r="R177" s="145" t="str">
        <f t="shared" si="42"/>
        <v/>
      </c>
      <c r="S177" s="145" t="str">
        <f t="shared" si="43"/>
        <v/>
      </c>
      <c r="T177" s="145" t="str">
        <f>""</f>
        <v/>
      </c>
      <c r="U177" s="145" t="str">
        <f t="shared" si="44"/>
        <v/>
      </c>
      <c r="V177" s="145" t="str">
        <f t="shared" si="45"/>
        <v/>
      </c>
      <c r="W177" s="150">
        <f t="shared" si="40"/>
        <v>0</v>
      </c>
      <c r="X177" s="150">
        <f t="shared" si="41"/>
        <v>1.9599639845400536</v>
      </c>
      <c r="Y177" s="150" t="str">
        <f t="shared" si="46"/>
        <v/>
      </c>
      <c r="Z177" s="150" t="str">
        <f t="shared" si="47"/>
        <v/>
      </c>
      <c r="AA177" s="150" t="str">
        <f t="shared" si="48"/>
        <v/>
      </c>
    </row>
    <row r="178" spans="1:27" s="141" customFormat="1" x14ac:dyDescent="0.2">
      <c r="A178" s="145"/>
      <c r="B178" s="148"/>
      <c r="C178" s="149"/>
      <c r="D178" s="145"/>
      <c r="E178" s="151"/>
      <c r="F178" s="145"/>
      <c r="G178" s="145"/>
      <c r="H178" s="145"/>
      <c r="I178" s="145"/>
      <c r="J178" s="145"/>
      <c r="K178" s="145"/>
      <c r="L178" s="145"/>
      <c r="M178" s="145"/>
      <c r="N178" s="145"/>
      <c r="O178" s="145"/>
      <c r="P178" s="145"/>
      <c r="Q178" s="145"/>
      <c r="R178" s="145" t="str">
        <f t="shared" si="42"/>
        <v/>
      </c>
      <c r="S178" s="145" t="str">
        <f t="shared" si="43"/>
        <v/>
      </c>
      <c r="T178" s="145" t="str">
        <f>IF($W178=3,IF(OR(U178="",V178="", $E178=""),"",IF((V178+U178-2*$E178)=0,"",(V178-U178)/(V178+U178-2*$E178))),IF($W178=4,0,""))</f>
        <v/>
      </c>
      <c r="U178" s="145" t="str">
        <f t="shared" si="44"/>
        <v/>
      </c>
      <c r="V178" s="145" t="str">
        <f t="shared" si="45"/>
        <v/>
      </c>
      <c r="W178" s="150">
        <f t="shared" si="40"/>
        <v>0</v>
      </c>
      <c r="X178" s="150">
        <f t="shared" si="41"/>
        <v>1.9599639845400536</v>
      </c>
      <c r="Y178" s="150" t="str">
        <f t="shared" si="46"/>
        <v/>
      </c>
      <c r="Z178" s="150" t="str">
        <f t="shared" si="47"/>
        <v/>
      </c>
      <c r="AA178" s="150" t="str">
        <f t="shared" si="48"/>
        <v/>
      </c>
    </row>
    <row r="179" spans="1:27" x14ac:dyDescent="0.2">
      <c r="S179" s="145" t="str">
        <f t="shared" si="43"/>
        <v/>
      </c>
      <c r="U179" s="145" t="str">
        <f t="shared" si="44"/>
        <v/>
      </c>
    </row>
  </sheetData>
  <autoFilter ref="A2:AA178" xr:uid="{91B48223-B04A-456B-AD11-74EEF0B501AC}"/>
  <dataConsolidate/>
  <phoneticPr fontId="15" type="noConversion"/>
  <dataValidations count="5">
    <dataValidation type="list" allowBlank="1" showDropDown="1" showInputMessage="1" showErrorMessage="1" sqref="F3:F178" xr:uid="{BCC76DF4-1B64-40C7-88B1-AA5A1B2717CA}">
      <formula1>"1 (Lognormal),2 (Normal),3 (Triangular),4 (Uniform)"</formula1>
    </dataValidation>
    <dataValidation type="list" allowBlank="1" showDropDown="1" showInputMessage="1" showErrorMessage="1" sqref="F3:F178" xr:uid="{26F7E1A0-4958-4F19-A420-417950139EBA}">
      <formula1>"1 (Lognormal),2 (Normal),3 (Triangular),4 (Uniform),1,2,3,4"</formula1>
    </dataValidation>
    <dataValidation type="list" allowBlank="1" showInputMessage="1" showErrorMessage="1" sqref="G3:G179" xr:uid="{D6038588-5FA8-450F-A739-9C6DF7400F9B}">
      <formula1>"GSD,95%"</formula1>
    </dataValidation>
    <dataValidation type="list" allowBlank="1" showDropDown="1" showInputMessage="1" showErrorMessage="1" sqref="L3:L178" xr:uid="{F24EA780-5998-4F6C-8629-E0858186D672}">
      <formula1>"Yes,No"</formula1>
    </dataValidation>
    <dataValidation type="list" allowBlank="1" showDropDown="1" showInputMessage="1" showErrorMessage="1" sqref="G3:G178" xr:uid="{F9AA9DD3-AC78-4A8D-9D21-AC6688E91CF8}">
      <formula1>"GSD,95%"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3518C1-974D-43FE-8C85-36FE0BDB0E06}">
          <x14:formula1>
            <xm:f>List!$C$3:$C$7</xm:f>
          </x14:formula1>
          <xm:sqref>F74 F76:F179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8C37-8219-4733-9410-89394ED5892A}">
  <dimension ref="A1:C7"/>
  <sheetViews>
    <sheetView workbookViewId="0">
      <selection activeCell="A2" sqref="A2"/>
    </sheetView>
  </sheetViews>
  <sheetFormatPr baseColWidth="10" defaultColWidth="8.83203125" defaultRowHeight="15" x14ac:dyDescent="0.2"/>
  <cols>
    <col min="2" max="2" width="15" customWidth="1"/>
    <col min="3" max="3" width="21.33203125" customWidth="1"/>
  </cols>
  <sheetData>
    <row r="1" spans="1:3" x14ac:dyDescent="0.2">
      <c r="A1" t="s">
        <v>129</v>
      </c>
    </row>
    <row r="2" spans="1:3" ht="16" x14ac:dyDescent="0.2">
      <c r="A2" s="172" t="s">
        <v>320</v>
      </c>
      <c r="B2" s="172" t="s">
        <v>321</v>
      </c>
    </row>
    <row r="3" spans="1:3" ht="16" x14ac:dyDescent="0.2">
      <c r="A3" s="93">
        <v>1</v>
      </c>
      <c r="B3" s="93" t="s">
        <v>322</v>
      </c>
      <c r="C3" t="str">
        <f>A3&amp;" - "&amp;B3</f>
        <v>1 - No uncertainty</v>
      </c>
    </row>
    <row r="4" spans="1:3" ht="16" x14ac:dyDescent="0.2">
      <c r="A4" s="93">
        <v>2</v>
      </c>
      <c r="B4" s="93" t="s">
        <v>323</v>
      </c>
      <c r="C4" t="str">
        <f t="shared" ref="C4:C7" si="0">A4&amp;" - "&amp;B4</f>
        <v>2 - Lognormal</v>
      </c>
    </row>
    <row r="5" spans="1:3" ht="16" x14ac:dyDescent="0.2">
      <c r="A5" s="93">
        <v>3</v>
      </c>
      <c r="B5" s="93" t="s">
        <v>324</v>
      </c>
      <c r="C5" t="str">
        <f t="shared" si="0"/>
        <v>3 - Normal</v>
      </c>
    </row>
    <row r="6" spans="1:3" ht="16" x14ac:dyDescent="0.2">
      <c r="A6" s="93">
        <v>4</v>
      </c>
      <c r="B6" s="93" t="s">
        <v>325</v>
      </c>
      <c r="C6" t="str">
        <f t="shared" si="0"/>
        <v>4 - Uniform</v>
      </c>
    </row>
    <row r="7" spans="1:3" ht="16" x14ac:dyDescent="0.2">
      <c r="A7" s="93">
        <v>5</v>
      </c>
      <c r="B7" s="93" t="s">
        <v>326</v>
      </c>
      <c r="C7" t="str">
        <f t="shared" si="0"/>
        <v>5 - Triangular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A711B-0F0A-4219-B0CE-0F906BB1018C}">
  <dimension ref="A1:P212"/>
  <sheetViews>
    <sheetView zoomScale="93" workbookViewId="0">
      <selection activeCell="B80" sqref="B80"/>
    </sheetView>
  </sheetViews>
  <sheetFormatPr baseColWidth="10" defaultColWidth="8.83203125" defaultRowHeight="15" x14ac:dyDescent="0.2"/>
  <cols>
    <col min="1" max="1" width="35.83203125" style="3" customWidth="1"/>
    <col min="2" max="2" width="25.83203125" style="3" customWidth="1"/>
    <col min="3" max="3" width="19.5" style="66" customWidth="1"/>
    <col min="4" max="4" width="9.1640625" style="2"/>
    <col min="5" max="5" width="15.33203125" bestFit="1" customWidth="1"/>
    <col min="6" max="6" width="36.33203125" bestFit="1" customWidth="1"/>
    <col min="7" max="7" width="16.1640625" style="53" bestFit="1" customWidth="1"/>
    <col min="8" max="8" width="12.83203125" style="53" bestFit="1" customWidth="1"/>
    <col min="9" max="9" width="12" style="53" bestFit="1" customWidth="1"/>
    <col min="10" max="10" width="10.83203125" style="53" bestFit="1" customWidth="1"/>
    <col min="11" max="11" width="11.33203125" style="53" customWidth="1"/>
    <col min="12" max="12" width="21.33203125" style="53" bestFit="1" customWidth="1"/>
    <col min="13" max="13" width="15.83203125" style="53" bestFit="1" customWidth="1"/>
    <col min="14" max="14" width="16" style="53" bestFit="1" customWidth="1"/>
    <col min="15" max="15" width="14.6640625" style="53" bestFit="1" customWidth="1"/>
    <col min="16" max="16" width="12.5" style="53" bestFit="1" customWidth="1"/>
    <col min="17" max="17" width="12.6640625" bestFit="1" customWidth="1"/>
    <col min="18" max="18" width="12.5" bestFit="1" customWidth="1"/>
    <col min="19" max="19" width="12" bestFit="1" customWidth="1"/>
    <col min="20" max="20" width="5.5" bestFit="1" customWidth="1"/>
    <col min="21" max="21" width="10.5" bestFit="1" customWidth="1"/>
    <col min="23" max="23" width="5.6640625" bestFit="1" customWidth="1"/>
    <col min="24" max="24" width="12.83203125" bestFit="1" customWidth="1"/>
    <col min="25" max="25" width="10.5" bestFit="1" customWidth="1"/>
    <col min="26" max="26" width="12" bestFit="1" customWidth="1"/>
    <col min="27" max="27" width="12.1640625" bestFit="1" customWidth="1"/>
    <col min="28" max="28" width="24" bestFit="1" customWidth="1"/>
  </cols>
  <sheetData>
    <row r="1" spans="1:8" ht="16" thickBot="1" x14ac:dyDescent="0.25">
      <c r="A1" s="3" t="s">
        <v>129</v>
      </c>
    </row>
    <row r="2" spans="1:8" ht="16" x14ac:dyDescent="0.2">
      <c r="A2" s="130" t="s">
        <v>34</v>
      </c>
      <c r="B2" s="131" t="s">
        <v>35</v>
      </c>
      <c r="C2" s="132" t="s">
        <v>36</v>
      </c>
      <c r="D2" s="133" t="s">
        <v>37</v>
      </c>
      <c r="E2" s="53"/>
      <c r="F2" s="4" t="s">
        <v>38</v>
      </c>
    </row>
    <row r="3" spans="1:8" ht="16" x14ac:dyDescent="0.2">
      <c r="A3" s="28" t="s">
        <v>39</v>
      </c>
      <c r="B3" s="29"/>
      <c r="C3" s="68">
        <v>10000</v>
      </c>
      <c r="D3" s="21" t="s">
        <v>40</v>
      </c>
      <c r="E3" s="53"/>
      <c r="F3" s="123" t="s">
        <v>41</v>
      </c>
      <c r="H3" s="53">
        <f>44/12</f>
        <v>3.6666666666666665</v>
      </c>
    </row>
    <row r="4" spans="1:8" ht="16" x14ac:dyDescent="0.2">
      <c r="A4" s="28" t="s">
        <v>42</v>
      </c>
      <c r="B4" s="29"/>
      <c r="C4" s="114">
        <v>0.6</v>
      </c>
      <c r="D4" s="21"/>
      <c r="E4" s="53"/>
      <c r="F4" s="129" t="s">
        <v>43</v>
      </c>
    </row>
    <row r="5" spans="1:8" ht="17" x14ac:dyDescent="0.2">
      <c r="A5" s="28" t="s">
        <v>44</v>
      </c>
      <c r="B5" s="31" t="s">
        <v>45</v>
      </c>
      <c r="C5" s="68">
        <f>C3*C4</f>
        <v>6000</v>
      </c>
      <c r="D5" s="21" t="s">
        <v>40</v>
      </c>
      <c r="E5" s="53"/>
      <c r="F5" s="53"/>
    </row>
    <row r="6" spans="1:8" ht="17" x14ac:dyDescent="0.2">
      <c r="A6" s="28" t="s">
        <v>46</v>
      </c>
      <c r="B6" s="31" t="s">
        <v>47</v>
      </c>
      <c r="C6" s="124">
        <f>1/C4</f>
        <v>1.6666666666666667</v>
      </c>
      <c r="D6" s="21" t="s">
        <v>48</v>
      </c>
      <c r="E6" s="53"/>
      <c r="F6" s="53"/>
    </row>
    <row r="7" spans="1:8" x14ac:dyDescent="0.2">
      <c r="A7" s="32"/>
      <c r="B7" s="33"/>
      <c r="C7" s="61"/>
      <c r="D7" s="34"/>
      <c r="E7" s="53"/>
      <c r="F7" s="53"/>
    </row>
    <row r="8" spans="1:8" ht="16" x14ac:dyDescent="0.2">
      <c r="A8" s="28" t="s">
        <v>49</v>
      </c>
      <c r="B8" s="29"/>
      <c r="C8" s="114">
        <f>B68</f>
        <v>0.26047867051468054</v>
      </c>
      <c r="D8" s="21"/>
      <c r="E8" s="53"/>
      <c r="F8" s="53"/>
    </row>
    <row r="9" spans="1:8" ht="17" x14ac:dyDescent="0.2">
      <c r="A9" s="28" t="s">
        <v>50</v>
      </c>
      <c r="B9" s="31" t="s">
        <v>51</v>
      </c>
      <c r="C9" s="60">
        <f>C5*C8</f>
        <v>1562.8720230880833</v>
      </c>
      <c r="D9" s="21" t="s">
        <v>40</v>
      </c>
      <c r="E9" s="53"/>
      <c r="F9" s="53"/>
    </row>
    <row r="10" spans="1:8" ht="16" x14ac:dyDescent="0.2">
      <c r="A10" s="28" t="s">
        <v>52</v>
      </c>
      <c r="B10" s="31"/>
      <c r="C10" s="60">
        <f>1000*C9</f>
        <v>1562872.0230880834</v>
      </c>
      <c r="D10" s="21" t="s">
        <v>48</v>
      </c>
      <c r="E10" s="53"/>
      <c r="F10" s="53"/>
    </row>
    <row r="11" spans="1:8" ht="17" x14ac:dyDescent="0.2">
      <c r="A11" s="28" t="s">
        <v>53</v>
      </c>
      <c r="B11" s="31" t="s">
        <v>54</v>
      </c>
      <c r="C11" s="60">
        <f>C5/C9</f>
        <v>3.8390859336931396</v>
      </c>
      <c r="D11" s="21" t="s">
        <v>48</v>
      </c>
      <c r="E11" s="53"/>
      <c r="F11" s="53"/>
    </row>
    <row r="12" spans="1:8" ht="34" x14ac:dyDescent="0.2">
      <c r="A12" s="28" t="s">
        <v>55</v>
      </c>
      <c r="B12" s="31" t="s">
        <v>56</v>
      </c>
      <c r="C12" s="125">
        <f>C11*C27</f>
        <v>1.6089543462370257</v>
      </c>
      <c r="D12" s="21" t="s">
        <v>48</v>
      </c>
      <c r="E12" s="53"/>
      <c r="F12" s="77"/>
    </row>
    <row r="13" spans="1:8" ht="16" x14ac:dyDescent="0.2">
      <c r="A13" s="35"/>
      <c r="B13" s="36"/>
      <c r="C13" s="61"/>
      <c r="D13" s="34"/>
      <c r="E13" s="53"/>
      <c r="F13" s="53"/>
    </row>
    <row r="14" spans="1:8" ht="16" x14ac:dyDescent="0.2">
      <c r="A14" s="28" t="s">
        <v>57</v>
      </c>
      <c r="B14" s="31"/>
      <c r="C14" s="115">
        <v>0.49</v>
      </c>
      <c r="D14" s="21"/>
      <c r="E14" s="53"/>
      <c r="F14" s="53"/>
    </row>
    <row r="15" spans="1:8" ht="16" x14ac:dyDescent="0.2">
      <c r="A15" s="28" t="s">
        <v>175</v>
      </c>
      <c r="B15" s="31"/>
      <c r="C15" s="60">
        <f>C14*C12*H3</f>
        <v>2.890754642072523</v>
      </c>
      <c r="D15" s="21" t="s">
        <v>48</v>
      </c>
      <c r="E15" s="53"/>
      <c r="F15" s="53"/>
    </row>
    <row r="16" spans="1:8" ht="16" x14ac:dyDescent="0.2">
      <c r="A16" s="28" t="s">
        <v>176</v>
      </c>
      <c r="B16" s="31"/>
      <c r="C16" s="115">
        <v>0.81730000000000003</v>
      </c>
      <c r="D16" s="21"/>
      <c r="E16" s="53"/>
      <c r="F16" s="53"/>
    </row>
    <row r="17" spans="1:6" ht="16" x14ac:dyDescent="0.2">
      <c r="A17" s="28" t="s">
        <v>177</v>
      </c>
      <c r="B17" s="31"/>
      <c r="C17" s="60">
        <f>C16*C15</f>
        <v>2.3626137689658733</v>
      </c>
      <c r="D17" s="21"/>
      <c r="E17" s="53"/>
      <c r="F17" s="53"/>
    </row>
    <row r="18" spans="1:6" ht="16" x14ac:dyDescent="0.2">
      <c r="A18" s="28" t="s">
        <v>178</v>
      </c>
      <c r="B18" s="31"/>
      <c r="C18" s="124">
        <f>C15-C17</f>
        <v>0.5281408731066497</v>
      </c>
      <c r="D18" s="21" t="s">
        <v>48</v>
      </c>
      <c r="E18" s="53"/>
      <c r="F18" s="53"/>
    </row>
    <row r="19" spans="1:6" ht="16" x14ac:dyDescent="0.2">
      <c r="A19" s="28"/>
      <c r="B19" s="31"/>
      <c r="C19" s="60"/>
      <c r="D19" s="21"/>
      <c r="E19" s="53"/>
      <c r="F19" s="53"/>
    </row>
    <row r="20" spans="1:6" ht="16" x14ac:dyDescent="0.2">
      <c r="A20" s="28" t="s">
        <v>179</v>
      </c>
      <c r="B20" s="31"/>
      <c r="C20" s="60">
        <v>0.72719999999999996</v>
      </c>
      <c r="D20" s="21"/>
      <c r="E20" s="53"/>
      <c r="F20" s="53"/>
    </row>
    <row r="21" spans="1:6" ht="16" x14ac:dyDescent="0.2">
      <c r="A21" s="28" t="s">
        <v>180</v>
      </c>
      <c r="B21" s="31"/>
      <c r="C21" s="60">
        <f>C20*C17</f>
        <v>1.718092732791983</v>
      </c>
      <c r="D21" s="21" t="s">
        <v>48</v>
      </c>
      <c r="E21" s="53"/>
      <c r="F21" s="53"/>
    </row>
    <row r="22" spans="1:6" ht="16" x14ac:dyDescent="0.2">
      <c r="A22" s="28" t="s">
        <v>181</v>
      </c>
      <c r="B22" s="31"/>
      <c r="C22" s="124">
        <f>1/C21</f>
        <v>0.58204076003217364</v>
      </c>
      <c r="D22" s="21" t="s">
        <v>48</v>
      </c>
      <c r="E22" s="53"/>
      <c r="F22" s="53"/>
    </row>
    <row r="23" spans="1:6" ht="16" x14ac:dyDescent="0.2">
      <c r="A23" s="37" t="s">
        <v>182</v>
      </c>
      <c r="B23" s="36"/>
      <c r="C23" s="124">
        <f>(C17-C21)*C22</f>
        <v>0.37513751375137516</v>
      </c>
      <c r="D23" s="21" t="s">
        <v>48</v>
      </c>
      <c r="E23" s="53"/>
      <c r="F23" s="53"/>
    </row>
    <row r="24" spans="1:6" ht="16" x14ac:dyDescent="0.2">
      <c r="A24" s="28"/>
      <c r="B24" s="31"/>
      <c r="C24" s="60"/>
      <c r="D24" s="21"/>
      <c r="E24" s="53"/>
      <c r="F24" s="54"/>
    </row>
    <row r="25" spans="1:6" ht="16" x14ac:dyDescent="0.2">
      <c r="A25" s="28" t="s">
        <v>58</v>
      </c>
      <c r="B25" s="29"/>
      <c r="C25" s="116">
        <v>278.74</v>
      </c>
      <c r="D25" s="21" t="s">
        <v>59</v>
      </c>
      <c r="E25" s="53"/>
      <c r="F25" s="53"/>
    </row>
    <row r="26" spans="1:6" ht="16" x14ac:dyDescent="0.2">
      <c r="A26" s="28" t="s">
        <v>60</v>
      </c>
      <c r="B26" s="29"/>
      <c r="C26" s="116">
        <v>1341.42</v>
      </c>
      <c r="D26" s="21" t="s">
        <v>59</v>
      </c>
      <c r="E26" s="53"/>
      <c r="F26" s="53"/>
    </row>
    <row r="27" spans="1:6" ht="16" x14ac:dyDescent="0.2">
      <c r="A27" s="28" t="s">
        <v>61</v>
      </c>
      <c r="B27" s="29"/>
      <c r="C27" s="126">
        <f>E68</f>
        <v>0.41909828902663748</v>
      </c>
      <c r="D27" s="21"/>
      <c r="E27" s="53"/>
      <c r="F27" s="53"/>
    </row>
    <row r="28" spans="1:6" ht="34" x14ac:dyDescent="0.2">
      <c r="A28" s="28" t="s">
        <v>62</v>
      </c>
      <c r="B28" s="31" t="s">
        <v>63</v>
      </c>
      <c r="C28" s="60">
        <f>C26*C27</f>
        <v>562.18682686611203</v>
      </c>
      <c r="D28" s="21" t="s">
        <v>59</v>
      </c>
      <c r="E28" s="53"/>
      <c r="F28" s="53"/>
    </row>
    <row r="29" spans="1:6" ht="34" x14ac:dyDescent="0.2">
      <c r="A29" s="28" t="s">
        <v>64</v>
      </c>
      <c r="B29" s="31" t="s">
        <v>65</v>
      </c>
      <c r="C29" s="60">
        <f>C25*C27</f>
        <v>116.81945708328493</v>
      </c>
      <c r="D29" s="21" t="s">
        <v>59</v>
      </c>
      <c r="E29" s="53"/>
      <c r="F29" s="53"/>
    </row>
    <row r="30" spans="1:6" ht="17" x14ac:dyDescent="0.2">
      <c r="A30" s="28" t="s">
        <v>66</v>
      </c>
      <c r="B30" s="31" t="s">
        <v>67</v>
      </c>
      <c r="C30" s="124">
        <f>((C28*B32)/C10)</f>
        <v>0.35971392318821183</v>
      </c>
      <c r="D30" s="21" t="s">
        <v>68</v>
      </c>
      <c r="E30" s="53"/>
      <c r="F30" s="53"/>
    </row>
    <row r="31" spans="1:6" ht="34" x14ac:dyDescent="0.2">
      <c r="A31" s="28" t="s">
        <v>69</v>
      </c>
      <c r="B31" s="31" t="s">
        <v>70</v>
      </c>
      <c r="C31" s="124">
        <f>((C29*B33)/C10)</f>
        <v>2.0762959945782058E-2</v>
      </c>
      <c r="D31" s="21" t="s">
        <v>71</v>
      </c>
      <c r="E31" s="53"/>
      <c r="F31" s="53"/>
    </row>
    <row r="32" spans="1:6" ht="16" x14ac:dyDescent="0.2">
      <c r="A32" s="28" t="s">
        <v>72</v>
      </c>
      <c r="B32" s="6">
        <v>1000</v>
      </c>
      <c r="C32" s="63"/>
      <c r="D32" s="21"/>
      <c r="E32" s="53"/>
      <c r="F32" s="53"/>
    </row>
    <row r="33" spans="1:6" ht="16" x14ac:dyDescent="0.2">
      <c r="A33" s="28" t="s">
        <v>73</v>
      </c>
      <c r="B33" s="6">
        <v>277.77777800000001</v>
      </c>
      <c r="C33" s="63"/>
      <c r="D33" s="21"/>
      <c r="E33" s="53"/>
      <c r="F33" s="53"/>
    </row>
    <row r="34" spans="1:6" x14ac:dyDescent="0.2">
      <c r="A34" s="32"/>
      <c r="B34" s="33"/>
      <c r="C34" s="61"/>
      <c r="D34" s="34"/>
      <c r="E34" s="53"/>
      <c r="F34" s="53"/>
    </row>
    <row r="35" spans="1:6" ht="16" x14ac:dyDescent="0.2">
      <c r="A35" s="28" t="s">
        <v>74</v>
      </c>
      <c r="B35" s="6"/>
      <c r="C35" s="63"/>
      <c r="D35" s="21"/>
      <c r="E35" s="53"/>
      <c r="F35" s="53"/>
    </row>
    <row r="36" spans="1:6" x14ac:dyDescent="0.2">
      <c r="A36" s="39"/>
      <c r="B36" s="6"/>
      <c r="C36" s="63"/>
      <c r="D36" s="21"/>
      <c r="E36" s="53"/>
      <c r="F36" s="53"/>
    </row>
    <row r="37" spans="1:6" ht="17" x14ac:dyDescent="0.2">
      <c r="A37" s="28" t="s">
        <v>75</v>
      </c>
      <c r="B37" s="31" t="s">
        <v>76</v>
      </c>
      <c r="C37" s="115">
        <f>1-C4</f>
        <v>0.4</v>
      </c>
      <c r="D37" s="21"/>
      <c r="E37" s="53"/>
      <c r="F37" s="53"/>
    </row>
    <row r="38" spans="1:6" ht="34" x14ac:dyDescent="0.2">
      <c r="A38" s="28" t="s">
        <v>77</v>
      </c>
      <c r="B38" s="31" t="s">
        <v>78</v>
      </c>
      <c r="C38" s="58">
        <v>0</v>
      </c>
      <c r="D38" s="21" t="s">
        <v>59</v>
      </c>
      <c r="E38" s="53"/>
      <c r="F38" s="53"/>
    </row>
    <row r="39" spans="1:6" ht="16" x14ac:dyDescent="0.2">
      <c r="A39" s="28" t="s">
        <v>79</v>
      </c>
      <c r="B39" s="6"/>
      <c r="C39" s="112">
        <f>(C38/10000)*B33*0.001</f>
        <v>0</v>
      </c>
      <c r="D39" s="21" t="s">
        <v>71</v>
      </c>
      <c r="E39" s="53"/>
      <c r="F39" s="53"/>
    </row>
    <row r="40" spans="1:6" ht="51" x14ac:dyDescent="0.2">
      <c r="A40" s="28" t="s">
        <v>80</v>
      </c>
      <c r="B40" s="31" t="s">
        <v>81</v>
      </c>
      <c r="C40" s="60">
        <f>(C37*B74*B33)/1000</f>
        <v>1.3588888899760003E-2</v>
      </c>
      <c r="D40" s="21" t="s">
        <v>71</v>
      </c>
      <c r="E40" s="53"/>
      <c r="F40" s="53"/>
    </row>
    <row r="41" spans="1:6" ht="16" x14ac:dyDescent="0.2">
      <c r="A41" s="28" t="s">
        <v>82</v>
      </c>
      <c r="B41" s="29"/>
      <c r="C41" s="124">
        <f>SUM(C39:C40)</f>
        <v>1.3588888899760003E-2</v>
      </c>
      <c r="D41" s="21" t="s">
        <v>71</v>
      </c>
      <c r="E41" s="53">
        <f>C41*10000</f>
        <v>135.88888899760002</v>
      </c>
      <c r="F41" s="53"/>
    </row>
    <row r="42" spans="1:6" ht="16" x14ac:dyDescent="0.2">
      <c r="A42" s="28" t="s">
        <v>83</v>
      </c>
      <c r="B42" s="6"/>
      <c r="C42" s="67">
        <v>2.7</v>
      </c>
      <c r="D42" s="21" t="s">
        <v>84</v>
      </c>
      <c r="E42" s="53"/>
      <c r="F42" s="53"/>
    </row>
    <row r="43" spans="1:6" ht="34" x14ac:dyDescent="0.2">
      <c r="A43" s="28" t="s">
        <v>85</v>
      </c>
      <c r="B43" s="31" t="s">
        <v>86</v>
      </c>
      <c r="C43" s="126">
        <f>C37*C42*B32/1000</f>
        <v>1.08</v>
      </c>
      <c r="D43" s="21" t="s">
        <v>68</v>
      </c>
      <c r="E43" s="53">
        <f>C43*C3</f>
        <v>10800</v>
      </c>
      <c r="F43" s="53"/>
    </row>
    <row r="44" spans="1:6" x14ac:dyDescent="0.2">
      <c r="A44" s="40"/>
      <c r="B44" s="41"/>
      <c r="C44" s="62"/>
      <c r="D44" s="42"/>
      <c r="E44" s="53"/>
      <c r="F44" s="53"/>
    </row>
    <row r="45" spans="1:6" x14ac:dyDescent="0.2">
      <c r="A45" s="43" t="s">
        <v>87</v>
      </c>
      <c r="B45" s="29"/>
      <c r="C45" s="60"/>
      <c r="D45" s="44"/>
      <c r="E45" s="53"/>
      <c r="F45" s="53"/>
    </row>
    <row r="46" spans="1:6" ht="16" x14ac:dyDescent="0.2">
      <c r="A46" s="39" t="s">
        <v>114</v>
      </c>
      <c r="B46" s="29"/>
      <c r="C46" s="69">
        <v>20</v>
      </c>
      <c r="D46" s="44" t="s">
        <v>112</v>
      </c>
      <c r="E46" s="53"/>
      <c r="F46" s="53"/>
    </row>
    <row r="47" spans="1:6" ht="16" x14ac:dyDescent="0.2">
      <c r="A47" s="45" t="s">
        <v>115</v>
      </c>
      <c r="B47" s="6"/>
      <c r="C47" s="68">
        <v>10000</v>
      </c>
      <c r="D47" s="21" t="s">
        <v>113</v>
      </c>
      <c r="E47" s="53"/>
      <c r="F47" s="53"/>
    </row>
    <row r="48" spans="1:6" ht="16" x14ac:dyDescent="0.2">
      <c r="A48" s="45" t="s">
        <v>117</v>
      </c>
      <c r="B48" s="6"/>
      <c r="C48" s="30">
        <f>C47*C8*C46</f>
        <v>52095.734102936112</v>
      </c>
      <c r="D48" s="21" t="s">
        <v>40</v>
      </c>
      <c r="E48" s="53"/>
      <c r="F48" s="53"/>
    </row>
    <row r="49" spans="1:6" ht="16" x14ac:dyDescent="0.2">
      <c r="A49" s="45" t="s">
        <v>116</v>
      </c>
      <c r="B49" s="46"/>
      <c r="C49" s="38">
        <f>C48*1000</f>
        <v>52095734.102936111</v>
      </c>
      <c r="D49" s="21" t="s">
        <v>48</v>
      </c>
      <c r="E49" s="53"/>
      <c r="F49" s="53"/>
    </row>
    <row r="50" spans="1:6" ht="32" x14ac:dyDescent="0.2">
      <c r="A50" s="47" t="s">
        <v>111</v>
      </c>
      <c r="B50" s="6"/>
      <c r="C50" s="48">
        <f>1/C49</f>
        <v>1.9195429668465695E-8</v>
      </c>
      <c r="D50" s="21"/>
      <c r="E50" s="53"/>
      <c r="F50" s="53"/>
    </row>
    <row r="51" spans="1:6" ht="16" x14ac:dyDescent="0.2">
      <c r="A51" s="49" t="s">
        <v>88</v>
      </c>
      <c r="B51" s="6"/>
      <c r="C51" s="127">
        <f>C50*E68</f>
        <v>8.0447717311851279E-9</v>
      </c>
      <c r="D51" s="21"/>
      <c r="E51" s="53"/>
      <c r="F51" s="53"/>
    </row>
    <row r="52" spans="1:6" ht="16" thickBot="1" x14ac:dyDescent="0.25">
      <c r="A52" s="50"/>
      <c r="B52" s="51"/>
      <c r="C52" s="64"/>
      <c r="D52" s="52"/>
      <c r="E52" s="53"/>
      <c r="F52" s="53"/>
    </row>
    <row r="53" spans="1:6" ht="16" thickBot="1" x14ac:dyDescent="0.25">
      <c r="A53" s="6"/>
      <c r="B53" s="6"/>
      <c r="C53" s="63"/>
      <c r="D53" s="5"/>
      <c r="E53" s="53"/>
      <c r="F53" s="53"/>
    </row>
    <row r="54" spans="1:6" x14ac:dyDescent="0.2">
      <c r="A54" s="18" t="s">
        <v>89</v>
      </c>
      <c r="B54" s="19" t="s">
        <v>90</v>
      </c>
      <c r="C54" s="63"/>
      <c r="D54" s="5"/>
      <c r="E54" s="53"/>
      <c r="F54" s="53"/>
    </row>
    <row r="55" spans="1:6" x14ac:dyDescent="0.2">
      <c r="A55" s="20" t="s">
        <v>91</v>
      </c>
      <c r="B55" s="21">
        <v>33.9</v>
      </c>
      <c r="C55" s="63"/>
      <c r="D55" s="5"/>
      <c r="E55" s="53"/>
      <c r="F55" s="53"/>
    </row>
    <row r="56" spans="1:6" x14ac:dyDescent="0.2">
      <c r="A56" s="20" t="s">
        <v>92</v>
      </c>
      <c r="B56" s="21">
        <v>32.07</v>
      </c>
      <c r="C56" s="63"/>
      <c r="D56" s="5"/>
      <c r="E56" s="53"/>
      <c r="F56" s="53"/>
    </row>
    <row r="57" spans="1:6" x14ac:dyDescent="0.2">
      <c r="A57" s="20" t="s">
        <v>93</v>
      </c>
      <c r="B57" s="21">
        <v>21.61</v>
      </c>
      <c r="C57" s="63"/>
      <c r="D57" s="5"/>
      <c r="E57" s="53"/>
      <c r="F57" s="53"/>
    </row>
    <row r="58" spans="1:6" x14ac:dyDescent="0.2">
      <c r="A58" s="20" t="s">
        <v>94</v>
      </c>
      <c r="B58" s="21">
        <v>25.63</v>
      </c>
      <c r="C58" s="63"/>
      <c r="D58" s="5"/>
      <c r="E58" s="53"/>
      <c r="F58" s="53"/>
    </row>
    <row r="59" spans="1:6" x14ac:dyDescent="0.2">
      <c r="A59" s="20" t="s">
        <v>95</v>
      </c>
      <c r="B59" s="21">
        <v>30.8</v>
      </c>
      <c r="C59" s="63"/>
      <c r="D59" s="5"/>
      <c r="E59" s="53"/>
      <c r="F59" s="53"/>
    </row>
    <row r="60" spans="1:6" x14ac:dyDescent="0.2">
      <c r="A60" s="20" t="s">
        <v>96</v>
      </c>
      <c r="B60" s="21">
        <v>34.9</v>
      </c>
      <c r="C60" s="63"/>
      <c r="D60" s="5"/>
      <c r="E60" s="53"/>
      <c r="F60" s="53"/>
    </row>
    <row r="61" spans="1:6" x14ac:dyDescent="0.2">
      <c r="A61" s="22" t="s">
        <v>97</v>
      </c>
      <c r="B61" s="23" t="s">
        <v>90</v>
      </c>
      <c r="C61" s="63"/>
      <c r="D61" s="5"/>
      <c r="E61" s="53"/>
      <c r="F61" s="53"/>
    </row>
    <row r="62" spans="1:6" x14ac:dyDescent="0.2">
      <c r="A62" s="20" t="s">
        <v>98</v>
      </c>
      <c r="B62" s="117">
        <v>17.125162432281314</v>
      </c>
      <c r="C62" s="63"/>
      <c r="D62" s="5"/>
      <c r="E62" s="53"/>
      <c r="F62" s="53"/>
    </row>
    <row r="63" spans="1:6" ht="16" thickBot="1" x14ac:dyDescent="0.25">
      <c r="A63" s="24" t="s">
        <v>99</v>
      </c>
      <c r="B63" s="118">
        <v>7.3680459433022607</v>
      </c>
      <c r="C63" s="63"/>
      <c r="D63" s="5"/>
      <c r="E63" s="53"/>
      <c r="F63" s="53"/>
    </row>
    <row r="64" spans="1:6" ht="16" thickBot="1" x14ac:dyDescent="0.25">
      <c r="A64" s="6"/>
      <c r="B64" s="6"/>
      <c r="C64" s="63"/>
      <c r="D64" s="5"/>
      <c r="E64" s="53"/>
      <c r="F64" s="53"/>
    </row>
    <row r="65" spans="1:6" x14ac:dyDescent="0.2">
      <c r="A65" s="8" t="s">
        <v>100</v>
      </c>
      <c r="B65" s="9" t="s">
        <v>110</v>
      </c>
      <c r="C65" s="65" t="s">
        <v>101</v>
      </c>
      <c r="D65" s="9" t="s">
        <v>102</v>
      </c>
      <c r="E65" s="10" t="s">
        <v>103</v>
      </c>
      <c r="F65" s="53"/>
    </row>
    <row r="66" spans="1:6" x14ac:dyDescent="0.2">
      <c r="A66" s="11" t="s">
        <v>104</v>
      </c>
      <c r="B66" s="119">
        <v>0.58177580303835019</v>
      </c>
      <c r="C66" s="38">
        <f>B66*C5</f>
        <v>3490.6548182301012</v>
      </c>
      <c r="D66" s="38">
        <f>C66*B62</f>
        <v>59778.030757215893</v>
      </c>
      <c r="E66" s="57">
        <f>D66/(SUM(D66:D68))</f>
        <v>0.52045520777225707</v>
      </c>
      <c r="F66" s="53"/>
    </row>
    <row r="67" spans="1:6" x14ac:dyDescent="0.2">
      <c r="A67" s="11" t="s">
        <v>99</v>
      </c>
      <c r="B67" s="119">
        <v>0.15704562860315174</v>
      </c>
      <c r="C67" s="38">
        <f>B67*C5</f>
        <v>942.27377161891047</v>
      </c>
      <c r="D67" s="38">
        <f>C67*B63</f>
        <v>6942.7164404568339</v>
      </c>
      <c r="E67" s="57">
        <f>D67/(SUM(D66:D68))</f>
        <v>6.0446503201105388E-2</v>
      </c>
      <c r="F67" s="53"/>
    </row>
    <row r="68" spans="1:6" ht="16" thickBot="1" x14ac:dyDescent="0.25">
      <c r="A68" s="12" t="s">
        <v>105</v>
      </c>
      <c r="B68" s="120">
        <v>0.26047867051468054</v>
      </c>
      <c r="C68" s="70">
        <f>B68*C5</f>
        <v>1562.8720230880833</v>
      </c>
      <c r="D68" s="70">
        <f>C68*B59</f>
        <v>48136.458311112969</v>
      </c>
      <c r="E68" s="128">
        <f>D68/(SUM(D66:D68))</f>
        <v>0.41909828902663748</v>
      </c>
      <c r="F68" s="53"/>
    </row>
    <row r="69" spans="1:6" ht="16" thickBot="1" x14ac:dyDescent="0.25">
      <c r="A69" s="6"/>
      <c r="B69" s="6"/>
      <c r="C69" s="63"/>
      <c r="D69" s="5"/>
      <c r="E69" s="53"/>
      <c r="F69" s="53"/>
    </row>
    <row r="70" spans="1:6" x14ac:dyDescent="0.2">
      <c r="A70" s="14" t="s">
        <v>106</v>
      </c>
      <c r="B70" s="15" t="s">
        <v>107</v>
      </c>
      <c r="C70" s="63"/>
      <c r="D70" s="5"/>
      <c r="E70" s="53"/>
      <c r="F70" s="53"/>
    </row>
    <row r="71" spans="1:6" ht="16" thickBot="1" x14ac:dyDescent="0.25">
      <c r="A71" s="16" t="s">
        <v>95</v>
      </c>
      <c r="B71" s="121">
        <v>19.72</v>
      </c>
      <c r="C71" s="63"/>
      <c r="D71" s="5"/>
      <c r="E71" s="53"/>
      <c r="F71" s="53"/>
    </row>
    <row r="72" spans="1:6" ht="16" thickBot="1" x14ac:dyDescent="0.25">
      <c r="A72" s="6"/>
      <c r="B72" s="55"/>
      <c r="C72" s="63"/>
      <c r="D72" s="5"/>
      <c r="E72" s="53"/>
      <c r="F72" s="53"/>
    </row>
    <row r="73" spans="1:6" x14ac:dyDescent="0.2">
      <c r="A73" s="14" t="s">
        <v>108</v>
      </c>
      <c r="B73" s="56">
        <v>5.0000000000000001E-4</v>
      </c>
      <c r="C73" s="63"/>
      <c r="D73" s="5"/>
      <c r="E73" s="53"/>
      <c r="F73" s="53"/>
    </row>
    <row r="74" spans="1:6" ht="16" thickBot="1" x14ac:dyDescent="0.25">
      <c r="A74" s="16" t="s">
        <v>109</v>
      </c>
      <c r="B74" s="17">
        <v>0.12230000000000001</v>
      </c>
      <c r="C74" s="63"/>
      <c r="D74" s="5"/>
      <c r="E74" s="53"/>
      <c r="F74" s="53"/>
    </row>
    <row r="75" spans="1:6" x14ac:dyDescent="0.2">
      <c r="A75" s="6"/>
      <c r="B75" s="6"/>
      <c r="C75" s="63"/>
      <c r="D75" s="5"/>
      <c r="E75" s="53"/>
      <c r="F75" s="53"/>
    </row>
    <row r="76" spans="1:6" x14ac:dyDescent="0.2">
      <c r="A76" s="186" t="s">
        <v>240</v>
      </c>
      <c r="B76" s="186"/>
      <c r="C76" s="186"/>
      <c r="D76" s="105" t="s">
        <v>239</v>
      </c>
      <c r="E76" s="53"/>
      <c r="F76" s="53"/>
    </row>
    <row r="77" spans="1:6" x14ac:dyDescent="0.2">
      <c r="A77" s="186"/>
      <c r="B77" s="186"/>
      <c r="C77" s="186"/>
      <c r="D77" s="5"/>
      <c r="F77" s="53"/>
    </row>
    <row r="78" spans="1:6" x14ac:dyDescent="0.2">
      <c r="A78" s="122">
        <f>[1]Data!$L$128</f>
        <v>2.2463571428571431E-6</v>
      </c>
      <c r="B78" s="6">
        <f>[1]Data!$P$128</f>
        <v>1.476201226198731</v>
      </c>
      <c r="C78" s="177" t="s">
        <v>335</v>
      </c>
      <c r="D78" s="5"/>
      <c r="E78" s="53"/>
      <c r="F78" s="53"/>
    </row>
    <row r="79" spans="1:6" x14ac:dyDescent="0.2">
      <c r="A79" s="6" t="s">
        <v>333</v>
      </c>
      <c r="B79" s="6" t="s">
        <v>291</v>
      </c>
      <c r="C79" s="63"/>
      <c r="D79" s="5"/>
      <c r="E79" s="53"/>
      <c r="F79" s="53"/>
    </row>
    <row r="80" spans="1:6" x14ac:dyDescent="0.2">
      <c r="A80" s="6" t="s">
        <v>188</v>
      </c>
      <c r="B80" s="6"/>
      <c r="C80" s="63"/>
      <c r="D80" s="5"/>
      <c r="E80" s="53"/>
      <c r="F80" s="53"/>
    </row>
    <row r="81" spans="1:6" x14ac:dyDescent="0.2">
      <c r="A81" s="6"/>
      <c r="B81" s="6"/>
      <c r="C81" s="63"/>
      <c r="D81" s="5"/>
      <c r="E81" s="53"/>
      <c r="F81" s="53"/>
    </row>
    <row r="82" spans="1:6" x14ac:dyDescent="0.2">
      <c r="A82" s="6"/>
      <c r="B82" s="6"/>
      <c r="C82" s="63"/>
      <c r="D82" s="5"/>
      <c r="E82" s="53"/>
      <c r="F82" s="53"/>
    </row>
    <row r="83" spans="1:6" x14ac:dyDescent="0.2">
      <c r="A83" s="6"/>
      <c r="B83" s="6"/>
      <c r="C83" s="63"/>
      <c r="D83" s="5"/>
      <c r="E83" s="53"/>
      <c r="F83" s="53"/>
    </row>
    <row r="84" spans="1:6" x14ac:dyDescent="0.2">
      <c r="A84" s="6"/>
      <c r="B84" s="6"/>
      <c r="C84" s="63"/>
      <c r="D84" s="5"/>
      <c r="E84" s="53"/>
      <c r="F84" s="53"/>
    </row>
    <row r="85" spans="1:6" x14ac:dyDescent="0.2">
      <c r="A85" s="6"/>
      <c r="B85" s="6"/>
      <c r="C85" s="63"/>
      <c r="D85" s="5"/>
      <c r="E85" s="53"/>
      <c r="F85" s="53"/>
    </row>
    <row r="86" spans="1:6" x14ac:dyDescent="0.2">
      <c r="A86" s="6"/>
      <c r="B86" s="6"/>
      <c r="C86" s="63"/>
      <c r="D86" s="5"/>
      <c r="E86" s="53"/>
      <c r="F86" s="53"/>
    </row>
    <row r="87" spans="1:6" x14ac:dyDescent="0.2">
      <c r="A87" s="6"/>
      <c r="B87" s="6"/>
      <c r="C87" s="63"/>
      <c r="D87" s="5"/>
      <c r="E87" s="53"/>
      <c r="F87" s="53"/>
    </row>
    <row r="88" spans="1:6" x14ac:dyDescent="0.2">
      <c r="A88" s="6"/>
      <c r="B88" s="6"/>
      <c r="C88" s="63"/>
      <c r="D88" s="5"/>
      <c r="E88" s="53"/>
      <c r="F88" s="53"/>
    </row>
    <row r="89" spans="1:6" x14ac:dyDescent="0.2">
      <c r="A89" s="6"/>
      <c r="B89" s="6"/>
      <c r="C89" s="63"/>
      <c r="D89" s="5"/>
      <c r="E89" s="53"/>
      <c r="F89" s="53"/>
    </row>
    <row r="90" spans="1:6" x14ac:dyDescent="0.2">
      <c r="A90" s="6"/>
      <c r="B90" s="6"/>
      <c r="C90" s="63"/>
      <c r="D90" s="5"/>
      <c r="E90" s="53"/>
      <c r="F90" s="53"/>
    </row>
    <row r="91" spans="1:6" x14ac:dyDescent="0.2">
      <c r="A91" s="6"/>
      <c r="B91" s="6"/>
      <c r="C91" s="63"/>
      <c r="D91" s="5"/>
      <c r="E91" s="53"/>
      <c r="F91" s="53"/>
    </row>
    <row r="92" spans="1:6" x14ac:dyDescent="0.2">
      <c r="A92" s="6"/>
      <c r="B92" s="6"/>
      <c r="C92" s="63"/>
      <c r="D92" s="5"/>
      <c r="E92" s="53"/>
      <c r="F92" s="53"/>
    </row>
    <row r="93" spans="1:6" x14ac:dyDescent="0.2">
      <c r="A93" s="6"/>
      <c r="B93" s="6"/>
      <c r="C93" s="63"/>
      <c r="D93" s="5"/>
      <c r="E93" s="53"/>
      <c r="F93" s="53"/>
    </row>
    <row r="94" spans="1:6" x14ac:dyDescent="0.2">
      <c r="A94" s="6"/>
      <c r="B94" s="6"/>
      <c r="C94" s="63"/>
      <c r="D94" s="5"/>
      <c r="E94" s="53"/>
      <c r="F94" s="53"/>
    </row>
    <row r="95" spans="1:6" x14ac:dyDescent="0.2">
      <c r="A95" s="6"/>
      <c r="B95" s="6"/>
      <c r="C95" s="63"/>
      <c r="D95" s="5"/>
      <c r="E95" s="53"/>
      <c r="F95" s="53"/>
    </row>
    <row r="96" spans="1:6" x14ac:dyDescent="0.2">
      <c r="A96" s="6"/>
      <c r="B96" s="6"/>
      <c r="C96" s="63"/>
      <c r="D96" s="5"/>
      <c r="E96" s="53"/>
      <c r="F96" s="53"/>
    </row>
    <row r="97" spans="1:6" x14ac:dyDescent="0.2">
      <c r="A97" s="6"/>
      <c r="B97" s="6"/>
      <c r="C97" s="63"/>
      <c r="D97" s="5"/>
      <c r="E97" s="53"/>
      <c r="F97" s="53"/>
    </row>
    <row r="98" spans="1:6" x14ac:dyDescent="0.2">
      <c r="A98" s="6"/>
      <c r="B98" s="6"/>
      <c r="C98" s="63"/>
      <c r="D98" s="5"/>
      <c r="E98" s="53"/>
      <c r="F98" s="53"/>
    </row>
    <row r="99" spans="1:6" x14ac:dyDescent="0.2">
      <c r="A99" s="6"/>
      <c r="B99" s="6"/>
      <c r="C99" s="63"/>
      <c r="D99" s="5"/>
      <c r="E99" s="53"/>
      <c r="F99" s="53"/>
    </row>
    <row r="100" spans="1:6" x14ac:dyDescent="0.2">
      <c r="A100" s="6"/>
      <c r="B100" s="6"/>
      <c r="C100" s="63"/>
      <c r="D100" s="5"/>
      <c r="E100" s="53"/>
      <c r="F100" s="53"/>
    </row>
    <row r="101" spans="1:6" x14ac:dyDescent="0.2">
      <c r="A101" s="6"/>
      <c r="B101" s="6"/>
      <c r="C101" s="63"/>
      <c r="D101" s="5"/>
      <c r="E101" s="53"/>
      <c r="F101" s="53"/>
    </row>
    <row r="102" spans="1:6" x14ac:dyDescent="0.2">
      <c r="A102" s="6"/>
      <c r="B102" s="6"/>
      <c r="C102" s="63"/>
      <c r="D102" s="5"/>
      <c r="E102" s="53"/>
      <c r="F102" s="53"/>
    </row>
    <row r="103" spans="1:6" x14ac:dyDescent="0.2">
      <c r="A103" s="6"/>
      <c r="B103" s="6"/>
      <c r="C103" s="63"/>
      <c r="D103" s="5"/>
      <c r="E103" s="53"/>
      <c r="F103" s="53"/>
    </row>
    <row r="104" spans="1:6" x14ac:dyDescent="0.2">
      <c r="A104" s="6"/>
      <c r="B104" s="6"/>
      <c r="C104" s="63"/>
      <c r="D104" s="5"/>
      <c r="E104" s="53"/>
      <c r="F104" s="53"/>
    </row>
    <row r="105" spans="1:6" x14ac:dyDescent="0.2">
      <c r="A105" s="6"/>
      <c r="B105" s="6"/>
      <c r="C105" s="63"/>
      <c r="D105" s="5"/>
      <c r="E105" s="53"/>
      <c r="F105" s="53"/>
    </row>
    <row r="106" spans="1:6" x14ac:dyDescent="0.2">
      <c r="A106" s="6"/>
      <c r="B106" s="6"/>
      <c r="C106" s="63"/>
      <c r="D106" s="5"/>
      <c r="E106" s="53"/>
      <c r="F106" s="53"/>
    </row>
    <row r="107" spans="1:6" x14ac:dyDescent="0.2">
      <c r="A107" s="6"/>
      <c r="B107" s="6"/>
      <c r="C107" s="63"/>
      <c r="D107" s="5"/>
      <c r="E107" s="53"/>
      <c r="F107" s="53"/>
    </row>
    <row r="108" spans="1:6" x14ac:dyDescent="0.2">
      <c r="A108" s="6"/>
      <c r="B108" s="6"/>
      <c r="C108" s="63"/>
      <c r="D108" s="5"/>
      <c r="E108" s="53"/>
      <c r="F108" s="53"/>
    </row>
    <row r="109" spans="1:6" x14ac:dyDescent="0.2">
      <c r="A109" s="6"/>
      <c r="B109" s="6"/>
      <c r="C109" s="63"/>
      <c r="D109" s="5"/>
      <c r="E109" s="53"/>
      <c r="F109" s="53"/>
    </row>
    <row r="110" spans="1:6" x14ac:dyDescent="0.2">
      <c r="A110" s="6"/>
      <c r="B110" s="6"/>
      <c r="C110" s="63"/>
      <c r="D110" s="5"/>
      <c r="E110" s="53"/>
      <c r="F110" s="53"/>
    </row>
    <row r="111" spans="1:6" x14ac:dyDescent="0.2">
      <c r="A111" s="6"/>
      <c r="B111" s="6"/>
      <c r="C111" s="63"/>
      <c r="D111" s="5"/>
      <c r="E111" s="53"/>
      <c r="F111" s="53"/>
    </row>
    <row r="112" spans="1:6" x14ac:dyDescent="0.2">
      <c r="A112" s="6"/>
      <c r="B112" s="6"/>
      <c r="C112" s="63"/>
      <c r="D112" s="5"/>
      <c r="E112" s="53"/>
      <c r="F112" s="53"/>
    </row>
    <row r="113" spans="1:6" x14ac:dyDescent="0.2">
      <c r="A113" s="6"/>
      <c r="B113" s="6"/>
      <c r="C113" s="63"/>
      <c r="D113" s="5"/>
      <c r="E113" s="53"/>
      <c r="F113" s="53"/>
    </row>
    <row r="114" spans="1:6" x14ac:dyDescent="0.2">
      <c r="A114" s="6"/>
      <c r="B114" s="6"/>
      <c r="C114" s="63"/>
      <c r="D114" s="5"/>
      <c r="E114" s="53"/>
      <c r="F114" s="53"/>
    </row>
    <row r="115" spans="1:6" x14ac:dyDescent="0.2">
      <c r="A115" s="6"/>
      <c r="B115" s="6"/>
      <c r="C115" s="63"/>
      <c r="D115" s="5"/>
      <c r="E115" s="53"/>
      <c r="F115" s="53"/>
    </row>
    <row r="116" spans="1:6" x14ac:dyDescent="0.2">
      <c r="A116" s="6"/>
      <c r="B116" s="6"/>
      <c r="C116" s="63"/>
      <c r="D116" s="5"/>
      <c r="E116" s="53"/>
      <c r="F116" s="53"/>
    </row>
    <row r="117" spans="1:6" x14ac:dyDescent="0.2">
      <c r="A117" s="6"/>
      <c r="B117" s="6"/>
      <c r="C117" s="63"/>
      <c r="D117" s="5"/>
      <c r="E117" s="53"/>
      <c r="F117" s="53"/>
    </row>
    <row r="118" spans="1:6" x14ac:dyDescent="0.2">
      <c r="A118" s="6"/>
      <c r="B118" s="6"/>
      <c r="C118" s="63"/>
      <c r="D118" s="5"/>
      <c r="E118" s="53"/>
      <c r="F118" s="53"/>
    </row>
    <row r="119" spans="1:6" x14ac:dyDescent="0.2">
      <c r="A119" s="6"/>
      <c r="B119" s="6"/>
      <c r="C119" s="63"/>
      <c r="D119" s="5"/>
      <c r="E119" s="53"/>
      <c r="F119" s="53"/>
    </row>
    <row r="120" spans="1:6" x14ac:dyDescent="0.2">
      <c r="A120" s="6"/>
      <c r="B120" s="6"/>
      <c r="C120" s="63"/>
      <c r="D120" s="5"/>
      <c r="E120" s="53"/>
      <c r="F120" s="53"/>
    </row>
    <row r="121" spans="1:6" x14ac:dyDescent="0.2">
      <c r="A121" s="6"/>
      <c r="B121" s="6"/>
      <c r="C121" s="63"/>
      <c r="D121" s="5"/>
      <c r="E121" s="53"/>
      <c r="F121" s="53"/>
    </row>
    <row r="122" spans="1:6" x14ac:dyDescent="0.2">
      <c r="A122" s="6"/>
      <c r="B122" s="6"/>
      <c r="C122" s="63"/>
      <c r="D122" s="5"/>
      <c r="E122" s="53"/>
      <c r="F122" s="53"/>
    </row>
    <row r="123" spans="1:6" x14ac:dyDescent="0.2">
      <c r="A123" s="6"/>
      <c r="B123" s="6"/>
      <c r="C123" s="63"/>
      <c r="D123" s="5"/>
      <c r="E123" s="53"/>
      <c r="F123" s="53"/>
    </row>
    <row r="124" spans="1:6" x14ac:dyDescent="0.2">
      <c r="A124" s="6"/>
      <c r="B124" s="6"/>
      <c r="C124" s="63"/>
      <c r="D124" s="5"/>
      <c r="E124" s="53"/>
      <c r="F124" s="53"/>
    </row>
    <row r="125" spans="1:6" x14ac:dyDescent="0.2">
      <c r="A125" s="6"/>
      <c r="B125" s="6"/>
      <c r="C125" s="63"/>
      <c r="D125" s="5"/>
      <c r="E125" s="53"/>
      <c r="F125" s="53"/>
    </row>
    <row r="126" spans="1:6" x14ac:dyDescent="0.2">
      <c r="A126" s="6"/>
      <c r="B126" s="6"/>
      <c r="C126" s="63"/>
      <c r="D126" s="5"/>
      <c r="E126" s="53"/>
      <c r="F126" s="53"/>
    </row>
    <row r="127" spans="1:6" x14ac:dyDescent="0.2">
      <c r="A127" s="6"/>
      <c r="B127" s="6"/>
      <c r="C127" s="63"/>
      <c r="D127" s="5"/>
      <c r="E127" s="53"/>
      <c r="F127" s="53"/>
    </row>
    <row r="128" spans="1:6" x14ac:dyDescent="0.2">
      <c r="A128" s="6"/>
      <c r="B128" s="6"/>
      <c r="C128" s="63"/>
      <c r="D128" s="5"/>
      <c r="E128" s="53"/>
      <c r="F128" s="53"/>
    </row>
    <row r="129" spans="1:6" x14ac:dyDescent="0.2">
      <c r="A129" s="6"/>
      <c r="B129" s="6"/>
      <c r="C129" s="63"/>
      <c r="D129" s="5"/>
      <c r="E129" s="53"/>
      <c r="F129" s="53"/>
    </row>
    <row r="130" spans="1:6" x14ac:dyDescent="0.2">
      <c r="A130" s="6"/>
      <c r="B130" s="6"/>
      <c r="C130" s="63"/>
      <c r="D130" s="5"/>
      <c r="E130" s="53"/>
      <c r="F130" s="53"/>
    </row>
    <row r="131" spans="1:6" x14ac:dyDescent="0.2">
      <c r="A131" s="6"/>
      <c r="B131" s="6"/>
      <c r="C131" s="63"/>
      <c r="D131" s="5"/>
      <c r="E131" s="53"/>
      <c r="F131" s="53"/>
    </row>
    <row r="132" spans="1:6" x14ac:dyDescent="0.2">
      <c r="A132" s="6"/>
      <c r="B132" s="6"/>
      <c r="C132" s="63"/>
      <c r="D132" s="5"/>
      <c r="E132" s="53"/>
      <c r="F132" s="53"/>
    </row>
    <row r="133" spans="1:6" x14ac:dyDescent="0.2">
      <c r="A133" s="6"/>
      <c r="B133" s="6"/>
      <c r="C133" s="63"/>
      <c r="D133" s="5"/>
      <c r="E133" s="53"/>
      <c r="F133" s="53"/>
    </row>
    <row r="134" spans="1:6" x14ac:dyDescent="0.2">
      <c r="A134" s="6"/>
      <c r="B134" s="6"/>
      <c r="C134" s="63"/>
      <c r="D134" s="5"/>
      <c r="E134" s="53"/>
      <c r="F134" s="53"/>
    </row>
    <row r="135" spans="1:6" x14ac:dyDescent="0.2">
      <c r="A135" s="6"/>
      <c r="B135" s="6"/>
      <c r="C135" s="63"/>
      <c r="D135" s="5"/>
      <c r="E135" s="53"/>
      <c r="F135" s="53"/>
    </row>
    <row r="136" spans="1:6" x14ac:dyDescent="0.2">
      <c r="A136" s="6"/>
      <c r="B136" s="6"/>
      <c r="C136" s="63"/>
      <c r="D136" s="5"/>
      <c r="E136" s="53"/>
      <c r="F136" s="53"/>
    </row>
    <row r="137" spans="1:6" x14ac:dyDescent="0.2">
      <c r="A137" s="6"/>
      <c r="B137" s="6"/>
      <c r="C137" s="63"/>
      <c r="D137" s="5"/>
      <c r="E137" s="53"/>
      <c r="F137" s="53"/>
    </row>
    <row r="138" spans="1:6" x14ac:dyDescent="0.2">
      <c r="A138" s="6"/>
      <c r="B138" s="6"/>
      <c r="C138" s="63"/>
      <c r="D138" s="5"/>
      <c r="E138" s="53"/>
      <c r="F138" s="53"/>
    </row>
    <row r="139" spans="1:6" x14ac:dyDescent="0.2">
      <c r="A139" s="6"/>
      <c r="B139" s="6"/>
      <c r="C139" s="63"/>
      <c r="D139" s="5"/>
      <c r="E139" s="53"/>
      <c r="F139" s="53"/>
    </row>
    <row r="140" spans="1:6" x14ac:dyDescent="0.2">
      <c r="A140" s="6"/>
      <c r="B140" s="6"/>
      <c r="C140" s="63"/>
      <c r="D140" s="5"/>
      <c r="E140" s="53"/>
      <c r="F140" s="53"/>
    </row>
    <row r="141" spans="1:6" x14ac:dyDescent="0.2">
      <c r="A141" s="6"/>
      <c r="B141" s="6"/>
      <c r="C141" s="63"/>
      <c r="D141" s="5"/>
      <c r="E141" s="53"/>
      <c r="F141" s="53"/>
    </row>
    <row r="142" spans="1:6" x14ac:dyDescent="0.2">
      <c r="A142" s="6"/>
      <c r="B142" s="6"/>
      <c r="C142" s="63"/>
      <c r="D142" s="5"/>
      <c r="E142" s="53"/>
      <c r="F142" s="53"/>
    </row>
    <row r="143" spans="1:6" x14ac:dyDescent="0.2">
      <c r="A143" s="6"/>
      <c r="B143" s="6"/>
      <c r="C143" s="63"/>
      <c r="D143" s="5"/>
      <c r="E143" s="53"/>
      <c r="F143" s="53"/>
    </row>
    <row r="144" spans="1:6" x14ac:dyDescent="0.2">
      <c r="A144" s="6"/>
      <c r="B144" s="6"/>
      <c r="C144" s="63"/>
      <c r="D144" s="5"/>
      <c r="E144" s="53"/>
      <c r="F144" s="53"/>
    </row>
    <row r="145" spans="1:6" x14ac:dyDescent="0.2">
      <c r="A145" s="6"/>
      <c r="B145" s="6"/>
      <c r="C145" s="63"/>
      <c r="D145" s="5"/>
      <c r="E145" s="53"/>
      <c r="F145" s="53"/>
    </row>
    <row r="146" spans="1:6" x14ac:dyDescent="0.2">
      <c r="A146" s="6"/>
      <c r="B146" s="6"/>
      <c r="C146" s="63"/>
      <c r="D146" s="5"/>
      <c r="E146" s="53"/>
      <c r="F146" s="53"/>
    </row>
    <row r="147" spans="1:6" x14ac:dyDescent="0.2">
      <c r="A147" s="6"/>
      <c r="B147" s="6"/>
      <c r="C147" s="63"/>
      <c r="D147" s="5"/>
      <c r="E147" s="53"/>
      <c r="F147" s="53"/>
    </row>
    <row r="148" spans="1:6" x14ac:dyDescent="0.2">
      <c r="A148" s="6"/>
      <c r="B148" s="6"/>
      <c r="C148" s="63"/>
      <c r="D148" s="5"/>
      <c r="E148" s="53"/>
      <c r="F148" s="53"/>
    </row>
    <row r="149" spans="1:6" x14ac:dyDescent="0.2">
      <c r="A149" s="6"/>
      <c r="B149" s="6"/>
      <c r="C149" s="63"/>
      <c r="D149" s="5"/>
      <c r="E149" s="53"/>
      <c r="F149" s="53"/>
    </row>
    <row r="150" spans="1:6" x14ac:dyDescent="0.2">
      <c r="A150" s="6"/>
      <c r="B150" s="6"/>
      <c r="C150" s="63"/>
      <c r="D150" s="5"/>
      <c r="E150" s="53"/>
      <c r="F150" s="53"/>
    </row>
    <row r="151" spans="1:6" x14ac:dyDescent="0.2">
      <c r="A151" s="6"/>
      <c r="B151" s="6"/>
      <c r="C151" s="63"/>
      <c r="D151" s="5"/>
      <c r="E151" s="53"/>
      <c r="F151" s="53"/>
    </row>
    <row r="152" spans="1:6" x14ac:dyDescent="0.2">
      <c r="A152" s="6"/>
      <c r="B152" s="6"/>
      <c r="C152" s="63"/>
      <c r="D152" s="5"/>
      <c r="E152" s="53"/>
      <c r="F152" s="53"/>
    </row>
    <row r="153" spans="1:6" x14ac:dyDescent="0.2">
      <c r="A153" s="6"/>
      <c r="B153" s="6"/>
      <c r="C153" s="63"/>
      <c r="D153" s="5"/>
      <c r="E153" s="53"/>
      <c r="F153" s="53"/>
    </row>
    <row r="154" spans="1:6" x14ac:dyDescent="0.2">
      <c r="A154" s="6"/>
      <c r="B154" s="6"/>
      <c r="C154" s="63"/>
      <c r="D154" s="5"/>
      <c r="E154" s="53"/>
      <c r="F154" s="53"/>
    </row>
    <row r="155" spans="1:6" x14ac:dyDescent="0.2">
      <c r="A155" s="6"/>
      <c r="B155" s="6"/>
      <c r="C155" s="63"/>
      <c r="D155" s="5"/>
      <c r="E155" s="53"/>
      <c r="F155" s="53"/>
    </row>
    <row r="156" spans="1:6" x14ac:dyDescent="0.2">
      <c r="A156" s="6"/>
      <c r="B156" s="6"/>
      <c r="C156" s="63"/>
      <c r="D156" s="5"/>
      <c r="E156" s="53"/>
      <c r="F156" s="53"/>
    </row>
    <row r="157" spans="1:6" x14ac:dyDescent="0.2">
      <c r="A157" s="6"/>
      <c r="B157" s="6"/>
      <c r="C157" s="63"/>
      <c r="D157" s="5"/>
      <c r="E157" s="53"/>
      <c r="F157" s="53"/>
    </row>
    <row r="158" spans="1:6" x14ac:dyDescent="0.2">
      <c r="A158" s="6"/>
      <c r="B158" s="6"/>
      <c r="C158" s="63"/>
      <c r="D158" s="5"/>
      <c r="E158" s="53"/>
      <c r="F158" s="53"/>
    </row>
    <row r="159" spans="1:6" x14ac:dyDescent="0.2">
      <c r="A159" s="6"/>
      <c r="B159" s="6"/>
      <c r="C159" s="63"/>
      <c r="D159" s="5"/>
      <c r="E159" s="53"/>
      <c r="F159" s="53"/>
    </row>
    <row r="160" spans="1:6" x14ac:dyDescent="0.2">
      <c r="A160" s="6"/>
      <c r="B160" s="6"/>
      <c r="C160" s="63"/>
      <c r="D160" s="5"/>
      <c r="E160" s="53"/>
      <c r="F160" s="53"/>
    </row>
    <row r="161" spans="1:6" x14ac:dyDescent="0.2">
      <c r="A161" s="6"/>
      <c r="B161" s="6"/>
      <c r="C161" s="63"/>
      <c r="D161" s="5"/>
      <c r="E161" s="53"/>
      <c r="F161" s="53"/>
    </row>
    <row r="162" spans="1:6" x14ac:dyDescent="0.2">
      <c r="A162" s="6"/>
      <c r="B162" s="6"/>
      <c r="C162" s="63"/>
      <c r="D162" s="5"/>
      <c r="E162" s="53"/>
      <c r="F162" s="53"/>
    </row>
    <row r="163" spans="1:6" x14ac:dyDescent="0.2">
      <c r="A163" s="6"/>
      <c r="B163" s="6"/>
      <c r="C163" s="63"/>
      <c r="D163" s="5"/>
      <c r="E163" s="53"/>
      <c r="F163" s="53"/>
    </row>
    <row r="164" spans="1:6" x14ac:dyDescent="0.2">
      <c r="A164" s="6"/>
      <c r="B164" s="6"/>
      <c r="C164" s="63"/>
      <c r="D164" s="5"/>
      <c r="E164" s="53"/>
      <c r="F164" s="53"/>
    </row>
    <row r="165" spans="1:6" x14ac:dyDescent="0.2">
      <c r="A165" s="6"/>
      <c r="B165" s="6"/>
      <c r="C165" s="63"/>
      <c r="D165" s="5"/>
      <c r="E165" s="53"/>
      <c r="F165" s="53"/>
    </row>
    <row r="166" spans="1:6" x14ac:dyDescent="0.2">
      <c r="A166" s="6"/>
      <c r="B166" s="6"/>
      <c r="C166" s="63"/>
      <c r="D166" s="5"/>
      <c r="E166" s="53"/>
      <c r="F166" s="53"/>
    </row>
    <row r="167" spans="1:6" x14ac:dyDescent="0.2">
      <c r="A167" s="6"/>
      <c r="B167" s="6"/>
      <c r="C167" s="63"/>
      <c r="D167" s="5"/>
      <c r="E167" s="53"/>
      <c r="F167" s="53"/>
    </row>
    <row r="168" spans="1:6" x14ac:dyDescent="0.2">
      <c r="A168" s="6"/>
      <c r="B168" s="6"/>
      <c r="C168" s="63"/>
      <c r="D168" s="5"/>
      <c r="E168" s="53"/>
      <c r="F168" s="53"/>
    </row>
    <row r="169" spans="1:6" x14ac:dyDescent="0.2">
      <c r="A169" s="6"/>
      <c r="B169" s="6"/>
      <c r="C169" s="63"/>
      <c r="D169" s="5"/>
      <c r="E169" s="53"/>
      <c r="F169" s="53"/>
    </row>
    <row r="170" spans="1:6" x14ac:dyDescent="0.2">
      <c r="A170" s="6"/>
      <c r="B170" s="6"/>
      <c r="C170" s="63"/>
      <c r="D170" s="5"/>
      <c r="E170" s="53"/>
      <c r="F170" s="53"/>
    </row>
    <row r="171" spans="1:6" x14ac:dyDescent="0.2">
      <c r="A171" s="6"/>
      <c r="B171" s="6"/>
      <c r="C171" s="63"/>
      <c r="D171" s="5"/>
      <c r="E171" s="53"/>
      <c r="F171" s="53"/>
    </row>
    <row r="172" spans="1:6" x14ac:dyDescent="0.2">
      <c r="A172" s="6"/>
      <c r="B172" s="6"/>
      <c r="C172" s="63"/>
      <c r="D172" s="5"/>
      <c r="E172" s="53"/>
      <c r="F172" s="53"/>
    </row>
    <row r="173" spans="1:6" x14ac:dyDescent="0.2">
      <c r="A173" s="6"/>
      <c r="B173" s="6"/>
      <c r="C173" s="63"/>
      <c r="D173" s="5"/>
      <c r="E173" s="53"/>
      <c r="F173" s="53"/>
    </row>
    <row r="174" spans="1:6" x14ac:dyDescent="0.2">
      <c r="A174" s="6"/>
      <c r="B174" s="6"/>
      <c r="C174" s="63"/>
      <c r="D174" s="5"/>
      <c r="E174" s="53"/>
      <c r="F174" s="53"/>
    </row>
    <row r="175" spans="1:6" x14ac:dyDescent="0.2">
      <c r="A175" s="6"/>
      <c r="B175" s="6"/>
      <c r="C175" s="63"/>
      <c r="D175" s="5"/>
      <c r="E175" s="53"/>
      <c r="F175" s="53"/>
    </row>
    <row r="176" spans="1:6" x14ac:dyDescent="0.2">
      <c r="A176" s="6"/>
      <c r="B176" s="6"/>
      <c r="C176" s="63"/>
      <c r="D176" s="5"/>
      <c r="E176" s="53"/>
      <c r="F176" s="53"/>
    </row>
    <row r="177" spans="1:6" x14ac:dyDescent="0.2">
      <c r="A177" s="6"/>
      <c r="B177" s="6"/>
      <c r="C177" s="63"/>
      <c r="D177" s="5"/>
      <c r="E177" s="53"/>
      <c r="F177" s="53"/>
    </row>
    <row r="178" spans="1:6" x14ac:dyDescent="0.2">
      <c r="A178" s="6"/>
      <c r="B178" s="6"/>
      <c r="C178" s="63"/>
      <c r="D178" s="5"/>
      <c r="E178" s="53"/>
      <c r="F178" s="53"/>
    </row>
    <row r="179" spans="1:6" x14ac:dyDescent="0.2">
      <c r="A179" s="6"/>
      <c r="B179" s="6"/>
      <c r="C179" s="63"/>
      <c r="D179" s="5"/>
      <c r="E179" s="53"/>
      <c r="F179" s="53"/>
    </row>
    <row r="180" spans="1:6" x14ac:dyDescent="0.2">
      <c r="A180" s="6"/>
      <c r="B180" s="6"/>
      <c r="C180" s="63"/>
      <c r="D180" s="5"/>
      <c r="E180" s="53"/>
      <c r="F180" s="53"/>
    </row>
    <row r="181" spans="1:6" x14ac:dyDescent="0.2">
      <c r="A181" s="6"/>
      <c r="B181" s="6"/>
      <c r="C181" s="63"/>
      <c r="D181" s="5"/>
      <c r="E181" s="53"/>
      <c r="F181" s="53"/>
    </row>
    <row r="182" spans="1:6" x14ac:dyDescent="0.2">
      <c r="A182" s="6"/>
      <c r="B182" s="6"/>
      <c r="C182" s="63"/>
      <c r="D182" s="5"/>
      <c r="E182" s="53"/>
      <c r="F182" s="53"/>
    </row>
    <row r="183" spans="1:6" x14ac:dyDescent="0.2">
      <c r="A183" s="6"/>
      <c r="B183" s="6"/>
      <c r="C183" s="63"/>
      <c r="D183" s="5"/>
      <c r="E183" s="53"/>
      <c r="F183" s="53"/>
    </row>
    <row r="184" spans="1:6" x14ac:dyDescent="0.2">
      <c r="A184" s="6"/>
      <c r="B184" s="6"/>
      <c r="C184" s="63"/>
      <c r="D184" s="5"/>
      <c r="E184" s="53"/>
      <c r="F184" s="53"/>
    </row>
    <row r="185" spans="1:6" x14ac:dyDescent="0.2">
      <c r="A185" s="6"/>
      <c r="B185" s="6"/>
      <c r="C185" s="63"/>
      <c r="D185" s="5"/>
      <c r="E185" s="53"/>
      <c r="F185" s="53"/>
    </row>
    <row r="186" spans="1:6" x14ac:dyDescent="0.2">
      <c r="A186" s="6"/>
      <c r="B186" s="6"/>
      <c r="C186" s="63"/>
      <c r="D186" s="5"/>
      <c r="E186" s="53"/>
      <c r="F186" s="53"/>
    </row>
    <row r="187" spans="1:6" x14ac:dyDescent="0.2">
      <c r="A187" s="6"/>
      <c r="B187" s="6"/>
      <c r="C187" s="63"/>
      <c r="D187" s="5"/>
      <c r="E187" s="53"/>
      <c r="F187" s="53"/>
    </row>
    <row r="188" spans="1:6" x14ac:dyDescent="0.2">
      <c r="A188" s="6"/>
      <c r="B188" s="6"/>
      <c r="C188" s="63"/>
      <c r="D188" s="5"/>
      <c r="E188" s="53"/>
      <c r="F188" s="53"/>
    </row>
    <row r="189" spans="1:6" x14ac:dyDescent="0.2">
      <c r="A189" s="6"/>
      <c r="B189" s="6"/>
      <c r="C189" s="63"/>
      <c r="D189" s="5"/>
      <c r="E189" s="53"/>
      <c r="F189" s="53"/>
    </row>
    <row r="190" spans="1:6" x14ac:dyDescent="0.2">
      <c r="A190" s="6"/>
      <c r="B190" s="6"/>
      <c r="C190" s="63"/>
      <c r="D190" s="5"/>
      <c r="E190" s="53"/>
      <c r="F190" s="53"/>
    </row>
    <row r="191" spans="1:6" x14ac:dyDescent="0.2">
      <c r="A191" s="6"/>
      <c r="B191" s="6"/>
      <c r="C191" s="63"/>
      <c r="D191" s="5"/>
      <c r="E191" s="53"/>
      <c r="F191" s="53"/>
    </row>
    <row r="192" spans="1:6" x14ac:dyDescent="0.2">
      <c r="A192" s="6"/>
      <c r="B192" s="6"/>
      <c r="C192" s="63"/>
      <c r="D192" s="5"/>
      <c r="E192" s="53"/>
      <c r="F192" s="53"/>
    </row>
    <row r="193" spans="1:6" x14ac:dyDescent="0.2">
      <c r="A193" s="6"/>
      <c r="B193" s="6"/>
      <c r="C193" s="63"/>
      <c r="D193" s="5"/>
      <c r="E193" s="53"/>
      <c r="F193" s="53"/>
    </row>
    <row r="194" spans="1:6" x14ac:dyDescent="0.2">
      <c r="A194" s="6"/>
      <c r="B194" s="6"/>
      <c r="C194" s="63"/>
      <c r="D194" s="5"/>
      <c r="E194" s="53"/>
      <c r="F194" s="53"/>
    </row>
    <row r="195" spans="1:6" x14ac:dyDescent="0.2">
      <c r="A195" s="6"/>
      <c r="B195" s="6"/>
      <c r="C195" s="63"/>
      <c r="D195" s="5"/>
      <c r="E195" s="53"/>
      <c r="F195" s="53"/>
    </row>
    <row r="196" spans="1:6" x14ac:dyDescent="0.2">
      <c r="A196" s="6"/>
      <c r="B196" s="6"/>
      <c r="C196" s="63"/>
      <c r="D196" s="5"/>
      <c r="E196" s="53"/>
      <c r="F196" s="53"/>
    </row>
    <row r="197" spans="1:6" x14ac:dyDescent="0.2">
      <c r="A197" s="6"/>
      <c r="B197" s="6"/>
      <c r="C197" s="63"/>
      <c r="D197" s="5"/>
      <c r="E197" s="53"/>
      <c r="F197" s="53"/>
    </row>
    <row r="198" spans="1:6" x14ac:dyDescent="0.2">
      <c r="A198" s="6"/>
      <c r="B198" s="6"/>
      <c r="C198" s="63"/>
      <c r="D198" s="5"/>
      <c r="E198" s="53"/>
      <c r="F198" s="53"/>
    </row>
    <row r="199" spans="1:6" x14ac:dyDescent="0.2">
      <c r="A199" s="6"/>
      <c r="B199" s="6"/>
      <c r="C199" s="63"/>
      <c r="D199" s="5"/>
      <c r="E199" s="53"/>
      <c r="F199" s="53"/>
    </row>
    <row r="200" spans="1:6" x14ac:dyDescent="0.2">
      <c r="A200" s="6"/>
      <c r="B200" s="6"/>
      <c r="C200" s="63"/>
      <c r="D200" s="5"/>
      <c r="E200" s="53"/>
      <c r="F200" s="53"/>
    </row>
    <row r="201" spans="1:6" x14ac:dyDescent="0.2">
      <c r="A201" s="6"/>
      <c r="B201" s="6"/>
      <c r="C201" s="63"/>
      <c r="D201" s="5"/>
      <c r="E201" s="53"/>
      <c r="F201" s="53"/>
    </row>
    <row r="202" spans="1:6" x14ac:dyDescent="0.2">
      <c r="A202" s="6"/>
      <c r="B202" s="6"/>
      <c r="C202" s="63"/>
      <c r="D202" s="5"/>
      <c r="E202" s="53"/>
      <c r="F202" s="53"/>
    </row>
    <row r="203" spans="1:6" x14ac:dyDescent="0.2">
      <c r="A203" s="6"/>
      <c r="B203" s="6"/>
      <c r="C203" s="63"/>
      <c r="D203" s="5"/>
      <c r="E203" s="53"/>
      <c r="F203" s="53"/>
    </row>
    <row r="204" spans="1:6" x14ac:dyDescent="0.2">
      <c r="A204" s="6"/>
      <c r="B204" s="6"/>
      <c r="C204" s="63"/>
      <c r="D204" s="5"/>
      <c r="E204" s="53"/>
      <c r="F204" s="53"/>
    </row>
    <row r="205" spans="1:6" x14ac:dyDescent="0.2">
      <c r="A205" s="6"/>
      <c r="B205" s="6"/>
      <c r="C205" s="63"/>
      <c r="D205" s="5"/>
      <c r="E205" s="53"/>
      <c r="F205" s="53"/>
    </row>
    <row r="206" spans="1:6" x14ac:dyDescent="0.2">
      <c r="A206" s="6"/>
      <c r="B206" s="6"/>
      <c r="C206" s="63"/>
      <c r="D206" s="5"/>
      <c r="E206" s="53"/>
      <c r="F206" s="53"/>
    </row>
    <row r="207" spans="1:6" x14ac:dyDescent="0.2">
      <c r="A207" s="6"/>
      <c r="B207" s="6"/>
      <c r="C207" s="63"/>
      <c r="D207" s="5"/>
      <c r="E207" s="53"/>
      <c r="F207" s="53"/>
    </row>
    <row r="208" spans="1:6" x14ac:dyDescent="0.2">
      <c r="A208" s="6"/>
      <c r="B208" s="6"/>
      <c r="C208" s="63"/>
      <c r="D208" s="5"/>
      <c r="E208" s="53"/>
      <c r="F208" s="53"/>
    </row>
    <row r="209" spans="1:6" x14ac:dyDescent="0.2">
      <c r="A209" s="6"/>
      <c r="B209" s="6"/>
      <c r="C209" s="63"/>
      <c r="D209" s="5"/>
      <c r="E209" s="53"/>
      <c r="F209" s="53"/>
    </row>
    <row r="210" spans="1:6" x14ac:dyDescent="0.2">
      <c r="A210" s="6"/>
      <c r="B210" s="6"/>
      <c r="C210" s="63"/>
      <c r="D210" s="5"/>
      <c r="E210" s="53"/>
      <c r="F210" s="53"/>
    </row>
    <row r="211" spans="1:6" x14ac:dyDescent="0.2">
      <c r="A211" s="6"/>
      <c r="B211" s="6"/>
      <c r="C211" s="63"/>
      <c r="D211" s="5"/>
      <c r="E211" s="53"/>
      <c r="F211" s="53"/>
    </row>
    <row r="212" spans="1:6" x14ac:dyDescent="0.2">
      <c r="C212" s="63"/>
      <c r="D212" s="5"/>
      <c r="E212" s="53"/>
      <c r="F212" s="53"/>
    </row>
  </sheetData>
  <mergeCells count="1">
    <mergeCell ref="A76:C77"/>
  </mergeCells>
  <hyperlinks>
    <hyperlink ref="D76" r:id="rId1" location="sec0135" display="https://www.sciencedirect.com/science/article/pii/S0167880913003496?via%3Dihub - sec0135" xr:uid="{D882BFBF-B319-4CBE-8CA6-1FA9119B5B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D4EE-173F-BF48-AAE6-8656D8D6AF53}">
  <dimension ref="A1:P45"/>
  <sheetViews>
    <sheetView zoomScaleNormal="100" workbookViewId="0">
      <selection activeCell="O39" sqref="O39"/>
    </sheetView>
  </sheetViews>
  <sheetFormatPr baseColWidth="10" defaultColWidth="8.83203125" defaultRowHeight="14" x14ac:dyDescent="0.2"/>
  <cols>
    <col min="1" max="1" width="33.6640625" style="159" customWidth="1"/>
    <col min="2" max="2" width="12.5" style="159" bestFit="1" customWidth="1"/>
    <col min="3" max="7" width="8.83203125" style="159"/>
    <col min="8" max="11" width="9" style="159" bestFit="1" customWidth="1"/>
    <col min="12" max="12" width="8.83203125" style="159"/>
    <col min="13" max="13" width="10.6640625" style="159" bestFit="1" customWidth="1"/>
    <col min="14" max="14" width="9" style="159" bestFit="1" customWidth="1"/>
    <col min="15" max="16384" width="8.83203125" style="159"/>
  </cols>
  <sheetData>
    <row r="1" spans="1:14" x14ac:dyDescent="0.2">
      <c r="A1" s="158" t="s">
        <v>2</v>
      </c>
      <c r="B1" s="158" t="s">
        <v>130</v>
      </c>
    </row>
    <row r="2" spans="1:14" x14ac:dyDescent="0.2">
      <c r="A2" s="159" t="s">
        <v>3</v>
      </c>
      <c r="B2" s="159" t="s">
        <v>131</v>
      </c>
    </row>
    <row r="3" spans="1:14" ht="15" x14ac:dyDescent="0.2">
      <c r="A3" s="159" t="s">
        <v>4</v>
      </c>
      <c r="B3" s="160" t="s">
        <v>5</v>
      </c>
    </row>
    <row r="4" spans="1:14" x14ac:dyDescent="0.2">
      <c r="A4" s="159" t="s">
        <v>6</v>
      </c>
      <c r="B4" s="159" t="s">
        <v>132</v>
      </c>
    </row>
    <row r="5" spans="1:14" ht="15" x14ac:dyDescent="0.2">
      <c r="A5" s="159" t="s">
        <v>7</v>
      </c>
      <c r="B5" s="160" t="s">
        <v>8</v>
      </c>
    </row>
    <row r="6" spans="1:14" ht="15" x14ac:dyDescent="0.2">
      <c r="A6" s="159" t="s">
        <v>9</v>
      </c>
      <c r="B6" s="160" t="s">
        <v>10</v>
      </c>
    </row>
    <row r="7" spans="1:14" x14ac:dyDescent="0.2">
      <c r="A7" s="158" t="s">
        <v>11</v>
      </c>
      <c r="B7" s="160"/>
    </row>
    <row r="8" spans="1:14" x14ac:dyDescent="0.2">
      <c r="A8" s="159" t="s">
        <v>12</v>
      </c>
      <c r="B8" s="159" t="s">
        <v>13</v>
      </c>
      <c r="C8" s="159" t="s">
        <v>29</v>
      </c>
      <c r="D8" s="159" t="s">
        <v>4</v>
      </c>
      <c r="E8" s="159" t="s">
        <v>9</v>
      </c>
      <c r="F8" s="159" t="s">
        <v>7</v>
      </c>
      <c r="G8" s="159" t="s">
        <v>6</v>
      </c>
      <c r="H8" s="159" t="s">
        <v>3</v>
      </c>
      <c r="I8" s="159" t="s">
        <v>266</v>
      </c>
      <c r="J8" s="159" t="s">
        <v>269</v>
      </c>
      <c r="K8" s="159" t="s">
        <v>270</v>
      </c>
      <c r="L8" s="159" t="s">
        <v>271</v>
      </c>
      <c r="M8" s="159" t="s">
        <v>272</v>
      </c>
      <c r="N8" s="159" t="s">
        <v>267</v>
      </c>
    </row>
    <row r="9" spans="1:14" x14ac:dyDescent="0.2">
      <c r="A9" s="159" t="str">
        <f>B1</f>
        <v>drying of oak wood chips</v>
      </c>
      <c r="B9" s="159">
        <v>1</v>
      </c>
      <c r="D9" s="159" t="s">
        <v>5</v>
      </c>
      <c r="E9" s="159" t="s">
        <v>10</v>
      </c>
      <c r="F9" s="159" t="s">
        <v>14</v>
      </c>
      <c r="G9" s="159" t="s">
        <v>132</v>
      </c>
    </row>
    <row r="10" spans="1:14" x14ac:dyDescent="0.2">
      <c r="A10" s="159" t="s">
        <v>133</v>
      </c>
      <c r="B10" s="161">
        <v>1</v>
      </c>
      <c r="D10" s="159" t="s">
        <v>172</v>
      </c>
      <c r="E10" s="159" t="s">
        <v>10</v>
      </c>
      <c r="F10" s="159" t="s">
        <v>15</v>
      </c>
      <c r="G10" s="159" t="s">
        <v>126</v>
      </c>
      <c r="H10" s="159" t="str">
        <f>"Conversion factor from wet to dry mass "&amp;TEXT('oak (parameters)'!C4,"0.00")</f>
        <v>Conversion factor from wet to dry mass 0.60</v>
      </c>
    </row>
    <row r="11" spans="1:14" x14ac:dyDescent="0.2">
      <c r="A11" s="159" t="s">
        <v>16</v>
      </c>
      <c r="B11" s="159">
        <f>'oak (parameters)'!C43</f>
        <v>1.08</v>
      </c>
      <c r="D11" s="159" t="s">
        <v>17</v>
      </c>
      <c r="E11" s="159" t="s">
        <v>18</v>
      </c>
      <c r="F11" s="159" t="s">
        <v>15</v>
      </c>
      <c r="G11" s="159" t="s">
        <v>19</v>
      </c>
      <c r="H11" s="159" t="str">
        <f>TEXT('oak (parameters)'!E43,"0")&amp;
" MJ of heat needed for "&amp;TEXT('oak (parameters)'!C3,"0")&amp;
" t of feedstock"</f>
        <v>10800 MJ of heat needed for 10000 t of feedstock</v>
      </c>
      <c r="I11" s="159">
        <v>2</v>
      </c>
      <c r="J11" s="159">
        <f>'Uncertainty table'!R35</f>
        <v>7.6961041136128394E-2</v>
      </c>
      <c r="K11" s="159">
        <f>'Uncertainty table'!S35</f>
        <v>0.26236426446749106</v>
      </c>
    </row>
    <row r="12" spans="1:14" x14ac:dyDescent="0.2">
      <c r="A12" s="159" t="s">
        <v>166</v>
      </c>
      <c r="B12" s="159">
        <v>0.1</v>
      </c>
      <c r="D12" s="159" t="s">
        <v>5</v>
      </c>
      <c r="E12" s="159" t="s">
        <v>20</v>
      </c>
      <c r="F12" s="159" t="s">
        <v>15</v>
      </c>
      <c r="G12" s="159" t="s">
        <v>167</v>
      </c>
      <c r="H12" s="159" t="s">
        <v>21</v>
      </c>
    </row>
    <row r="13" spans="1:14" x14ac:dyDescent="0.2">
      <c r="A13" s="159" t="s">
        <v>22</v>
      </c>
      <c r="B13" s="162">
        <f>'oak (parameters)'!C41</f>
        <v>1.3588888899760003E-2</v>
      </c>
      <c r="D13" s="159" t="s">
        <v>5</v>
      </c>
      <c r="E13" s="159" t="s">
        <v>23</v>
      </c>
      <c r="F13" s="159" t="s">
        <v>15</v>
      </c>
      <c r="G13" s="159" t="s">
        <v>24</v>
      </c>
      <c r="H13" s="159" t="str">
        <f>TEXT('oak (parameters)'!E41,"0.00")&amp;
" kWh for electric chipping and drying for "&amp;TEXT('oak (parameters)'!C3,"0")&amp;
" t of feedstock, conversion rate from GJ to kWh "&amp;TEXT('oak (parameters)'!B33,"0.000")</f>
        <v>135.89 kWh for electric chipping and drying for 10000 t of feedstock, conversion rate from GJ to kWh 277.778</v>
      </c>
      <c r="I13" s="159">
        <v>2</v>
      </c>
      <c r="J13" s="159">
        <f>'Uncertainty table'!R36</f>
        <v>-4.2984946370437767</v>
      </c>
      <c r="K13" s="159">
        <f>'Uncertainty table'!S36</f>
        <v>0.26236426446749106</v>
      </c>
    </row>
    <row r="16" spans="1:14" x14ac:dyDescent="0.2">
      <c r="A16" s="158" t="s">
        <v>2</v>
      </c>
      <c r="B16" s="158" t="s">
        <v>134</v>
      </c>
    </row>
    <row r="17" spans="1:14" x14ac:dyDescent="0.2">
      <c r="A17" s="159" t="s">
        <v>3</v>
      </c>
      <c r="B17" s="159" t="s">
        <v>135</v>
      </c>
    </row>
    <row r="18" spans="1:14" x14ac:dyDescent="0.2">
      <c r="A18" s="159" t="s">
        <v>4</v>
      </c>
      <c r="B18" s="159" t="s">
        <v>5</v>
      </c>
    </row>
    <row r="19" spans="1:14" x14ac:dyDescent="0.2">
      <c r="A19" s="159" t="s">
        <v>6</v>
      </c>
      <c r="B19" s="159" t="s">
        <v>1</v>
      </c>
    </row>
    <row r="20" spans="1:14" x14ac:dyDescent="0.2">
      <c r="A20" s="159" t="s">
        <v>7</v>
      </c>
      <c r="B20" s="159" t="s">
        <v>8</v>
      </c>
    </row>
    <row r="21" spans="1:14" x14ac:dyDescent="0.2">
      <c r="A21" s="159" t="s">
        <v>9</v>
      </c>
      <c r="B21" s="159" t="s">
        <v>10</v>
      </c>
    </row>
    <row r="22" spans="1:14" x14ac:dyDescent="0.2">
      <c r="A22" s="158" t="s">
        <v>11</v>
      </c>
    </row>
    <row r="23" spans="1:14" x14ac:dyDescent="0.2">
      <c r="A23" s="159" t="s">
        <v>12</v>
      </c>
      <c r="B23" s="159" t="s">
        <v>13</v>
      </c>
      <c r="C23" s="159" t="s">
        <v>29</v>
      </c>
      <c r="D23" s="159" t="s">
        <v>4</v>
      </c>
      <c r="E23" s="159" t="s">
        <v>9</v>
      </c>
      <c r="F23" s="159" t="s">
        <v>7</v>
      </c>
      <c r="G23" s="159" t="s">
        <v>6</v>
      </c>
      <c r="H23" s="159" t="s">
        <v>3</v>
      </c>
      <c r="I23" s="159" t="s">
        <v>266</v>
      </c>
      <c r="J23" s="159" t="s">
        <v>269</v>
      </c>
      <c r="K23" s="159" t="s">
        <v>270</v>
      </c>
      <c r="L23" s="159" t="s">
        <v>271</v>
      </c>
      <c r="M23" s="159" t="s">
        <v>272</v>
      </c>
      <c r="N23" s="159" t="s">
        <v>267</v>
      </c>
    </row>
    <row r="24" spans="1:14" x14ac:dyDescent="0.2">
      <c r="A24" s="159" t="str">
        <f>B16</f>
        <v>biochar production, from oak pyrolysis</v>
      </c>
      <c r="B24" s="159">
        <v>1</v>
      </c>
      <c r="D24" s="159" t="s">
        <v>5</v>
      </c>
      <c r="E24" s="159" t="s">
        <v>10</v>
      </c>
      <c r="F24" s="159" t="s">
        <v>14</v>
      </c>
      <c r="G24" s="159" t="s">
        <v>1</v>
      </c>
    </row>
    <row r="25" spans="1:14" x14ac:dyDescent="0.2">
      <c r="A25" s="159" t="str">
        <f>A9</f>
        <v>drying of oak wood chips</v>
      </c>
      <c r="B25" s="159">
        <f>'oak (parameters)'!C12</f>
        <v>1.6234472518485612</v>
      </c>
      <c r="D25" s="159" t="s">
        <v>5</v>
      </c>
      <c r="E25" s="159" t="s">
        <v>10</v>
      </c>
      <c r="F25" s="159" t="s">
        <v>15</v>
      </c>
      <c r="G25" s="159" t="s">
        <v>132</v>
      </c>
      <c r="H25" s="159" t="str">
        <f>"biochar yield rate "&amp;TEXT('oak (parameters)'!B68,"0.00")&amp;
", allocation rate of "&amp;TEXT('oak (parameters)'!E68,"0.00")</f>
        <v>biochar yield rate 0.28, allocation rate of 0.45</v>
      </c>
      <c r="I25" s="159">
        <v>2</v>
      </c>
      <c r="J25" s="159">
        <f>'Uncertainty table'!R37</f>
        <v>0.48455182173420513</v>
      </c>
      <c r="K25" s="159">
        <f>'Uncertainty table'!S37</f>
        <v>0.18232155679395459</v>
      </c>
    </row>
    <row r="26" spans="1:14" x14ac:dyDescent="0.2">
      <c r="A26" s="159" t="s">
        <v>16</v>
      </c>
      <c r="B26" s="159">
        <f>'oak (parameters)'!C30</f>
        <v>0.36528645464760529</v>
      </c>
      <c r="D26" s="159" t="s">
        <v>17</v>
      </c>
      <c r="E26" s="159" t="s">
        <v>18</v>
      </c>
      <c r="F26" s="159" t="s">
        <v>15</v>
      </c>
      <c r="G26" s="159" t="s">
        <v>19</v>
      </c>
      <c r="H26" s="159" t="str">
        <f>"total heat for producing "&amp;TEXT('oak (parameters)'!C9,"0.00")&amp;
" tonnes of biochar is "&amp;TEXT('oak (parameters)'!C26,"0.00")&amp;
" GJ (pre-allocation), allocation rate of "&amp;TEXT('oak (parameters)'!E68,"0.00")</f>
        <v>total heat for producing 1665.20 tonnes of biochar is 1350.04 GJ (pre-allocation), allocation rate of 0.45</v>
      </c>
      <c r="I26" s="159">
        <v>2</v>
      </c>
      <c r="J26" s="159">
        <f>'Uncertainty table'!R38</f>
        <v>-1.0070734249814053</v>
      </c>
      <c r="K26" s="159">
        <f>'Uncertainty table'!S38</f>
        <v>0.18232155679395459</v>
      </c>
    </row>
    <row r="27" spans="1:14" x14ac:dyDescent="0.2">
      <c r="A27" s="159" t="s">
        <v>22</v>
      </c>
      <c r="B27" s="163">
        <f>'oak (parameters)'!C31</f>
        <v>2.1084521200250807E-2</v>
      </c>
      <c r="D27" s="159" t="s">
        <v>5</v>
      </c>
      <c r="E27" s="159" t="s">
        <v>23</v>
      </c>
      <c r="F27" s="159" t="s">
        <v>15</v>
      </c>
      <c r="G27" s="159" t="s">
        <v>24</v>
      </c>
      <c r="H27" s="159" t="str">
        <f>"total electricity for producing "&amp;TEXT('oak (parameters)'!C9,"0.00")&amp;
" tonnes of biochar is "&amp;TEXT('oak (parameters)'!C25,"0.00")&amp;
" GJ (pre-allocation), allocation rate of "&amp;TEXT('oak (parameters)'!E68,"0.00")</f>
        <v>total electricity for producing 1665.20 tonnes of biochar is 280.53 GJ (pre-allocation), allocation rate of 0.45</v>
      </c>
      <c r="I27" s="159">
        <v>2</v>
      </c>
      <c r="J27" s="159">
        <f>'Uncertainty table'!R39</f>
        <v>-3.8592161096133952</v>
      </c>
      <c r="K27" s="159">
        <f>'Uncertainty table'!S39</f>
        <v>0.18232155679395459</v>
      </c>
    </row>
    <row r="28" spans="1:14" x14ac:dyDescent="0.2">
      <c r="A28" s="159" t="s">
        <v>25</v>
      </c>
      <c r="B28" s="159">
        <f>'oak (parameters)'!C51</f>
        <v>8.1172362592428062E-9</v>
      </c>
      <c r="D28" s="159" t="s">
        <v>26</v>
      </c>
      <c r="E28" s="159" t="s">
        <v>9</v>
      </c>
      <c r="F28" s="159" t="s">
        <v>15</v>
      </c>
      <c r="G28" s="159" t="s">
        <v>124</v>
      </c>
      <c r="H28" s="159" t="str">
        <f>"lifetime of "&amp;TEXT('oak (parameters)'!C46,"0")&amp;
" years, plant capacity of "&amp;TEXT('oak (parameters)'!C47,"0")&amp;
" tonnes, allocation rate of "&amp;TEXT('oak (parameters)'!E68,"0.00")&amp;
", biochar yield rate of "&amp;TEXT('oak (parameters)'!B68,"0.00")&amp;
", max amount of biochar produced throughout its lifetime "&amp;TEXT('oak (parameters)'!C48,"0.00")&amp; " tonnes "</f>
        <v xml:space="preserve">lifetime of 20 years, plant capacity of 10000 tonnes, allocation rate of 0.45, biochar yield rate of 0.28, max amount of biochar produced throughout its lifetime 55506.83 tonnes </v>
      </c>
    </row>
    <row r="29" spans="1:14" x14ac:dyDescent="0.2">
      <c r="A29" s="159" t="s">
        <v>31</v>
      </c>
      <c r="B29" s="159">
        <f>'oak (parameters)'!C18</f>
        <v>0.536695572565836</v>
      </c>
      <c r="C29" s="159" t="s">
        <v>32</v>
      </c>
      <c r="E29" s="159" t="s">
        <v>10</v>
      </c>
      <c r="F29" s="159" t="s">
        <v>33</v>
      </c>
      <c r="I29" s="159">
        <v>2</v>
      </c>
      <c r="J29" s="159">
        <f>'Uncertainty table'!R40</f>
        <v>-0.60525041963837078</v>
      </c>
      <c r="K29" s="159">
        <f>'Uncertainty table'!S40</f>
        <v>0.18232155679395459</v>
      </c>
    </row>
    <row r="32" spans="1:14" x14ac:dyDescent="0.2">
      <c r="A32" s="158" t="s">
        <v>2</v>
      </c>
      <c r="B32" s="158" t="s">
        <v>136</v>
      </c>
    </row>
    <row r="33" spans="1:16" x14ac:dyDescent="0.2">
      <c r="A33" s="159" t="s">
        <v>3</v>
      </c>
      <c r="B33" s="159" t="s">
        <v>27</v>
      </c>
    </row>
    <row r="34" spans="1:16" x14ac:dyDescent="0.2">
      <c r="A34" s="159" t="s">
        <v>4</v>
      </c>
      <c r="B34" s="159" t="s">
        <v>5</v>
      </c>
    </row>
    <row r="35" spans="1:16" x14ac:dyDescent="0.2">
      <c r="A35" s="159" t="s">
        <v>6</v>
      </c>
      <c r="B35" s="159" t="s">
        <v>28</v>
      </c>
    </row>
    <row r="36" spans="1:16" x14ac:dyDescent="0.2">
      <c r="A36" s="159" t="s">
        <v>7</v>
      </c>
      <c r="B36" s="159" t="s">
        <v>8</v>
      </c>
    </row>
    <row r="37" spans="1:16" x14ac:dyDescent="0.2">
      <c r="A37" s="159" t="s">
        <v>9</v>
      </c>
      <c r="B37" s="159" t="s">
        <v>10</v>
      </c>
    </row>
    <row r="38" spans="1:16" x14ac:dyDescent="0.2">
      <c r="A38" s="158" t="s">
        <v>11</v>
      </c>
    </row>
    <row r="39" spans="1:16" x14ac:dyDescent="0.2">
      <c r="A39" s="159" t="s">
        <v>12</v>
      </c>
      <c r="B39" s="159" t="s">
        <v>13</v>
      </c>
      <c r="C39" s="159" t="s">
        <v>29</v>
      </c>
      <c r="D39" s="159" t="s">
        <v>4</v>
      </c>
      <c r="E39" s="159" t="s">
        <v>9</v>
      </c>
      <c r="F39" s="159" t="s">
        <v>7</v>
      </c>
      <c r="G39" s="159" t="s">
        <v>6</v>
      </c>
      <c r="H39" s="159" t="s">
        <v>3</v>
      </c>
      <c r="I39" s="159" t="s">
        <v>266</v>
      </c>
      <c r="J39" s="159" t="s">
        <v>269</v>
      </c>
      <c r="K39" s="159" t="s">
        <v>270</v>
      </c>
      <c r="L39" s="159" t="s">
        <v>271</v>
      </c>
      <c r="M39" s="159" t="s">
        <v>272</v>
      </c>
      <c r="N39" s="159" t="s">
        <v>267</v>
      </c>
      <c r="O39" s="159" t="s">
        <v>345</v>
      </c>
      <c r="P39" s="164"/>
    </row>
    <row r="40" spans="1:16" x14ac:dyDescent="0.2">
      <c r="A40" s="159" t="str">
        <f>B32</f>
        <v>carbon dioxide, captured and stored, by oak biochar application on mineral soil</v>
      </c>
      <c r="B40" s="159">
        <v>1</v>
      </c>
      <c r="D40" s="159" t="s">
        <v>5</v>
      </c>
      <c r="E40" s="159" t="s">
        <v>10</v>
      </c>
      <c r="F40" s="159" t="s">
        <v>14</v>
      </c>
      <c r="G40" s="159" t="str">
        <f>B35</f>
        <v>carbon dioxide, captured</v>
      </c>
    </row>
    <row r="41" spans="1:16" x14ac:dyDescent="0.2">
      <c r="A41" s="159" t="str">
        <f>A24</f>
        <v>biochar production, from oak pyrolysis</v>
      </c>
      <c r="B41" s="165">
        <f>'oak (parameters)'!C22</f>
        <v>0.57260952347597993</v>
      </c>
      <c r="D41" s="159" t="s">
        <v>5</v>
      </c>
      <c r="E41" s="159" t="s">
        <v>10</v>
      </c>
      <c r="F41" s="159" t="s">
        <v>15</v>
      </c>
      <c r="G41" s="159" t="s">
        <v>1</v>
      </c>
      <c r="H41" s="159" t="str">
        <f>"1 kilogram of biochar stores "&amp;TEXT('oak (parameters)'!C21,"0.000")&amp;
" kg of CO2, and "&amp;TEXT('oak (parameters)'!C20,"0.000")&amp;
" of the carbon content is assumed stable. Carbon content: "&amp;TEXT('oak (parameters)'!C17,"0.000")&amp;
" kg C/kg biochar."</f>
        <v>1 kilogram of biochar stores 1.746 kg of CO2, and 0.727 of the carbon content is assumed stable. Carbon content: 2.402 kg C/kg biochar.</v>
      </c>
      <c r="I41" s="159">
        <v>2</v>
      </c>
      <c r="J41" s="159">
        <f>'Uncertainty table'!R41</f>
        <v>-0.57447565084244678</v>
      </c>
      <c r="K41" s="159">
        <f>'Uncertainty table'!S41</f>
        <v>0.18232155679395459</v>
      </c>
    </row>
    <row r="42" spans="1:16" x14ac:dyDescent="0.2">
      <c r="A42" s="159" t="s">
        <v>166</v>
      </c>
      <c r="B42" s="159">
        <v>0.1</v>
      </c>
      <c r="D42" s="159" t="s">
        <v>5</v>
      </c>
      <c r="E42" s="159" t="s">
        <v>20</v>
      </c>
      <c r="F42" s="159" t="s">
        <v>15</v>
      </c>
      <c r="G42" s="159" t="s">
        <v>167</v>
      </c>
      <c r="H42" s="159" t="s">
        <v>30</v>
      </c>
    </row>
    <row r="43" spans="1:16" x14ac:dyDescent="0.2">
      <c r="A43" s="159" t="s">
        <v>168</v>
      </c>
      <c r="B43" s="159">
        <v>5.0000000000000001E-3</v>
      </c>
      <c r="D43" s="159" t="s">
        <v>26</v>
      </c>
      <c r="E43" s="159" t="s">
        <v>20</v>
      </c>
      <c r="F43" s="159" t="s">
        <v>15</v>
      </c>
      <c r="G43" s="159" t="s">
        <v>169</v>
      </c>
    </row>
    <row r="44" spans="1:16" x14ac:dyDescent="0.2">
      <c r="A44" s="159" t="s">
        <v>31</v>
      </c>
      <c r="B44" s="165">
        <f>'oak (parameters)'!C23</f>
        <v>0.37513751375137527</v>
      </c>
      <c r="C44" s="159" t="s">
        <v>32</v>
      </c>
      <c r="E44" s="159" t="s">
        <v>10</v>
      </c>
      <c r="F44" s="159" t="s">
        <v>33</v>
      </c>
      <c r="H44" s="159" t="s">
        <v>118</v>
      </c>
      <c r="I44" s="159">
        <v>2</v>
      </c>
      <c r="J44" s="159">
        <f>'Uncertainty table'!R42</f>
        <v>-0.98082925301172619</v>
      </c>
      <c r="K44" s="159">
        <f>'Uncertainty table'!S42</f>
        <v>0.18232155679395459</v>
      </c>
    </row>
    <row r="45" spans="1:16" x14ac:dyDescent="0.2">
      <c r="A45" s="159" t="s">
        <v>250</v>
      </c>
      <c r="B45" s="166">
        <f>-oak!B41*'oak (parameters)'!A82</f>
        <v>-2.8458693316756204E-5</v>
      </c>
      <c r="C45" s="159" t="s">
        <v>251</v>
      </c>
      <c r="E45" s="159" t="s">
        <v>10</v>
      </c>
      <c r="F45" s="159" t="s">
        <v>33</v>
      </c>
      <c r="I45" s="159">
        <v>2</v>
      </c>
      <c r="J45" s="166">
        <f>'Uncertainty table'!R68</f>
        <v>-9.9095056248616906</v>
      </c>
      <c r="K45" s="166">
        <f>'Uncertainty table'!S68</f>
        <v>1.4060725344433731</v>
      </c>
      <c r="M45" s="159" t="str">
        <f>'Uncertainty table'!U43</f>
        <v/>
      </c>
      <c r="N45" s="159" t="str">
        <f>'Uncertainty table'!V43</f>
        <v/>
      </c>
      <c r="O45" s="159" t="b">
        <v>1</v>
      </c>
    </row>
  </sheetData>
  <autoFilter ref="A1:P45" xr:uid="{2B0AD4EE-173F-BF48-AAE6-8656D8D6AF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023D-7BE2-8A4D-BB78-F9CE2AFCE738}">
  <dimension ref="A1:P206"/>
  <sheetViews>
    <sheetView workbookViewId="0">
      <selection activeCell="C15" sqref="C15"/>
    </sheetView>
  </sheetViews>
  <sheetFormatPr baseColWidth="10" defaultColWidth="8.83203125" defaultRowHeight="15" x14ac:dyDescent="0.2"/>
  <cols>
    <col min="1" max="1" width="35.83203125" style="3" customWidth="1"/>
    <col min="2" max="2" width="25.83203125" style="3" customWidth="1"/>
    <col min="3" max="3" width="19.5" style="66" customWidth="1"/>
    <col min="4" max="4" width="16.6640625" style="2" customWidth="1"/>
    <col min="5" max="5" width="18.5" customWidth="1"/>
    <col min="6" max="6" width="38" customWidth="1"/>
    <col min="7" max="16" width="8.83203125" style="53"/>
  </cols>
  <sheetData>
    <row r="1" spans="1:8" ht="16" thickBot="1" x14ac:dyDescent="0.25">
      <c r="A1" s="3" t="s">
        <v>129</v>
      </c>
    </row>
    <row r="2" spans="1:8" ht="16" x14ac:dyDescent="0.2">
      <c r="A2" s="25" t="s">
        <v>34</v>
      </c>
      <c r="B2" s="26" t="s">
        <v>35</v>
      </c>
      <c r="C2" s="59" t="s">
        <v>36</v>
      </c>
      <c r="D2" s="27" t="s">
        <v>37</v>
      </c>
      <c r="E2" s="53"/>
      <c r="F2" s="4" t="s">
        <v>38</v>
      </c>
    </row>
    <row r="3" spans="1:8" ht="16" x14ac:dyDescent="0.2">
      <c r="A3" s="28" t="s">
        <v>39</v>
      </c>
      <c r="B3" s="29"/>
      <c r="C3" s="68">
        <v>10000</v>
      </c>
      <c r="D3" s="21" t="s">
        <v>40</v>
      </c>
      <c r="E3" s="53"/>
      <c r="F3" s="123" t="s">
        <v>41</v>
      </c>
      <c r="H3" s="53">
        <f>44/12</f>
        <v>3.6666666666666665</v>
      </c>
    </row>
    <row r="4" spans="1:8" ht="16" x14ac:dyDescent="0.2">
      <c r="A4" s="28" t="s">
        <v>42</v>
      </c>
      <c r="B4" s="29"/>
      <c r="C4" s="114">
        <v>0.6</v>
      </c>
      <c r="D4" s="21"/>
      <c r="E4" s="53"/>
      <c r="F4" s="129" t="s">
        <v>43</v>
      </c>
    </row>
    <row r="5" spans="1:8" ht="17" x14ac:dyDescent="0.2">
      <c r="A5" s="28" t="s">
        <v>44</v>
      </c>
      <c r="B5" s="31" t="s">
        <v>45</v>
      </c>
      <c r="C5" s="68">
        <f>C3*C4</f>
        <v>6000</v>
      </c>
      <c r="D5" s="21" t="s">
        <v>40</v>
      </c>
      <c r="E5" s="53"/>
      <c r="F5" s="53"/>
    </row>
    <row r="6" spans="1:8" ht="17" x14ac:dyDescent="0.2">
      <c r="A6" s="28" t="s">
        <v>46</v>
      </c>
      <c r="B6" s="31" t="s">
        <v>47</v>
      </c>
      <c r="C6" s="124">
        <f>1/C4</f>
        <v>1.6666666666666667</v>
      </c>
      <c r="D6" s="21" t="s">
        <v>48</v>
      </c>
      <c r="E6" s="53"/>
      <c r="F6" s="53"/>
    </row>
    <row r="7" spans="1:8" x14ac:dyDescent="0.2">
      <c r="A7" s="32"/>
      <c r="B7" s="33"/>
      <c r="C7" s="61"/>
      <c r="D7" s="34"/>
      <c r="E7" s="53"/>
      <c r="F7" s="53"/>
    </row>
    <row r="8" spans="1:8" ht="16" x14ac:dyDescent="0.2">
      <c r="A8" s="28" t="s">
        <v>49</v>
      </c>
      <c r="B8" s="29"/>
      <c r="C8" s="114">
        <f>B68</f>
        <v>0.277534151600551</v>
      </c>
      <c r="D8" s="21"/>
      <c r="E8" s="53"/>
      <c r="F8" s="53"/>
    </row>
    <row r="9" spans="1:8" ht="17" x14ac:dyDescent="0.2">
      <c r="A9" s="28" t="s">
        <v>50</v>
      </c>
      <c r="B9" s="31" t="s">
        <v>51</v>
      </c>
      <c r="C9" s="60">
        <f>C5*C8</f>
        <v>1665.2049096033061</v>
      </c>
      <c r="D9" s="21" t="s">
        <v>40</v>
      </c>
      <c r="E9" s="53"/>
      <c r="F9" s="53"/>
    </row>
    <row r="10" spans="1:8" ht="16" x14ac:dyDescent="0.2">
      <c r="A10" s="28" t="s">
        <v>52</v>
      </c>
      <c r="B10" s="31"/>
      <c r="C10" s="60">
        <f>1000*C9</f>
        <v>1665204.9096033061</v>
      </c>
      <c r="D10" s="21" t="s">
        <v>48</v>
      </c>
      <c r="E10" s="53"/>
      <c r="F10" s="53"/>
    </row>
    <row r="11" spans="1:8" ht="17" x14ac:dyDescent="0.2">
      <c r="A11" s="28" t="s">
        <v>53</v>
      </c>
      <c r="B11" s="31" t="s">
        <v>54</v>
      </c>
      <c r="C11" s="60">
        <f>C5/C9</f>
        <v>3.6031601668946265</v>
      </c>
      <c r="D11" s="21" t="s">
        <v>48</v>
      </c>
      <c r="E11" s="53"/>
      <c r="F11" s="53"/>
    </row>
    <row r="12" spans="1:8" ht="34" x14ac:dyDescent="0.2">
      <c r="A12" s="28" t="s">
        <v>55</v>
      </c>
      <c r="B12" s="31" t="s">
        <v>56</v>
      </c>
      <c r="C12" s="125">
        <f>C11*C27</f>
        <v>1.6234472518485612</v>
      </c>
      <c r="D12" s="21" t="s">
        <v>48</v>
      </c>
      <c r="E12" s="53"/>
      <c r="F12" s="53"/>
    </row>
    <row r="13" spans="1:8" ht="16" x14ac:dyDescent="0.2">
      <c r="A13" s="35"/>
      <c r="B13" s="36"/>
      <c r="C13" s="61"/>
      <c r="D13" s="34"/>
      <c r="E13" s="53"/>
      <c r="F13" s="53"/>
    </row>
    <row r="14" spans="1:8" ht="16" x14ac:dyDescent="0.2">
      <c r="A14" s="28" t="s">
        <v>57</v>
      </c>
      <c r="B14" s="31"/>
      <c r="C14" s="115">
        <v>0.49359999999999998</v>
      </c>
      <c r="D14" s="21"/>
      <c r="E14" s="53"/>
      <c r="F14" s="53"/>
    </row>
    <row r="15" spans="1:8" ht="16" x14ac:dyDescent="0.2">
      <c r="A15" s="28" t="s">
        <v>175</v>
      </c>
      <c r="B15" s="31"/>
      <c r="C15" s="60">
        <f>C14*C12*H3</f>
        <v>2.9382230662123159</v>
      </c>
      <c r="D15" s="21" t="s">
        <v>48</v>
      </c>
      <c r="E15" s="53"/>
      <c r="F15" s="53"/>
    </row>
    <row r="16" spans="1:8" ht="16" x14ac:dyDescent="0.2">
      <c r="A16" s="28" t="s">
        <v>176</v>
      </c>
      <c r="B16" s="31"/>
      <c r="C16" s="119">
        <v>0.81734008600725672</v>
      </c>
      <c r="D16" s="21"/>
      <c r="E16" s="53"/>
      <c r="F16" s="53"/>
    </row>
    <row r="17" spans="1:6" ht="16" x14ac:dyDescent="0.2">
      <c r="A17" s="28" t="s">
        <v>177</v>
      </c>
      <c r="B17" s="31"/>
      <c r="C17" s="60">
        <f>C16*C15</f>
        <v>2.4015274936464799</v>
      </c>
      <c r="D17" s="21"/>
      <c r="E17" s="53"/>
      <c r="F17" s="53"/>
    </row>
    <row r="18" spans="1:6" ht="16" x14ac:dyDescent="0.2">
      <c r="A18" s="28" t="s">
        <v>178</v>
      </c>
      <c r="B18" s="31"/>
      <c r="C18" s="124">
        <f>C15-C17</f>
        <v>0.536695572565836</v>
      </c>
      <c r="D18" s="21" t="s">
        <v>48</v>
      </c>
      <c r="E18" s="53"/>
      <c r="F18" s="53"/>
    </row>
    <row r="19" spans="1:6" ht="16" x14ac:dyDescent="0.2">
      <c r="A19" s="28"/>
      <c r="B19" s="31"/>
      <c r="C19" s="60"/>
      <c r="D19" s="21"/>
      <c r="E19" s="53"/>
      <c r="F19" s="53"/>
    </row>
    <row r="20" spans="1:6" ht="16" x14ac:dyDescent="0.2">
      <c r="A20" s="28" t="s">
        <v>179</v>
      </c>
      <c r="B20" s="31"/>
      <c r="C20" s="60">
        <v>0.72719999999999996</v>
      </c>
      <c r="D20" s="34" t="s">
        <v>48</v>
      </c>
      <c r="E20" s="53"/>
      <c r="F20" s="53"/>
    </row>
    <row r="21" spans="1:6" ht="16" x14ac:dyDescent="0.2">
      <c r="A21" s="28" t="s">
        <v>180</v>
      </c>
      <c r="B21" s="31"/>
      <c r="C21" s="60">
        <f>C20*C17</f>
        <v>1.74639079337972</v>
      </c>
      <c r="D21" s="34" t="s">
        <v>48</v>
      </c>
      <c r="E21" s="53"/>
      <c r="F21" s="53"/>
    </row>
    <row r="22" spans="1:6" ht="16" x14ac:dyDescent="0.2">
      <c r="A22" s="28" t="s">
        <v>181</v>
      </c>
      <c r="B22" s="31"/>
      <c r="C22" s="124">
        <f>1/C21</f>
        <v>0.57260952347597993</v>
      </c>
      <c r="D22" s="34" t="s">
        <v>48</v>
      </c>
      <c r="E22" s="53"/>
      <c r="F22" s="53"/>
    </row>
    <row r="23" spans="1:6" ht="16" x14ac:dyDescent="0.2">
      <c r="A23" s="37" t="s">
        <v>182</v>
      </c>
      <c r="B23" s="36"/>
      <c r="C23" s="124">
        <f>(C17-C21)*C22</f>
        <v>0.37513751375137527</v>
      </c>
      <c r="D23" s="34" t="s">
        <v>48</v>
      </c>
      <c r="E23" s="53"/>
      <c r="F23" s="53"/>
    </row>
    <row r="24" spans="1:6" ht="16" x14ac:dyDescent="0.2">
      <c r="A24" s="28"/>
      <c r="B24" s="31"/>
      <c r="C24" s="60"/>
      <c r="D24" s="21"/>
      <c r="E24" s="53"/>
      <c r="F24" s="53"/>
    </row>
    <row r="25" spans="1:6" ht="16" x14ac:dyDescent="0.2">
      <c r="A25" s="28" t="s">
        <v>58</v>
      </c>
      <c r="B25" s="29"/>
      <c r="C25" s="116">
        <v>280.52999999999997</v>
      </c>
      <c r="D25" s="21" t="s">
        <v>59</v>
      </c>
      <c r="E25" s="53"/>
      <c r="F25" s="53"/>
    </row>
    <row r="26" spans="1:6" ht="16" x14ac:dyDescent="0.2">
      <c r="A26" s="28" t="s">
        <v>60</v>
      </c>
      <c r="B26" s="29"/>
      <c r="C26" s="116">
        <v>1350.04</v>
      </c>
      <c r="D26" s="21" t="s">
        <v>59</v>
      </c>
      <c r="E26" s="53"/>
      <c r="F26" s="53"/>
    </row>
    <row r="27" spans="1:6" ht="16" x14ac:dyDescent="0.2">
      <c r="A27" s="28" t="s">
        <v>61</v>
      </c>
      <c r="B27" s="29"/>
      <c r="C27" s="114">
        <f>E68</f>
        <v>0.45056205571003655</v>
      </c>
      <c r="D27" s="21"/>
      <c r="E27" s="53"/>
      <c r="F27" s="53"/>
    </row>
    <row r="28" spans="1:6" ht="34" x14ac:dyDescent="0.2">
      <c r="A28" s="28" t="s">
        <v>62</v>
      </c>
      <c r="B28" s="31" t="s">
        <v>63</v>
      </c>
      <c r="C28" s="60">
        <f>C26*C27</f>
        <v>608.2767976907777</v>
      </c>
      <c r="D28" s="21" t="s">
        <v>59</v>
      </c>
      <c r="E28" s="53"/>
      <c r="F28" s="53"/>
    </row>
    <row r="29" spans="1:6" ht="34" x14ac:dyDescent="0.2">
      <c r="A29" s="28" t="s">
        <v>64</v>
      </c>
      <c r="B29" s="31" t="s">
        <v>65</v>
      </c>
      <c r="C29" s="60">
        <f>C25*C27</f>
        <v>126.39617348833654</v>
      </c>
      <c r="D29" s="21" t="s">
        <v>59</v>
      </c>
      <c r="E29" s="53"/>
      <c r="F29" s="53"/>
    </row>
    <row r="30" spans="1:6" ht="17" x14ac:dyDescent="0.2">
      <c r="A30" s="28" t="s">
        <v>66</v>
      </c>
      <c r="B30" s="31" t="s">
        <v>67</v>
      </c>
      <c r="C30" s="124">
        <f>((C28*B32)/C10)</f>
        <v>0.36528645464760529</v>
      </c>
      <c r="D30" s="21" t="s">
        <v>68</v>
      </c>
      <c r="E30" s="53"/>
      <c r="F30" s="53"/>
    </row>
    <row r="31" spans="1:6" ht="34" x14ac:dyDescent="0.2">
      <c r="A31" s="28" t="s">
        <v>69</v>
      </c>
      <c r="B31" s="31" t="s">
        <v>70</v>
      </c>
      <c r="C31" s="124">
        <f>((C29*B33)/C10)</f>
        <v>2.1084521200250807E-2</v>
      </c>
      <c r="D31" s="21" t="s">
        <v>71</v>
      </c>
      <c r="E31" s="53"/>
      <c r="F31" s="53"/>
    </row>
    <row r="32" spans="1:6" ht="16" x14ac:dyDescent="0.2">
      <c r="A32" s="28" t="s">
        <v>72</v>
      </c>
      <c r="B32" s="6">
        <v>1000</v>
      </c>
      <c r="C32" s="63"/>
      <c r="D32" s="21"/>
      <c r="E32" s="53"/>
      <c r="F32" s="53"/>
    </row>
    <row r="33" spans="1:6" ht="16" x14ac:dyDescent="0.2">
      <c r="A33" s="28" t="s">
        <v>73</v>
      </c>
      <c r="B33" s="6">
        <v>277.77777800000001</v>
      </c>
      <c r="C33" s="63"/>
      <c r="D33" s="21"/>
      <c r="E33" s="53"/>
      <c r="F33" s="53"/>
    </row>
    <row r="34" spans="1:6" x14ac:dyDescent="0.2">
      <c r="A34" s="32"/>
      <c r="B34" s="33"/>
      <c r="C34" s="61"/>
      <c r="D34" s="34"/>
      <c r="E34" s="53"/>
      <c r="F34" s="53"/>
    </row>
    <row r="35" spans="1:6" ht="16" x14ac:dyDescent="0.2">
      <c r="A35" s="28" t="s">
        <v>74</v>
      </c>
      <c r="B35" s="6"/>
      <c r="C35" s="63"/>
      <c r="D35" s="21"/>
      <c r="E35" s="53"/>
      <c r="F35" s="53"/>
    </row>
    <row r="36" spans="1:6" x14ac:dyDescent="0.2">
      <c r="A36" s="39"/>
      <c r="B36" s="6"/>
      <c r="C36" s="63"/>
      <c r="D36" s="21"/>
      <c r="E36" s="53"/>
      <c r="F36" s="53"/>
    </row>
    <row r="37" spans="1:6" ht="17" x14ac:dyDescent="0.2">
      <c r="A37" s="28" t="s">
        <v>75</v>
      </c>
      <c r="B37" s="31" t="s">
        <v>76</v>
      </c>
      <c r="C37" s="115">
        <f>1-C4</f>
        <v>0.4</v>
      </c>
      <c r="D37" s="21"/>
      <c r="E37" s="53"/>
      <c r="F37" s="53"/>
    </row>
    <row r="38" spans="1:6" ht="34" x14ac:dyDescent="0.2">
      <c r="A38" s="28" t="s">
        <v>77</v>
      </c>
      <c r="B38" s="31" t="s">
        <v>78</v>
      </c>
      <c r="C38" s="58">
        <v>0</v>
      </c>
      <c r="D38" s="21" t="s">
        <v>59</v>
      </c>
      <c r="E38" s="53"/>
      <c r="F38" s="53"/>
    </row>
    <row r="39" spans="1:6" ht="16" x14ac:dyDescent="0.2">
      <c r="A39" s="28" t="s">
        <v>79</v>
      </c>
      <c r="B39" s="6"/>
      <c r="C39" s="63">
        <f>(C38/10000)*B33*0.001</f>
        <v>0</v>
      </c>
      <c r="D39" s="21" t="s">
        <v>71</v>
      </c>
      <c r="E39" s="53"/>
      <c r="F39" s="53"/>
    </row>
    <row r="40" spans="1:6" ht="51" x14ac:dyDescent="0.2">
      <c r="A40" s="28" t="s">
        <v>80</v>
      </c>
      <c r="B40" s="31" t="s">
        <v>81</v>
      </c>
      <c r="C40" s="60">
        <f>(C37*B74*B33)/1000</f>
        <v>1.3588888899760003E-2</v>
      </c>
      <c r="D40" s="21" t="s">
        <v>71</v>
      </c>
      <c r="E40" s="53"/>
      <c r="F40" s="53"/>
    </row>
    <row r="41" spans="1:6" ht="16" x14ac:dyDescent="0.2">
      <c r="A41" s="28" t="s">
        <v>82</v>
      </c>
      <c r="B41" s="29"/>
      <c r="C41" s="124">
        <f>SUM(C39:C40)</f>
        <v>1.3588888899760003E-2</v>
      </c>
      <c r="D41" s="21" t="s">
        <v>71</v>
      </c>
      <c r="E41" s="53">
        <f>C41*10000</f>
        <v>135.88888899760002</v>
      </c>
      <c r="F41" s="53"/>
    </row>
    <row r="42" spans="1:6" ht="16" x14ac:dyDescent="0.2">
      <c r="A42" s="28" t="s">
        <v>83</v>
      </c>
      <c r="B42" s="6"/>
      <c r="C42" s="67">
        <v>2.7</v>
      </c>
      <c r="D42" s="21" t="s">
        <v>84</v>
      </c>
      <c r="E42" s="53"/>
      <c r="F42" s="53"/>
    </row>
    <row r="43" spans="1:6" ht="34" x14ac:dyDescent="0.2">
      <c r="A43" s="28" t="s">
        <v>85</v>
      </c>
      <c r="B43" s="31" t="s">
        <v>86</v>
      </c>
      <c r="C43" s="126">
        <f>C37*C42*B32/1000</f>
        <v>1.08</v>
      </c>
      <c r="D43" s="21" t="s">
        <v>68</v>
      </c>
      <c r="E43" s="53">
        <f>C43*C3</f>
        <v>10800</v>
      </c>
      <c r="F43" s="53"/>
    </row>
    <row r="44" spans="1:6" x14ac:dyDescent="0.2">
      <c r="A44" s="40"/>
      <c r="B44" s="41"/>
      <c r="C44" s="62"/>
      <c r="D44" s="42"/>
      <c r="E44" s="53"/>
      <c r="F44" s="53"/>
    </row>
    <row r="45" spans="1:6" x14ac:dyDescent="0.2">
      <c r="A45" s="43" t="s">
        <v>87</v>
      </c>
      <c r="B45" s="29"/>
      <c r="C45" s="60"/>
      <c r="D45" s="44"/>
      <c r="E45" s="53"/>
      <c r="F45" s="53"/>
    </row>
    <row r="46" spans="1:6" ht="16" x14ac:dyDescent="0.2">
      <c r="A46" s="39" t="s">
        <v>114</v>
      </c>
      <c r="B46" s="29"/>
      <c r="C46" s="69">
        <v>20</v>
      </c>
      <c r="D46" s="44" t="s">
        <v>112</v>
      </c>
      <c r="E46" s="53"/>
      <c r="F46" s="53"/>
    </row>
    <row r="47" spans="1:6" ht="16" x14ac:dyDescent="0.2">
      <c r="A47" s="45" t="s">
        <v>115</v>
      </c>
      <c r="B47" s="6"/>
      <c r="C47" s="68">
        <v>10000</v>
      </c>
      <c r="D47" s="21" t="s">
        <v>113</v>
      </c>
      <c r="E47" s="53"/>
      <c r="F47" s="53"/>
    </row>
    <row r="48" spans="1:6" ht="16" x14ac:dyDescent="0.2">
      <c r="A48" s="45" t="s">
        <v>117</v>
      </c>
      <c r="B48" s="6"/>
      <c r="C48" s="30">
        <f>C47*C8*C46</f>
        <v>55506.830320110203</v>
      </c>
      <c r="D48" s="21" t="s">
        <v>40</v>
      </c>
      <c r="E48" s="53"/>
      <c r="F48" s="53"/>
    </row>
    <row r="49" spans="1:6" ht="16" x14ac:dyDescent="0.2">
      <c r="A49" s="45" t="s">
        <v>116</v>
      </c>
      <c r="B49" s="46"/>
      <c r="C49" s="38">
        <f>C48*1000</f>
        <v>55506830.320110202</v>
      </c>
      <c r="D49" s="21" t="s">
        <v>48</v>
      </c>
      <c r="E49" s="53"/>
      <c r="F49" s="53"/>
    </row>
    <row r="50" spans="1:6" ht="32" x14ac:dyDescent="0.2">
      <c r="A50" s="47" t="s">
        <v>111</v>
      </c>
      <c r="B50" s="6"/>
      <c r="C50" s="48">
        <f>1/C49</f>
        <v>1.8015800834473133E-8</v>
      </c>
      <c r="D50" s="21"/>
      <c r="E50" s="53"/>
      <c r="F50" s="53"/>
    </row>
    <row r="51" spans="1:6" ht="16" x14ac:dyDescent="0.2">
      <c r="A51" s="49" t="s">
        <v>88</v>
      </c>
      <c r="B51" s="6"/>
      <c r="C51" s="127">
        <f>C50*E68</f>
        <v>8.1172362592428062E-9</v>
      </c>
      <c r="D51" s="21"/>
      <c r="E51" s="53"/>
      <c r="F51" s="53"/>
    </row>
    <row r="52" spans="1:6" ht="16" thickBot="1" x14ac:dyDescent="0.25">
      <c r="A52" s="50"/>
      <c r="B52" s="51"/>
      <c r="C52" s="64"/>
      <c r="D52" s="52"/>
      <c r="E52" s="53"/>
      <c r="F52" s="53"/>
    </row>
    <row r="53" spans="1:6" ht="16" thickBot="1" x14ac:dyDescent="0.25">
      <c r="A53" s="6"/>
      <c r="B53" s="6"/>
      <c r="C53" s="63"/>
      <c r="D53" s="5"/>
      <c r="E53" s="53"/>
      <c r="F53" s="53"/>
    </row>
    <row r="54" spans="1:6" x14ac:dyDescent="0.2">
      <c r="A54" s="18" t="s">
        <v>89</v>
      </c>
      <c r="B54" s="19" t="s">
        <v>90</v>
      </c>
      <c r="C54" s="63"/>
      <c r="D54" s="5"/>
      <c r="E54" s="53"/>
      <c r="F54" s="53"/>
    </row>
    <row r="55" spans="1:6" x14ac:dyDescent="0.2">
      <c r="A55" s="20" t="s">
        <v>91</v>
      </c>
      <c r="B55" s="21">
        <v>33.9</v>
      </c>
      <c r="C55" s="63"/>
      <c r="D55" s="5"/>
      <c r="E55" s="53"/>
      <c r="F55" s="53"/>
    </row>
    <row r="56" spans="1:6" x14ac:dyDescent="0.2">
      <c r="A56" s="20" t="s">
        <v>92</v>
      </c>
      <c r="B56" s="21">
        <v>32.07</v>
      </c>
      <c r="C56" s="63"/>
      <c r="D56" s="5"/>
      <c r="E56" s="53"/>
      <c r="F56" s="53"/>
    </row>
    <row r="57" spans="1:6" x14ac:dyDescent="0.2">
      <c r="A57" s="20" t="s">
        <v>93</v>
      </c>
      <c r="B57" s="21">
        <v>21.61</v>
      </c>
      <c r="C57" s="63"/>
      <c r="D57" s="5"/>
      <c r="E57" s="53"/>
      <c r="F57" s="53"/>
    </row>
    <row r="58" spans="1:6" x14ac:dyDescent="0.2">
      <c r="A58" s="20" t="s">
        <v>94</v>
      </c>
      <c r="B58" s="21">
        <v>25.63</v>
      </c>
      <c r="C58" s="63"/>
      <c r="D58" s="5"/>
      <c r="E58" s="53"/>
      <c r="F58" s="53"/>
    </row>
    <row r="59" spans="1:6" x14ac:dyDescent="0.2">
      <c r="A59" s="20" t="s">
        <v>95</v>
      </c>
      <c r="B59" s="21">
        <v>30.8</v>
      </c>
      <c r="C59" s="63"/>
      <c r="D59" s="5"/>
      <c r="E59" s="53"/>
      <c r="F59" s="53"/>
    </row>
    <row r="60" spans="1:6" x14ac:dyDescent="0.2">
      <c r="A60" s="20" t="s">
        <v>96</v>
      </c>
      <c r="B60" s="21">
        <v>34.9</v>
      </c>
      <c r="C60" s="63"/>
      <c r="D60" s="5"/>
      <c r="E60" s="53"/>
      <c r="F60" s="53"/>
    </row>
    <row r="61" spans="1:6" x14ac:dyDescent="0.2">
      <c r="A61" s="22" t="s">
        <v>97</v>
      </c>
      <c r="B61" s="23" t="s">
        <v>90</v>
      </c>
      <c r="C61" s="63"/>
      <c r="D61" s="5"/>
      <c r="E61" s="53"/>
      <c r="F61" s="53"/>
    </row>
    <row r="62" spans="1:6" x14ac:dyDescent="0.2">
      <c r="A62" s="20" t="s">
        <v>98</v>
      </c>
      <c r="B62" s="117">
        <v>17.309651914011472</v>
      </c>
      <c r="C62" s="63"/>
      <c r="D62" s="5"/>
      <c r="E62" s="53"/>
      <c r="F62" s="53"/>
    </row>
    <row r="63" spans="1:6" ht="16" thickBot="1" x14ac:dyDescent="0.25">
      <c r="A63" s="24" t="s">
        <v>99</v>
      </c>
      <c r="B63" s="118">
        <v>7.116620281016627</v>
      </c>
      <c r="C63" s="63"/>
      <c r="D63" s="5"/>
      <c r="E63" s="53"/>
      <c r="F63" s="53"/>
    </row>
    <row r="64" spans="1:6" ht="16" thickBot="1" x14ac:dyDescent="0.25">
      <c r="A64" s="6"/>
      <c r="B64" s="6"/>
      <c r="C64" s="63"/>
      <c r="D64" s="5"/>
      <c r="E64" s="53"/>
      <c r="F64" s="53"/>
    </row>
    <row r="65" spans="1:6" x14ac:dyDescent="0.2">
      <c r="A65" s="8" t="s">
        <v>100</v>
      </c>
      <c r="B65" s="9" t="s">
        <v>110</v>
      </c>
      <c r="C65" s="65" t="s">
        <v>101</v>
      </c>
      <c r="D65" s="9" t="s">
        <v>102</v>
      </c>
      <c r="E65" s="10" t="s">
        <v>103</v>
      </c>
      <c r="F65" s="53"/>
    </row>
    <row r="66" spans="1:6" x14ac:dyDescent="0.2">
      <c r="A66" s="11" t="s">
        <v>104</v>
      </c>
      <c r="B66" s="119">
        <v>0.56033181123920284</v>
      </c>
      <c r="C66" s="38">
        <f>B66*C5</f>
        <v>3361.9908674352168</v>
      </c>
      <c r="D66" s="38">
        <f>C66*B62</f>
        <v>58194.891653389088</v>
      </c>
      <c r="E66" s="57">
        <f>D66/(SUM(D66:D68))</f>
        <v>0.49099021373204088</v>
      </c>
      <c r="F66" s="53"/>
    </row>
    <row r="67" spans="1:6" x14ac:dyDescent="0.2">
      <c r="A67" s="11" t="s">
        <v>99</v>
      </c>
      <c r="B67" s="119">
        <v>0.16223876676378338</v>
      </c>
      <c r="C67" s="38">
        <f>B67*C5</f>
        <v>973.43260058270027</v>
      </c>
      <c r="D67" s="38">
        <f>C67*B63</f>
        <v>6927.5501875096024</v>
      </c>
      <c r="E67" s="57">
        <f>D67/(SUM(D66:D68))</f>
        <v>5.8447730557922517E-2</v>
      </c>
      <c r="F67" s="53"/>
    </row>
    <row r="68" spans="1:6" ht="16" thickBot="1" x14ac:dyDescent="0.25">
      <c r="A68" s="12" t="s">
        <v>105</v>
      </c>
      <c r="B68" s="120">
        <v>0.277534151600551</v>
      </c>
      <c r="C68" s="70">
        <f>B68*C5</f>
        <v>1665.2049096033061</v>
      </c>
      <c r="D68" s="70">
        <f>C68*B56</f>
        <v>53403.121450978026</v>
      </c>
      <c r="E68" s="128">
        <f>D68/(SUM(D66:D68))</f>
        <v>0.45056205571003655</v>
      </c>
      <c r="F68" s="53"/>
    </row>
    <row r="69" spans="1:6" ht="16" thickBot="1" x14ac:dyDescent="0.25">
      <c r="A69" s="6"/>
      <c r="B69" s="6"/>
      <c r="C69" s="63"/>
      <c r="D69" s="5"/>
      <c r="E69" s="53"/>
      <c r="F69" s="53"/>
    </row>
    <row r="70" spans="1:6" x14ac:dyDescent="0.2">
      <c r="A70" s="14" t="s">
        <v>106</v>
      </c>
      <c r="B70" s="15" t="s">
        <v>107</v>
      </c>
      <c r="C70" s="63"/>
      <c r="D70" s="5"/>
      <c r="E70" s="53"/>
      <c r="F70" s="53"/>
    </row>
    <row r="71" spans="1:6" ht="16" thickBot="1" x14ac:dyDescent="0.25">
      <c r="A71" s="16" t="s">
        <v>95</v>
      </c>
      <c r="B71" s="134">
        <v>19.850705330763063</v>
      </c>
      <c r="C71" s="63"/>
      <c r="D71" s="5"/>
      <c r="E71" s="53"/>
      <c r="F71" s="53"/>
    </row>
    <row r="72" spans="1:6" ht="16" thickBot="1" x14ac:dyDescent="0.25">
      <c r="A72" s="6"/>
      <c r="B72" s="55"/>
      <c r="C72" s="63"/>
      <c r="D72" s="5"/>
      <c r="E72" s="53"/>
      <c r="F72" s="53"/>
    </row>
    <row r="73" spans="1:6" x14ac:dyDescent="0.2">
      <c r="A73" s="14" t="s">
        <v>108</v>
      </c>
      <c r="B73" s="56">
        <v>5.0000000000000001E-4</v>
      </c>
      <c r="C73" s="63"/>
      <c r="D73" s="5"/>
      <c r="E73" s="53"/>
      <c r="F73" s="53"/>
    </row>
    <row r="74" spans="1:6" ht="16" thickBot="1" x14ac:dyDescent="0.25">
      <c r="A74" s="16" t="s">
        <v>109</v>
      </c>
      <c r="B74" s="17">
        <v>0.12230000000000001</v>
      </c>
      <c r="C74" s="63"/>
      <c r="D74" s="5"/>
      <c r="E74" s="53"/>
      <c r="F74" s="53"/>
    </row>
    <row r="75" spans="1:6" x14ac:dyDescent="0.2">
      <c r="A75" s="6"/>
      <c r="B75" s="6"/>
      <c r="C75" s="63"/>
      <c r="D75" s="5"/>
      <c r="E75" s="53"/>
      <c r="F75" s="53"/>
    </row>
    <row r="76" spans="1:6" x14ac:dyDescent="0.2">
      <c r="A76" s="6"/>
      <c r="B76" s="6"/>
      <c r="C76" s="63"/>
      <c r="D76" s="5"/>
      <c r="E76" s="53"/>
      <c r="F76" s="53"/>
    </row>
    <row r="77" spans="1:6" x14ac:dyDescent="0.2">
      <c r="A77" s="6"/>
      <c r="B77" s="6"/>
      <c r="C77" s="63"/>
      <c r="D77" s="5"/>
      <c r="E77" s="53"/>
      <c r="F77" s="53"/>
    </row>
    <row r="79" spans="1:6" x14ac:dyDescent="0.2">
      <c r="A79" s="186" t="s">
        <v>240</v>
      </c>
      <c r="B79" s="186"/>
      <c r="C79" s="186"/>
      <c r="D79" s="105" t="s">
        <v>239</v>
      </c>
      <c r="E79" s="53"/>
      <c r="F79" s="53"/>
    </row>
    <row r="80" spans="1:6" x14ac:dyDescent="0.2">
      <c r="A80" s="186"/>
      <c r="B80" s="186"/>
      <c r="C80" s="186"/>
      <c r="D80" s="5"/>
      <c r="F80" s="53"/>
    </row>
    <row r="81" spans="1:6" x14ac:dyDescent="0.2">
      <c r="A81" s="180"/>
      <c r="B81" s="6" t="s">
        <v>242</v>
      </c>
      <c r="C81" s="63"/>
      <c r="D81" s="5"/>
      <c r="E81" s="53"/>
      <c r="F81" s="53"/>
    </row>
    <row r="82" spans="1:6" x14ac:dyDescent="0.2">
      <c r="A82" s="181">
        <v>4.9700000000000002E-5</v>
      </c>
      <c r="B82" s="175">
        <v>4.0799002290112991</v>
      </c>
      <c r="C82" s="63"/>
      <c r="D82" s="5"/>
      <c r="E82" s="53"/>
      <c r="F82" s="53"/>
    </row>
    <row r="83" spans="1:6" x14ac:dyDescent="0.2">
      <c r="A83" s="6" t="s">
        <v>329</v>
      </c>
      <c r="B83" s="6" t="s">
        <v>291</v>
      </c>
      <c r="C83" s="63"/>
      <c r="D83" s="5"/>
      <c r="E83" s="53"/>
      <c r="F83" s="53"/>
    </row>
    <row r="84" spans="1:6" x14ac:dyDescent="0.2">
      <c r="A84" s="6" t="s">
        <v>188</v>
      </c>
      <c r="B84" s="6"/>
      <c r="C84" s="63"/>
      <c r="D84" s="5"/>
      <c r="E84" s="53"/>
      <c r="F84" s="53"/>
    </row>
    <row r="85" spans="1:6" x14ac:dyDescent="0.2">
      <c r="A85" s="6"/>
      <c r="B85" s="6"/>
      <c r="C85" s="63"/>
      <c r="D85" s="5"/>
      <c r="E85" s="53"/>
      <c r="F85" s="53"/>
    </row>
    <row r="86" spans="1:6" x14ac:dyDescent="0.2">
      <c r="A86" s="6"/>
      <c r="B86" s="6"/>
      <c r="C86" s="63"/>
      <c r="D86" s="5"/>
      <c r="E86" s="53"/>
      <c r="F86" s="53"/>
    </row>
    <row r="87" spans="1:6" x14ac:dyDescent="0.2">
      <c r="A87" s="6"/>
      <c r="B87" s="6"/>
      <c r="C87" s="63"/>
      <c r="D87" s="5"/>
      <c r="E87" s="53"/>
      <c r="F87" s="53"/>
    </row>
    <row r="88" spans="1:6" x14ac:dyDescent="0.2">
      <c r="A88" s="6"/>
      <c r="B88" s="6"/>
      <c r="C88" s="63"/>
      <c r="D88" s="5"/>
      <c r="E88" s="53"/>
      <c r="F88" s="53"/>
    </row>
    <row r="89" spans="1:6" x14ac:dyDescent="0.2">
      <c r="A89" s="6"/>
      <c r="B89" s="6"/>
      <c r="C89" s="63"/>
      <c r="D89" s="5"/>
      <c r="E89" s="53"/>
      <c r="F89" s="53"/>
    </row>
    <row r="90" spans="1:6" x14ac:dyDescent="0.2">
      <c r="A90" s="6"/>
      <c r="B90" s="6"/>
      <c r="C90" s="63"/>
      <c r="D90" s="5"/>
      <c r="E90" s="53"/>
      <c r="F90" s="53"/>
    </row>
    <row r="91" spans="1:6" x14ac:dyDescent="0.2">
      <c r="A91" s="6"/>
      <c r="B91" s="6"/>
      <c r="C91" s="63"/>
      <c r="D91" s="5"/>
      <c r="E91" s="53"/>
      <c r="F91" s="53"/>
    </row>
    <row r="92" spans="1:6" x14ac:dyDescent="0.2">
      <c r="A92" s="6"/>
      <c r="B92" s="6"/>
      <c r="C92" s="63"/>
      <c r="D92" s="5"/>
      <c r="E92" s="53"/>
      <c r="F92" s="53"/>
    </row>
    <row r="93" spans="1:6" x14ac:dyDescent="0.2">
      <c r="A93" s="6"/>
      <c r="B93" s="6"/>
      <c r="C93" s="63"/>
      <c r="D93" s="5"/>
      <c r="E93" s="53"/>
      <c r="F93" s="53"/>
    </row>
    <row r="94" spans="1:6" x14ac:dyDescent="0.2">
      <c r="A94" s="6"/>
      <c r="B94" s="6"/>
      <c r="C94" s="63"/>
      <c r="D94" s="5"/>
      <c r="E94" s="53"/>
      <c r="F94" s="53"/>
    </row>
    <row r="95" spans="1:6" x14ac:dyDescent="0.2">
      <c r="A95" s="6"/>
      <c r="B95" s="6"/>
      <c r="C95" s="63"/>
      <c r="D95" s="5"/>
      <c r="E95" s="53"/>
      <c r="F95" s="53"/>
    </row>
    <row r="96" spans="1:6" x14ac:dyDescent="0.2">
      <c r="A96" s="6"/>
      <c r="B96" s="6"/>
      <c r="C96" s="63"/>
      <c r="D96" s="5"/>
      <c r="E96" s="53"/>
      <c r="F96" s="53"/>
    </row>
    <row r="97" spans="1:6" x14ac:dyDescent="0.2">
      <c r="A97" s="6"/>
      <c r="B97" s="6"/>
      <c r="C97" s="63"/>
      <c r="D97" s="5"/>
      <c r="E97" s="53"/>
      <c r="F97" s="53"/>
    </row>
    <row r="98" spans="1:6" x14ac:dyDescent="0.2">
      <c r="A98" s="6"/>
      <c r="B98" s="6"/>
      <c r="C98" s="63"/>
      <c r="D98" s="5"/>
      <c r="E98" s="53"/>
      <c r="F98" s="53"/>
    </row>
    <row r="99" spans="1:6" x14ac:dyDescent="0.2">
      <c r="A99" s="6"/>
      <c r="B99" s="6"/>
      <c r="C99" s="63"/>
      <c r="D99" s="5"/>
      <c r="E99" s="53"/>
      <c r="F99" s="53"/>
    </row>
    <row r="100" spans="1:6" x14ac:dyDescent="0.2">
      <c r="A100" s="6"/>
      <c r="B100" s="6"/>
      <c r="C100" s="63"/>
      <c r="D100" s="5"/>
      <c r="E100" s="53"/>
      <c r="F100" s="53"/>
    </row>
    <row r="101" spans="1:6" x14ac:dyDescent="0.2">
      <c r="A101" s="6"/>
      <c r="B101" s="6"/>
      <c r="C101" s="63"/>
      <c r="D101" s="5"/>
      <c r="E101" s="53"/>
      <c r="F101" s="53"/>
    </row>
    <row r="102" spans="1:6" x14ac:dyDescent="0.2">
      <c r="A102" s="6"/>
      <c r="B102" s="6"/>
      <c r="C102" s="63"/>
      <c r="D102" s="5"/>
      <c r="E102" s="53"/>
      <c r="F102" s="53"/>
    </row>
    <row r="103" spans="1:6" x14ac:dyDescent="0.2">
      <c r="A103" s="6"/>
      <c r="B103" s="6"/>
      <c r="C103" s="63"/>
      <c r="D103" s="5"/>
      <c r="E103" s="53"/>
      <c r="F103" s="53"/>
    </row>
    <row r="104" spans="1:6" x14ac:dyDescent="0.2">
      <c r="A104" s="6"/>
      <c r="B104" s="6"/>
      <c r="C104" s="63"/>
      <c r="D104" s="5"/>
      <c r="E104" s="53"/>
      <c r="F104" s="53"/>
    </row>
    <row r="105" spans="1:6" x14ac:dyDescent="0.2">
      <c r="A105" s="6"/>
      <c r="B105" s="6"/>
      <c r="C105" s="63"/>
      <c r="D105" s="5"/>
      <c r="E105" s="53"/>
      <c r="F105" s="53"/>
    </row>
    <row r="106" spans="1:6" x14ac:dyDescent="0.2">
      <c r="A106" s="6"/>
      <c r="B106" s="6"/>
      <c r="C106" s="63"/>
      <c r="D106" s="5"/>
      <c r="E106" s="53"/>
      <c r="F106" s="53"/>
    </row>
    <row r="107" spans="1:6" x14ac:dyDescent="0.2">
      <c r="A107" s="6"/>
      <c r="B107" s="6"/>
      <c r="C107" s="63"/>
      <c r="D107" s="5"/>
      <c r="E107" s="53"/>
      <c r="F107" s="53"/>
    </row>
    <row r="108" spans="1:6" x14ac:dyDescent="0.2">
      <c r="A108" s="6"/>
      <c r="B108" s="6"/>
      <c r="C108" s="63"/>
      <c r="D108" s="5"/>
      <c r="E108" s="53"/>
      <c r="F108" s="53"/>
    </row>
    <row r="109" spans="1:6" x14ac:dyDescent="0.2">
      <c r="A109" s="6"/>
      <c r="B109" s="6"/>
      <c r="C109" s="63"/>
      <c r="D109" s="5"/>
      <c r="E109" s="53"/>
      <c r="F109" s="53"/>
    </row>
    <row r="110" spans="1:6" x14ac:dyDescent="0.2">
      <c r="A110" s="6"/>
      <c r="B110" s="6"/>
      <c r="C110" s="63"/>
      <c r="D110" s="5"/>
      <c r="E110" s="53"/>
      <c r="F110" s="53"/>
    </row>
    <row r="111" spans="1:6" x14ac:dyDescent="0.2">
      <c r="A111" s="6"/>
      <c r="B111" s="6"/>
      <c r="C111" s="63"/>
      <c r="D111" s="5"/>
      <c r="E111" s="53"/>
      <c r="F111" s="53"/>
    </row>
    <row r="112" spans="1:6" x14ac:dyDescent="0.2">
      <c r="A112" s="6"/>
      <c r="B112" s="6"/>
      <c r="C112" s="63"/>
      <c r="D112" s="5"/>
      <c r="E112" s="53"/>
      <c r="F112" s="53"/>
    </row>
    <row r="113" spans="1:6" x14ac:dyDescent="0.2">
      <c r="A113" s="6"/>
      <c r="B113" s="6"/>
      <c r="C113" s="63"/>
      <c r="D113" s="5"/>
      <c r="E113" s="53"/>
      <c r="F113" s="53"/>
    </row>
    <row r="114" spans="1:6" x14ac:dyDescent="0.2">
      <c r="A114" s="6"/>
      <c r="B114" s="6"/>
      <c r="C114" s="63"/>
      <c r="D114" s="5"/>
      <c r="E114" s="53"/>
      <c r="F114" s="53"/>
    </row>
    <row r="115" spans="1:6" x14ac:dyDescent="0.2">
      <c r="A115" s="6"/>
      <c r="B115" s="6"/>
      <c r="C115" s="63"/>
      <c r="D115" s="5"/>
      <c r="E115" s="53"/>
      <c r="F115" s="53"/>
    </row>
    <row r="116" spans="1:6" x14ac:dyDescent="0.2">
      <c r="A116" s="6"/>
      <c r="B116" s="6"/>
      <c r="C116" s="63"/>
      <c r="D116" s="5"/>
      <c r="E116" s="53"/>
      <c r="F116" s="53"/>
    </row>
    <row r="117" spans="1:6" x14ac:dyDescent="0.2">
      <c r="A117" s="6"/>
      <c r="B117" s="6"/>
      <c r="C117" s="63"/>
      <c r="D117" s="5"/>
      <c r="E117" s="53"/>
      <c r="F117" s="53"/>
    </row>
    <row r="118" spans="1:6" x14ac:dyDescent="0.2">
      <c r="A118" s="6"/>
      <c r="B118" s="6"/>
      <c r="C118" s="63"/>
      <c r="D118" s="5"/>
      <c r="E118" s="53"/>
      <c r="F118" s="53"/>
    </row>
    <row r="119" spans="1:6" x14ac:dyDescent="0.2">
      <c r="A119" s="6"/>
      <c r="B119" s="6"/>
      <c r="C119" s="63"/>
      <c r="D119" s="5"/>
      <c r="E119" s="53"/>
      <c r="F119" s="53"/>
    </row>
    <row r="120" spans="1:6" x14ac:dyDescent="0.2">
      <c r="A120" s="6"/>
      <c r="B120" s="6"/>
      <c r="C120" s="63"/>
      <c r="D120" s="5"/>
      <c r="E120" s="53"/>
      <c r="F120" s="53"/>
    </row>
    <row r="121" spans="1:6" x14ac:dyDescent="0.2">
      <c r="A121" s="6"/>
      <c r="B121" s="6"/>
      <c r="C121" s="63"/>
      <c r="D121" s="5"/>
      <c r="E121" s="53"/>
      <c r="F121" s="53"/>
    </row>
    <row r="122" spans="1:6" x14ac:dyDescent="0.2">
      <c r="A122" s="6"/>
      <c r="B122" s="6"/>
      <c r="C122" s="63"/>
      <c r="D122" s="5"/>
      <c r="E122" s="53"/>
      <c r="F122" s="53"/>
    </row>
    <row r="123" spans="1:6" x14ac:dyDescent="0.2">
      <c r="A123" s="6"/>
      <c r="B123" s="6"/>
      <c r="C123" s="63"/>
      <c r="D123" s="5"/>
      <c r="E123" s="53"/>
      <c r="F123" s="53"/>
    </row>
    <row r="124" spans="1:6" x14ac:dyDescent="0.2">
      <c r="A124" s="6"/>
      <c r="B124" s="6"/>
      <c r="C124" s="63"/>
      <c r="D124" s="5"/>
      <c r="E124" s="53"/>
      <c r="F124" s="53"/>
    </row>
    <row r="125" spans="1:6" x14ac:dyDescent="0.2">
      <c r="A125" s="6"/>
      <c r="B125" s="6"/>
      <c r="C125" s="63"/>
      <c r="D125" s="5"/>
      <c r="E125" s="53"/>
      <c r="F125" s="53"/>
    </row>
    <row r="126" spans="1:6" x14ac:dyDescent="0.2">
      <c r="A126" s="6"/>
      <c r="B126" s="6"/>
      <c r="C126" s="63"/>
      <c r="D126" s="5"/>
      <c r="E126" s="53"/>
      <c r="F126" s="53"/>
    </row>
    <row r="127" spans="1:6" x14ac:dyDescent="0.2">
      <c r="A127" s="6"/>
      <c r="B127" s="6"/>
      <c r="C127" s="63"/>
      <c r="D127" s="5"/>
      <c r="E127" s="53"/>
      <c r="F127" s="53"/>
    </row>
    <row r="128" spans="1:6" x14ac:dyDescent="0.2">
      <c r="A128" s="6"/>
      <c r="B128" s="6"/>
      <c r="C128" s="63"/>
      <c r="D128" s="5"/>
      <c r="E128" s="53"/>
      <c r="F128" s="53"/>
    </row>
    <row r="129" spans="1:6" x14ac:dyDescent="0.2">
      <c r="A129" s="6"/>
      <c r="B129" s="6"/>
      <c r="C129" s="63"/>
      <c r="D129" s="5"/>
      <c r="E129" s="53"/>
      <c r="F129" s="53"/>
    </row>
    <row r="130" spans="1:6" x14ac:dyDescent="0.2">
      <c r="A130" s="6"/>
      <c r="B130" s="6"/>
      <c r="C130" s="63"/>
      <c r="D130" s="5"/>
      <c r="E130" s="53"/>
      <c r="F130" s="53"/>
    </row>
    <row r="131" spans="1:6" x14ac:dyDescent="0.2">
      <c r="A131" s="6"/>
      <c r="B131" s="6"/>
      <c r="C131" s="63"/>
      <c r="D131" s="5"/>
      <c r="E131" s="53"/>
      <c r="F131" s="53"/>
    </row>
    <row r="132" spans="1:6" x14ac:dyDescent="0.2">
      <c r="A132" s="6"/>
      <c r="B132" s="6"/>
      <c r="C132" s="63"/>
      <c r="D132" s="5"/>
      <c r="E132" s="53"/>
      <c r="F132" s="53"/>
    </row>
    <row r="133" spans="1:6" x14ac:dyDescent="0.2">
      <c r="A133" s="6"/>
      <c r="B133" s="6"/>
      <c r="C133" s="63"/>
      <c r="D133" s="5"/>
      <c r="E133" s="53"/>
      <c r="F133" s="53"/>
    </row>
    <row r="134" spans="1:6" x14ac:dyDescent="0.2">
      <c r="A134" s="6"/>
      <c r="B134" s="6"/>
      <c r="C134" s="63"/>
      <c r="D134" s="5"/>
      <c r="E134" s="53"/>
      <c r="F134" s="53"/>
    </row>
    <row r="135" spans="1:6" x14ac:dyDescent="0.2">
      <c r="A135" s="6"/>
      <c r="B135" s="6"/>
      <c r="C135" s="63"/>
      <c r="D135" s="5"/>
      <c r="E135" s="53"/>
      <c r="F135" s="53"/>
    </row>
    <row r="136" spans="1:6" x14ac:dyDescent="0.2">
      <c r="A136" s="6"/>
      <c r="B136" s="6"/>
      <c r="C136" s="63"/>
      <c r="D136" s="5"/>
      <c r="E136" s="53"/>
      <c r="F136" s="53"/>
    </row>
    <row r="137" spans="1:6" x14ac:dyDescent="0.2">
      <c r="A137" s="6"/>
      <c r="B137" s="6"/>
      <c r="C137" s="63"/>
      <c r="D137" s="5"/>
      <c r="E137" s="53"/>
      <c r="F137" s="53"/>
    </row>
    <row r="138" spans="1:6" x14ac:dyDescent="0.2">
      <c r="A138" s="6"/>
      <c r="B138" s="6"/>
      <c r="C138" s="63"/>
      <c r="D138" s="5"/>
      <c r="E138" s="53"/>
      <c r="F138" s="53"/>
    </row>
    <row r="139" spans="1:6" x14ac:dyDescent="0.2">
      <c r="A139" s="6"/>
      <c r="B139" s="6"/>
      <c r="C139" s="63"/>
      <c r="D139" s="5"/>
      <c r="E139" s="53"/>
      <c r="F139" s="53"/>
    </row>
    <row r="140" spans="1:6" x14ac:dyDescent="0.2">
      <c r="A140" s="6"/>
      <c r="B140" s="6"/>
      <c r="C140" s="63"/>
      <c r="D140" s="5"/>
      <c r="E140" s="53"/>
      <c r="F140" s="53"/>
    </row>
    <row r="141" spans="1:6" x14ac:dyDescent="0.2">
      <c r="A141" s="6"/>
      <c r="B141" s="6"/>
      <c r="C141" s="63"/>
      <c r="D141" s="5"/>
      <c r="E141" s="53"/>
      <c r="F141" s="53"/>
    </row>
    <row r="142" spans="1:6" x14ac:dyDescent="0.2">
      <c r="A142" s="6"/>
      <c r="B142" s="6"/>
      <c r="C142" s="63"/>
      <c r="D142" s="5"/>
      <c r="E142" s="53"/>
      <c r="F142" s="53"/>
    </row>
    <row r="143" spans="1:6" x14ac:dyDescent="0.2">
      <c r="A143" s="6"/>
      <c r="B143" s="6"/>
      <c r="C143" s="63"/>
      <c r="D143" s="5"/>
      <c r="E143" s="53"/>
      <c r="F143" s="53"/>
    </row>
    <row r="144" spans="1:6" x14ac:dyDescent="0.2">
      <c r="A144" s="6"/>
      <c r="B144" s="6"/>
      <c r="C144" s="63"/>
      <c r="D144" s="5"/>
      <c r="E144" s="53"/>
      <c r="F144" s="53"/>
    </row>
    <row r="145" spans="1:6" x14ac:dyDescent="0.2">
      <c r="A145" s="6"/>
      <c r="B145" s="6"/>
      <c r="C145" s="63"/>
      <c r="D145" s="5"/>
      <c r="E145" s="53"/>
      <c r="F145" s="53"/>
    </row>
    <row r="146" spans="1:6" x14ac:dyDescent="0.2">
      <c r="A146" s="6"/>
      <c r="B146" s="6"/>
      <c r="C146" s="63"/>
      <c r="D146" s="5"/>
      <c r="E146" s="53"/>
      <c r="F146" s="53"/>
    </row>
    <row r="147" spans="1:6" x14ac:dyDescent="0.2">
      <c r="A147" s="6"/>
      <c r="B147" s="6"/>
      <c r="C147" s="63"/>
      <c r="D147" s="5"/>
      <c r="E147" s="53"/>
      <c r="F147" s="53"/>
    </row>
    <row r="148" spans="1:6" x14ac:dyDescent="0.2">
      <c r="A148" s="6"/>
      <c r="B148" s="6"/>
      <c r="C148" s="63"/>
      <c r="D148" s="5"/>
      <c r="E148" s="53"/>
      <c r="F148" s="53"/>
    </row>
    <row r="149" spans="1:6" x14ac:dyDescent="0.2">
      <c r="A149" s="6"/>
      <c r="B149" s="6"/>
      <c r="C149" s="63"/>
      <c r="D149" s="5"/>
      <c r="E149" s="53"/>
      <c r="F149" s="53"/>
    </row>
    <row r="150" spans="1:6" x14ac:dyDescent="0.2">
      <c r="A150" s="6"/>
      <c r="B150" s="6"/>
      <c r="C150" s="63"/>
      <c r="D150" s="5"/>
      <c r="E150" s="53"/>
      <c r="F150" s="53"/>
    </row>
    <row r="151" spans="1:6" x14ac:dyDescent="0.2">
      <c r="A151" s="6"/>
      <c r="B151" s="6"/>
      <c r="C151" s="63"/>
      <c r="D151" s="5"/>
      <c r="E151" s="53"/>
      <c r="F151" s="53"/>
    </row>
    <row r="152" spans="1:6" x14ac:dyDescent="0.2">
      <c r="A152" s="6"/>
      <c r="B152" s="6"/>
      <c r="C152" s="63"/>
      <c r="D152" s="5"/>
      <c r="E152" s="53"/>
      <c r="F152" s="53"/>
    </row>
    <row r="153" spans="1:6" x14ac:dyDescent="0.2">
      <c r="A153" s="6"/>
      <c r="B153" s="6"/>
      <c r="C153" s="63"/>
      <c r="D153" s="5"/>
      <c r="E153" s="53"/>
      <c r="F153" s="53"/>
    </row>
    <row r="154" spans="1:6" x14ac:dyDescent="0.2">
      <c r="A154" s="6"/>
      <c r="B154" s="6"/>
      <c r="C154" s="63"/>
      <c r="D154" s="5"/>
      <c r="E154" s="53"/>
      <c r="F154" s="53"/>
    </row>
    <row r="155" spans="1:6" x14ac:dyDescent="0.2">
      <c r="A155" s="6"/>
      <c r="B155" s="6"/>
      <c r="C155" s="63"/>
      <c r="D155" s="5"/>
      <c r="E155" s="53"/>
      <c r="F155" s="53"/>
    </row>
    <row r="156" spans="1:6" x14ac:dyDescent="0.2">
      <c r="A156" s="6"/>
      <c r="B156" s="6"/>
      <c r="C156" s="63"/>
      <c r="D156" s="5"/>
      <c r="E156" s="53"/>
      <c r="F156" s="53"/>
    </row>
    <row r="157" spans="1:6" x14ac:dyDescent="0.2">
      <c r="A157" s="6"/>
      <c r="B157" s="6"/>
      <c r="C157" s="63"/>
      <c r="D157" s="5"/>
      <c r="E157" s="53"/>
      <c r="F157" s="53"/>
    </row>
    <row r="158" spans="1:6" x14ac:dyDescent="0.2">
      <c r="A158" s="6"/>
      <c r="B158" s="6"/>
      <c r="C158" s="63"/>
      <c r="D158" s="5"/>
      <c r="E158" s="53"/>
      <c r="F158" s="53"/>
    </row>
    <row r="159" spans="1:6" x14ac:dyDescent="0.2">
      <c r="A159" s="6"/>
      <c r="B159" s="6"/>
      <c r="C159" s="63"/>
      <c r="D159" s="5"/>
      <c r="E159" s="53"/>
      <c r="F159" s="53"/>
    </row>
    <row r="160" spans="1:6" x14ac:dyDescent="0.2">
      <c r="A160" s="6"/>
      <c r="B160" s="6"/>
      <c r="C160" s="63"/>
      <c r="D160" s="5"/>
      <c r="E160" s="53"/>
      <c r="F160" s="53"/>
    </row>
    <row r="161" spans="1:6" x14ac:dyDescent="0.2">
      <c r="A161" s="6"/>
      <c r="B161" s="6"/>
      <c r="C161" s="63"/>
      <c r="D161" s="5"/>
      <c r="E161" s="53"/>
      <c r="F161" s="53"/>
    </row>
    <row r="162" spans="1:6" x14ac:dyDescent="0.2">
      <c r="A162" s="6"/>
      <c r="B162" s="6"/>
      <c r="C162" s="63"/>
      <c r="D162" s="5"/>
      <c r="E162" s="53"/>
      <c r="F162" s="53"/>
    </row>
    <row r="163" spans="1:6" x14ac:dyDescent="0.2">
      <c r="A163" s="6"/>
      <c r="B163" s="6"/>
      <c r="C163" s="63"/>
      <c r="D163" s="5"/>
      <c r="E163" s="53"/>
      <c r="F163" s="53"/>
    </row>
    <row r="164" spans="1:6" x14ac:dyDescent="0.2">
      <c r="A164" s="6"/>
      <c r="B164" s="6"/>
      <c r="C164" s="63"/>
      <c r="D164" s="5"/>
      <c r="E164" s="53"/>
      <c r="F164" s="53"/>
    </row>
    <row r="165" spans="1:6" x14ac:dyDescent="0.2">
      <c r="A165" s="6"/>
      <c r="B165" s="6"/>
      <c r="C165" s="63"/>
      <c r="D165" s="5"/>
      <c r="E165" s="53"/>
      <c r="F165" s="53"/>
    </row>
    <row r="166" spans="1:6" x14ac:dyDescent="0.2">
      <c r="A166" s="6"/>
      <c r="B166" s="6"/>
      <c r="C166" s="63"/>
      <c r="D166" s="5"/>
      <c r="E166" s="53"/>
      <c r="F166" s="53"/>
    </row>
    <row r="167" spans="1:6" x14ac:dyDescent="0.2">
      <c r="A167" s="6"/>
      <c r="B167" s="6"/>
      <c r="C167" s="63"/>
      <c r="D167" s="5"/>
      <c r="E167" s="53"/>
      <c r="F167" s="53"/>
    </row>
    <row r="168" spans="1:6" x14ac:dyDescent="0.2">
      <c r="A168" s="6"/>
      <c r="B168" s="6"/>
      <c r="C168" s="63"/>
      <c r="D168" s="5"/>
      <c r="E168" s="53"/>
      <c r="F168" s="53"/>
    </row>
    <row r="169" spans="1:6" x14ac:dyDescent="0.2">
      <c r="A169" s="6"/>
      <c r="B169" s="6"/>
      <c r="C169" s="63"/>
      <c r="D169" s="5"/>
      <c r="E169" s="53"/>
      <c r="F169" s="53"/>
    </row>
    <row r="170" spans="1:6" x14ac:dyDescent="0.2">
      <c r="A170" s="6"/>
      <c r="B170" s="6"/>
      <c r="C170" s="63"/>
      <c r="D170" s="5"/>
      <c r="E170" s="53"/>
      <c r="F170" s="53"/>
    </row>
    <row r="171" spans="1:6" x14ac:dyDescent="0.2">
      <c r="A171" s="6"/>
      <c r="B171" s="6"/>
      <c r="C171" s="63"/>
      <c r="D171" s="5"/>
      <c r="E171" s="53"/>
      <c r="F171" s="53"/>
    </row>
    <row r="172" spans="1:6" x14ac:dyDescent="0.2">
      <c r="A172" s="6"/>
      <c r="B172" s="6"/>
      <c r="C172" s="63"/>
      <c r="D172" s="5"/>
      <c r="E172" s="53"/>
      <c r="F172" s="53"/>
    </row>
    <row r="173" spans="1:6" x14ac:dyDescent="0.2">
      <c r="A173" s="6"/>
      <c r="B173" s="6"/>
      <c r="C173" s="63"/>
      <c r="D173" s="5"/>
      <c r="E173" s="53"/>
      <c r="F173" s="53"/>
    </row>
    <row r="174" spans="1:6" x14ac:dyDescent="0.2">
      <c r="A174" s="6"/>
      <c r="B174" s="6"/>
      <c r="C174" s="63"/>
      <c r="D174" s="5"/>
      <c r="E174" s="53"/>
      <c r="F174" s="53"/>
    </row>
    <row r="175" spans="1:6" x14ac:dyDescent="0.2">
      <c r="A175" s="6"/>
      <c r="B175" s="6"/>
      <c r="C175" s="63"/>
      <c r="D175" s="5"/>
      <c r="E175" s="53"/>
      <c r="F175" s="53"/>
    </row>
    <row r="176" spans="1:6" x14ac:dyDescent="0.2">
      <c r="A176" s="6"/>
      <c r="B176" s="6"/>
      <c r="C176" s="63"/>
      <c r="D176" s="5"/>
      <c r="E176" s="53"/>
      <c r="F176" s="53"/>
    </row>
    <row r="177" spans="1:6" x14ac:dyDescent="0.2">
      <c r="A177" s="6"/>
      <c r="B177" s="6"/>
      <c r="C177" s="63"/>
      <c r="D177" s="5"/>
      <c r="E177" s="53"/>
      <c r="F177" s="53"/>
    </row>
    <row r="178" spans="1:6" x14ac:dyDescent="0.2">
      <c r="A178" s="6"/>
      <c r="B178" s="6"/>
      <c r="C178" s="63"/>
      <c r="D178" s="5"/>
      <c r="E178" s="53"/>
      <c r="F178" s="53"/>
    </row>
    <row r="179" spans="1:6" x14ac:dyDescent="0.2">
      <c r="A179" s="6"/>
      <c r="B179" s="6"/>
      <c r="C179" s="63"/>
      <c r="D179" s="5"/>
      <c r="E179" s="53"/>
      <c r="F179" s="53"/>
    </row>
    <row r="180" spans="1:6" x14ac:dyDescent="0.2">
      <c r="A180" s="6"/>
      <c r="B180" s="6"/>
      <c r="C180" s="63"/>
      <c r="D180" s="5"/>
      <c r="E180" s="53"/>
      <c r="F180" s="53"/>
    </row>
    <row r="181" spans="1:6" x14ac:dyDescent="0.2">
      <c r="A181" s="6"/>
      <c r="B181" s="6"/>
      <c r="C181" s="63"/>
      <c r="D181" s="5"/>
      <c r="E181" s="53"/>
      <c r="F181" s="53"/>
    </row>
    <row r="182" spans="1:6" x14ac:dyDescent="0.2">
      <c r="A182" s="6"/>
      <c r="B182" s="6"/>
      <c r="C182" s="63"/>
      <c r="D182" s="5"/>
      <c r="E182" s="53"/>
      <c r="F182" s="53"/>
    </row>
    <row r="183" spans="1:6" x14ac:dyDescent="0.2">
      <c r="A183" s="6"/>
      <c r="B183" s="6"/>
      <c r="C183" s="63"/>
      <c r="D183" s="5"/>
      <c r="E183" s="53"/>
      <c r="F183" s="53"/>
    </row>
    <row r="184" spans="1:6" x14ac:dyDescent="0.2">
      <c r="A184" s="6"/>
      <c r="B184" s="6"/>
      <c r="C184" s="63"/>
      <c r="D184" s="5"/>
      <c r="E184" s="53"/>
      <c r="F184" s="53"/>
    </row>
    <row r="185" spans="1:6" x14ac:dyDescent="0.2">
      <c r="A185" s="6"/>
      <c r="B185" s="6"/>
      <c r="C185" s="63"/>
      <c r="D185" s="5"/>
      <c r="E185" s="53"/>
      <c r="F185" s="53"/>
    </row>
    <row r="186" spans="1:6" x14ac:dyDescent="0.2">
      <c r="A186" s="6"/>
      <c r="B186" s="6"/>
      <c r="C186" s="63"/>
      <c r="D186" s="5"/>
      <c r="E186" s="53"/>
      <c r="F186" s="53"/>
    </row>
    <row r="187" spans="1:6" x14ac:dyDescent="0.2">
      <c r="A187" s="6"/>
      <c r="B187" s="6"/>
      <c r="C187" s="63"/>
      <c r="D187" s="5"/>
      <c r="E187" s="53"/>
      <c r="F187" s="53"/>
    </row>
    <row r="188" spans="1:6" x14ac:dyDescent="0.2">
      <c r="A188" s="6"/>
      <c r="B188" s="6"/>
      <c r="C188" s="63"/>
      <c r="D188" s="5"/>
      <c r="E188" s="53"/>
      <c r="F188" s="53"/>
    </row>
    <row r="189" spans="1:6" x14ac:dyDescent="0.2">
      <c r="A189" s="6"/>
      <c r="B189" s="6"/>
      <c r="C189" s="63"/>
      <c r="D189" s="5"/>
      <c r="E189" s="53"/>
      <c r="F189" s="53"/>
    </row>
    <row r="190" spans="1:6" x14ac:dyDescent="0.2">
      <c r="A190" s="6"/>
      <c r="B190" s="6"/>
      <c r="C190" s="63"/>
      <c r="D190" s="5"/>
      <c r="E190" s="53"/>
      <c r="F190" s="53"/>
    </row>
    <row r="191" spans="1:6" x14ac:dyDescent="0.2">
      <c r="A191" s="6"/>
      <c r="B191" s="6"/>
      <c r="C191" s="63"/>
      <c r="D191" s="5"/>
      <c r="E191" s="53"/>
      <c r="F191" s="53"/>
    </row>
    <row r="192" spans="1:6" x14ac:dyDescent="0.2">
      <c r="A192" s="6"/>
      <c r="B192" s="6"/>
      <c r="C192" s="63"/>
      <c r="D192" s="5"/>
      <c r="E192" s="53"/>
      <c r="F192" s="53"/>
    </row>
    <row r="193" spans="1:6" x14ac:dyDescent="0.2">
      <c r="A193" s="6"/>
      <c r="B193" s="6"/>
      <c r="C193" s="63"/>
      <c r="D193" s="5"/>
      <c r="E193" s="53"/>
      <c r="F193" s="53"/>
    </row>
    <row r="194" spans="1:6" x14ac:dyDescent="0.2">
      <c r="A194" s="6"/>
      <c r="B194" s="6"/>
      <c r="C194" s="63"/>
      <c r="D194" s="5"/>
      <c r="E194" s="53"/>
      <c r="F194" s="53"/>
    </row>
    <row r="195" spans="1:6" x14ac:dyDescent="0.2">
      <c r="A195" s="6"/>
      <c r="B195" s="6"/>
      <c r="C195" s="63"/>
      <c r="D195" s="5"/>
      <c r="E195" s="53"/>
      <c r="F195" s="53"/>
    </row>
    <row r="196" spans="1:6" x14ac:dyDescent="0.2">
      <c r="A196" s="6"/>
      <c r="B196" s="6"/>
      <c r="C196" s="63"/>
      <c r="D196" s="5"/>
      <c r="E196" s="53"/>
      <c r="F196" s="53"/>
    </row>
    <row r="197" spans="1:6" x14ac:dyDescent="0.2">
      <c r="A197" s="6"/>
      <c r="B197" s="6"/>
      <c r="C197" s="63"/>
      <c r="D197" s="5"/>
      <c r="E197" s="53"/>
      <c r="F197" s="53"/>
    </row>
    <row r="198" spans="1:6" x14ac:dyDescent="0.2">
      <c r="A198" s="6"/>
      <c r="B198" s="6"/>
      <c r="C198" s="63"/>
      <c r="D198" s="5"/>
      <c r="E198" s="53"/>
      <c r="F198" s="53"/>
    </row>
    <row r="199" spans="1:6" x14ac:dyDescent="0.2">
      <c r="A199" s="6"/>
      <c r="B199" s="6"/>
      <c r="C199" s="63"/>
      <c r="D199" s="5"/>
      <c r="E199" s="53"/>
      <c r="F199" s="53"/>
    </row>
    <row r="200" spans="1:6" x14ac:dyDescent="0.2">
      <c r="A200" s="6"/>
      <c r="B200" s="6"/>
      <c r="C200" s="63"/>
      <c r="D200" s="5"/>
      <c r="E200" s="53"/>
      <c r="F200" s="53"/>
    </row>
    <row r="201" spans="1:6" x14ac:dyDescent="0.2">
      <c r="A201" s="6"/>
      <c r="B201" s="6"/>
      <c r="C201" s="63"/>
      <c r="D201" s="5"/>
      <c r="E201" s="53"/>
      <c r="F201" s="53"/>
    </row>
    <row r="202" spans="1:6" x14ac:dyDescent="0.2">
      <c r="A202" s="6"/>
      <c r="B202" s="6"/>
      <c r="C202" s="63"/>
      <c r="D202" s="5"/>
      <c r="E202" s="53"/>
      <c r="F202" s="53"/>
    </row>
    <row r="203" spans="1:6" x14ac:dyDescent="0.2">
      <c r="A203" s="6"/>
      <c r="B203" s="6"/>
      <c r="C203" s="63"/>
      <c r="D203" s="5"/>
      <c r="E203" s="53"/>
      <c r="F203" s="53"/>
    </row>
    <row r="204" spans="1:6" x14ac:dyDescent="0.2">
      <c r="A204" s="6"/>
      <c r="B204" s="6"/>
      <c r="C204" s="63"/>
      <c r="D204" s="5"/>
      <c r="E204" s="53"/>
      <c r="F204" s="53"/>
    </row>
    <row r="205" spans="1:6" x14ac:dyDescent="0.2">
      <c r="A205" s="6"/>
      <c r="B205" s="6"/>
      <c r="C205" s="63"/>
      <c r="D205" s="5"/>
      <c r="E205" s="53"/>
      <c r="F205" s="53"/>
    </row>
    <row r="206" spans="1:6" x14ac:dyDescent="0.2">
      <c r="C206" s="63"/>
      <c r="D206" s="5"/>
      <c r="E206" s="53"/>
      <c r="F206" s="53"/>
    </row>
  </sheetData>
  <mergeCells count="1">
    <mergeCell ref="A79:C80"/>
  </mergeCells>
  <hyperlinks>
    <hyperlink ref="D79" r:id="rId1" location="sec0135" display="https://www.sciencedirect.com/science/article/pii/S0167880913003496?via%3Dihub - sec0135" xr:uid="{0E95B17D-067C-4315-8617-680B36A409C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C08B-9F7F-4241-B2C2-7519A576C242}">
  <dimension ref="A1:Q55"/>
  <sheetViews>
    <sheetView tabSelected="1" topLeftCell="A26" zoomScale="104" zoomScaleNormal="104" workbookViewId="0">
      <selection activeCell="M52" sqref="M52"/>
    </sheetView>
  </sheetViews>
  <sheetFormatPr baseColWidth="10" defaultColWidth="8.83203125" defaultRowHeight="14" x14ac:dyDescent="0.2"/>
  <cols>
    <col min="1" max="1" width="33.6640625" style="159" customWidth="1"/>
    <col min="2" max="2" width="12.5" style="159" bestFit="1" customWidth="1"/>
    <col min="3" max="7" width="8.83203125" style="159"/>
    <col min="8" max="8" width="18.6640625" style="159" customWidth="1"/>
    <col min="9" max="11" width="8.83203125" style="159"/>
    <col min="12" max="12" width="11.6640625" style="159" bestFit="1" customWidth="1"/>
    <col min="13" max="15" width="8.83203125" style="159"/>
    <col min="16" max="16" width="9.1640625" style="159" bestFit="1" customWidth="1"/>
    <col min="17" max="17" width="18.33203125" style="159" bestFit="1" customWidth="1"/>
    <col min="18" max="16384" width="8.83203125" style="159"/>
  </cols>
  <sheetData>
    <row r="1" spans="1:17" x14ac:dyDescent="0.2">
      <c r="A1" s="158" t="s">
        <v>2</v>
      </c>
      <c r="B1" s="158" t="s">
        <v>137</v>
      </c>
    </row>
    <row r="2" spans="1:17" x14ac:dyDescent="0.2">
      <c r="A2" s="159" t="s">
        <v>3</v>
      </c>
      <c r="B2" s="159" t="s">
        <v>138</v>
      </c>
    </row>
    <row r="3" spans="1:17" x14ac:dyDescent="0.2">
      <c r="A3" s="159" t="s">
        <v>4</v>
      </c>
      <c r="B3" s="159" t="s">
        <v>5</v>
      </c>
    </row>
    <row r="4" spans="1:17" x14ac:dyDescent="0.2">
      <c r="A4" s="159" t="s">
        <v>6</v>
      </c>
      <c r="B4" s="159" t="s">
        <v>139</v>
      </c>
    </row>
    <row r="5" spans="1:17" x14ac:dyDescent="0.2">
      <c r="A5" s="159" t="s">
        <v>9</v>
      </c>
      <c r="B5" s="159" t="s">
        <v>10</v>
      </c>
    </row>
    <row r="6" spans="1:17" x14ac:dyDescent="0.2">
      <c r="A6" s="158" t="s">
        <v>11</v>
      </c>
    </row>
    <row r="7" spans="1:17" x14ac:dyDescent="0.2">
      <c r="A7" s="159" t="s">
        <v>12</v>
      </c>
      <c r="B7" s="159" t="s">
        <v>13</v>
      </c>
      <c r="C7" s="159" t="s">
        <v>29</v>
      </c>
      <c r="D7" s="159" t="s">
        <v>4</v>
      </c>
      <c r="E7" s="159" t="s">
        <v>9</v>
      </c>
      <c r="F7" s="159" t="s">
        <v>7</v>
      </c>
      <c r="G7" s="159" t="s">
        <v>6</v>
      </c>
      <c r="H7" s="159" t="s">
        <v>3</v>
      </c>
      <c r="I7" s="159" t="s">
        <v>266</v>
      </c>
      <c r="J7" s="159" t="s">
        <v>269</v>
      </c>
      <c r="K7" s="159" t="s">
        <v>270</v>
      </c>
      <c r="L7" s="159" t="s">
        <v>271</v>
      </c>
      <c r="M7" s="159" t="s">
        <v>272</v>
      </c>
      <c r="N7" s="159" t="s">
        <v>267</v>
      </c>
    </row>
    <row r="8" spans="1:17" x14ac:dyDescent="0.2">
      <c r="A8" s="159" t="str">
        <f>B1</f>
        <v>supply of rice husk</v>
      </c>
      <c r="B8" s="159">
        <v>1</v>
      </c>
      <c r="D8" s="159" t="s">
        <v>5</v>
      </c>
      <c r="E8" s="159" t="s">
        <v>10</v>
      </c>
      <c r="F8" s="159" t="s">
        <v>14</v>
      </c>
      <c r="G8" s="159" t="str">
        <f>B4</f>
        <v>rice husk, fresh</v>
      </c>
    </row>
    <row r="9" spans="1:17" x14ac:dyDescent="0.2">
      <c r="A9" s="159" t="s">
        <v>173</v>
      </c>
      <c r="B9" s="173">
        <f>'rice_husk (parameters)'!C14*(44/12)*'rice_husk (parameters)'!C4</f>
        <v>1.5043966666666666</v>
      </c>
      <c r="C9" s="159" t="s">
        <v>174</v>
      </c>
      <c r="E9" s="159" t="s">
        <v>10</v>
      </c>
      <c r="F9" s="159" t="s">
        <v>33</v>
      </c>
      <c r="K9" s="162"/>
      <c r="L9" s="163"/>
      <c r="P9" s="162"/>
      <c r="Q9" s="173"/>
    </row>
    <row r="11" spans="1:17" x14ac:dyDescent="0.2">
      <c r="A11" s="158" t="s">
        <v>2</v>
      </c>
      <c r="B11" s="158" t="s">
        <v>140</v>
      </c>
    </row>
    <row r="12" spans="1:17" x14ac:dyDescent="0.2">
      <c r="A12" s="159" t="s">
        <v>3</v>
      </c>
      <c r="B12" s="159" t="s">
        <v>141</v>
      </c>
    </row>
    <row r="13" spans="1:17" x14ac:dyDescent="0.2">
      <c r="A13" s="159" t="s">
        <v>4</v>
      </c>
      <c r="B13" s="159" t="s">
        <v>5</v>
      </c>
    </row>
    <row r="14" spans="1:17" x14ac:dyDescent="0.2">
      <c r="A14" s="159" t="s">
        <v>6</v>
      </c>
      <c r="B14" s="159" t="s">
        <v>142</v>
      </c>
    </row>
    <row r="15" spans="1:17" x14ac:dyDescent="0.2">
      <c r="A15" s="159" t="s">
        <v>9</v>
      </c>
      <c r="B15" s="159" t="s">
        <v>10</v>
      </c>
    </row>
    <row r="16" spans="1:17" x14ac:dyDescent="0.2">
      <c r="A16" s="158" t="s">
        <v>11</v>
      </c>
    </row>
    <row r="17" spans="1:14" x14ac:dyDescent="0.2">
      <c r="A17" s="159" t="s">
        <v>12</v>
      </c>
      <c r="B17" s="159" t="s">
        <v>13</v>
      </c>
      <c r="C17" s="159" t="s">
        <v>29</v>
      </c>
      <c r="D17" s="159" t="s">
        <v>4</v>
      </c>
      <c r="E17" s="159" t="s">
        <v>9</v>
      </c>
      <c r="F17" s="159" t="s">
        <v>7</v>
      </c>
      <c r="G17" s="159" t="s">
        <v>6</v>
      </c>
      <c r="H17" s="159" t="s">
        <v>3</v>
      </c>
      <c r="I17" s="159" t="s">
        <v>266</v>
      </c>
      <c r="J17" s="159" t="s">
        <v>269</v>
      </c>
      <c r="K17" s="159" t="s">
        <v>270</v>
      </c>
      <c r="L17" s="159" t="s">
        <v>271</v>
      </c>
      <c r="M17" s="159" t="s">
        <v>272</v>
      </c>
      <c r="N17" s="159" t="s">
        <v>267</v>
      </c>
    </row>
    <row r="18" spans="1:14" x14ac:dyDescent="0.2">
      <c r="A18" s="159" t="str">
        <f>B11</f>
        <v>drying and chipping of rice husk</v>
      </c>
      <c r="B18" s="159">
        <v>1</v>
      </c>
      <c r="D18" s="159" t="s">
        <v>5</v>
      </c>
      <c r="E18" s="159" t="s">
        <v>10</v>
      </c>
      <c r="F18" s="159" t="s">
        <v>14</v>
      </c>
      <c r="G18" s="159" t="str">
        <f>B14</f>
        <v>rice husk, chipped and dried</v>
      </c>
    </row>
    <row r="19" spans="1:14" x14ac:dyDescent="0.2">
      <c r="A19" s="159" t="str">
        <f>B1</f>
        <v>supply of rice husk</v>
      </c>
      <c r="B19" s="170">
        <f>'rice_husk (parameters)'!C6</f>
        <v>1.1235955056179776</v>
      </c>
      <c r="D19" s="159" t="s">
        <v>5</v>
      </c>
      <c r="E19" s="159" t="s">
        <v>10</v>
      </c>
      <c r="F19" s="159" t="s">
        <v>15</v>
      </c>
      <c r="G19" s="159" t="s">
        <v>139</v>
      </c>
      <c r="H19" s="159" t="str">
        <f>"kg of dry mass but received wet. Conversion factor from wet to dry mass "&amp;TEXT('rice_husk (parameters)'!C4,"0.00")</f>
        <v>kg of dry mass but received wet. Conversion factor from wet to dry mass 0.89</v>
      </c>
    </row>
    <row r="20" spans="1:14" x14ac:dyDescent="0.2">
      <c r="A20" s="159" t="s">
        <v>16</v>
      </c>
      <c r="B20" s="159">
        <f>'rice_husk (parameters)'!C43</f>
        <v>0.29699999999999999</v>
      </c>
      <c r="D20" s="159" t="s">
        <v>17</v>
      </c>
      <c r="E20" s="159" t="s">
        <v>18</v>
      </c>
      <c r="F20" s="159" t="s">
        <v>15</v>
      </c>
      <c r="G20" s="159" t="s">
        <v>19</v>
      </c>
      <c r="H20" s="159" t="str">
        <f>TEXT('rice_husk (parameters)'!E43,"0")&amp;
" MJ of heat needed for "&amp;TEXT('rice_husk (parameters)'!C3,"0")&amp;
" t of feedstock"</f>
        <v>2970 MJ of heat needed for 10000 t of feedstock</v>
      </c>
      <c r="I20" s="159">
        <v>2</v>
      </c>
      <c r="J20" s="159">
        <f>'Uncertainty table'!R44</f>
        <v>-1.2140231401794375</v>
      </c>
      <c r="K20" s="159">
        <f>'Uncertainty table'!S44</f>
        <v>0.26236426446749106</v>
      </c>
    </row>
    <row r="21" spans="1:14" x14ac:dyDescent="0.2">
      <c r="A21" s="159" t="s">
        <v>166</v>
      </c>
      <c r="B21" s="159">
        <v>0.1</v>
      </c>
      <c r="D21" s="159" t="s">
        <v>5</v>
      </c>
      <c r="E21" s="159" t="s">
        <v>20</v>
      </c>
      <c r="F21" s="159" t="s">
        <v>15</v>
      </c>
      <c r="G21" s="159" t="s">
        <v>167</v>
      </c>
      <c r="H21" s="159" t="s">
        <v>21</v>
      </c>
    </row>
    <row r="22" spans="1:14" x14ac:dyDescent="0.2">
      <c r="A22" s="159" t="s">
        <v>22</v>
      </c>
      <c r="B22" s="162">
        <f>'rice_husk (parameters)'!C41</f>
        <v>5.8758333380340005E-3</v>
      </c>
      <c r="D22" s="159" t="s">
        <v>5</v>
      </c>
      <c r="E22" s="159" t="s">
        <v>23</v>
      </c>
      <c r="F22" s="159" t="s">
        <v>15</v>
      </c>
      <c r="G22" s="159" t="s">
        <v>24</v>
      </c>
      <c r="H22" s="159" t="str">
        <f>TEXT('rice_husk (parameters)'!E41,"0.00")&amp;
" kWh for electric chipping and drying for "&amp;TEXT('rice_husk (parameters)'!C3,"0")&amp;
" t of feedstock, conversion rate from GJ to kWh "&amp;TEXT('rice_husk (parameters)'!B33,"0.000")</f>
        <v>58.76 kWh for electric chipping and drying for 10000 t of feedstock, conversion rate from GJ to kWh 277.778</v>
      </c>
      <c r="I22" s="159">
        <v>2</v>
      </c>
      <c r="J22" s="159">
        <f>'Uncertainty table'!R45</f>
        <v>-5.1368790206705057</v>
      </c>
      <c r="K22" s="159">
        <f>'Uncertainty table'!S45</f>
        <v>0.26236426446749106</v>
      </c>
    </row>
    <row r="25" spans="1:14" x14ac:dyDescent="0.2">
      <c r="A25" s="158" t="s">
        <v>2</v>
      </c>
      <c r="B25" s="158" t="s">
        <v>143</v>
      </c>
    </row>
    <row r="26" spans="1:14" x14ac:dyDescent="0.2">
      <c r="A26" s="159" t="s">
        <v>3</v>
      </c>
      <c r="B26" s="159" t="s">
        <v>144</v>
      </c>
    </row>
    <row r="27" spans="1:14" x14ac:dyDescent="0.2">
      <c r="A27" s="159" t="s">
        <v>4</v>
      </c>
      <c r="B27" s="159" t="s">
        <v>5</v>
      </c>
    </row>
    <row r="28" spans="1:14" x14ac:dyDescent="0.2">
      <c r="A28" s="159" t="s">
        <v>6</v>
      </c>
      <c r="B28" s="159" t="s">
        <v>1</v>
      </c>
    </row>
    <row r="29" spans="1:14" x14ac:dyDescent="0.2">
      <c r="A29" s="159" t="s">
        <v>9</v>
      </c>
      <c r="B29" s="159" t="s">
        <v>10</v>
      </c>
    </row>
    <row r="30" spans="1:14" x14ac:dyDescent="0.2">
      <c r="A30" s="158" t="s">
        <v>11</v>
      </c>
    </row>
    <row r="31" spans="1:14" x14ac:dyDescent="0.2">
      <c r="A31" s="159" t="s">
        <v>12</v>
      </c>
      <c r="B31" s="159" t="s">
        <v>13</v>
      </c>
      <c r="C31" s="159" t="s">
        <v>29</v>
      </c>
      <c r="D31" s="159" t="s">
        <v>4</v>
      </c>
      <c r="E31" s="159" t="s">
        <v>9</v>
      </c>
      <c r="F31" s="159" t="s">
        <v>7</v>
      </c>
      <c r="G31" s="159" t="s">
        <v>6</v>
      </c>
      <c r="H31" s="159" t="s">
        <v>3</v>
      </c>
      <c r="I31" s="159" t="s">
        <v>266</v>
      </c>
      <c r="J31" s="159" t="s">
        <v>269</v>
      </c>
      <c r="K31" s="159" t="s">
        <v>270</v>
      </c>
      <c r="L31" s="159" t="s">
        <v>271</v>
      </c>
      <c r="M31" s="159" t="s">
        <v>272</v>
      </c>
      <c r="N31" s="159" t="s">
        <v>267</v>
      </c>
    </row>
    <row r="32" spans="1:14" x14ac:dyDescent="0.2">
      <c r="A32" s="159" t="str">
        <f>B25</f>
        <v>biochar production, from rice husk pyrolysis</v>
      </c>
      <c r="B32" s="159">
        <v>1</v>
      </c>
      <c r="D32" s="159" t="s">
        <v>5</v>
      </c>
      <c r="E32" s="159" t="s">
        <v>10</v>
      </c>
      <c r="F32" s="159" t="s">
        <v>14</v>
      </c>
      <c r="G32" s="159" t="s">
        <v>1</v>
      </c>
    </row>
    <row r="33" spans="1:16" x14ac:dyDescent="0.2">
      <c r="A33" s="159" t="str">
        <f>B11</f>
        <v>drying and chipping of rice husk</v>
      </c>
      <c r="B33" s="159">
        <f>'rice_husk (parameters)'!C12</f>
        <v>1.2992209467916689</v>
      </c>
      <c r="D33" s="159" t="s">
        <v>5</v>
      </c>
      <c r="E33" s="159" t="s">
        <v>10</v>
      </c>
      <c r="F33" s="159" t="s">
        <v>15</v>
      </c>
      <c r="G33" s="159" t="s">
        <v>142</v>
      </c>
      <c r="H33" s="159" t="str">
        <f>"biochar yield rate "&amp;TEXT('rice_husk (parameters)'!B68,"0.00")&amp;
", allocation rate of "&amp;TEXT('rice_husk (parameters)'!E68,"0.00")</f>
        <v>biochar yield rate 0.40, allocation rate of 0.52</v>
      </c>
      <c r="I33" s="159">
        <v>2</v>
      </c>
      <c r="J33" s="159">
        <f>'Uncertainty table'!R46</f>
        <v>0.26176481329407081</v>
      </c>
      <c r="K33" s="159">
        <f>'Uncertainty table'!S46</f>
        <v>0.18232155679395459</v>
      </c>
    </row>
    <row r="34" spans="1:16" x14ac:dyDescent="0.2">
      <c r="A34" s="159" t="s">
        <v>16</v>
      </c>
      <c r="B34" s="159">
        <f>'rice_husk (parameters)'!C30</f>
        <v>0.2267709873689944</v>
      </c>
      <c r="D34" s="159" t="s">
        <v>17</v>
      </c>
      <c r="E34" s="159" t="s">
        <v>18</v>
      </c>
      <c r="F34" s="159" t="s">
        <v>15</v>
      </c>
      <c r="G34" s="159" t="s">
        <v>19</v>
      </c>
      <c r="H34" s="159" t="str">
        <f>"total heat for producing "&amp;TEXT('rice_husk (parameters)'!C9,"0.00")&amp;
" tonnes of biochar is "&amp;TEXT('rice_husk (parameters)'!C26,"0.00")&amp;
" GJ (pre-allocation), allocation rate of "&amp;TEXT('rice_husk (parameters)'!E68,"0.00")</f>
        <v>total heat for producing 3556.24 tonnes of biochar is 1553.44 GJ (pre-allocation), allocation rate of 0.52</v>
      </c>
      <c r="I34" s="159">
        <v>2</v>
      </c>
      <c r="J34" s="159">
        <f>'Uncertainty table'!R47</f>
        <v>-1.483814638591844</v>
      </c>
      <c r="K34" s="159">
        <f>'Uncertainty table'!S47</f>
        <v>0.18232155679395459</v>
      </c>
    </row>
    <row r="35" spans="1:16" x14ac:dyDescent="0.2">
      <c r="A35" s="159" t="s">
        <v>22</v>
      </c>
      <c r="B35" s="163">
        <f>'rice_husk (parameters)'!C31</f>
        <v>1.3089123899824697E-2</v>
      </c>
      <c r="D35" s="159" t="s">
        <v>5</v>
      </c>
      <c r="E35" s="159" t="s">
        <v>23</v>
      </c>
      <c r="F35" s="159" t="s">
        <v>15</v>
      </c>
      <c r="G35" s="159" t="s">
        <v>24</v>
      </c>
      <c r="H35" s="159" t="str">
        <f>"total electricity for producing "&amp;TEXT('rice_husk (parameters)'!C9,"0.00")&amp;
" tonnes of biochar is "&amp;TEXT('rice_husk (parameters)'!C25,"0.00")&amp;
" GJ (pre-allocation), allocation rate of "&amp;TEXT('rice_husk (parameters)'!E68,"0.00")</f>
        <v>total electricity for producing 3556.24 tonnes of biochar is 322.79 GJ (pre-allocation), allocation rate of 0.52</v>
      </c>
      <c r="I35" s="159">
        <v>2</v>
      </c>
      <c r="J35" s="159">
        <f>'Uncertainty table'!R48</f>
        <v>-4.3359736226136398</v>
      </c>
      <c r="K35" s="159">
        <f>'Uncertainty table'!S48</f>
        <v>0.18232155679395459</v>
      </c>
    </row>
    <row r="36" spans="1:16" x14ac:dyDescent="0.2">
      <c r="A36" s="159" t="s">
        <v>25</v>
      </c>
      <c r="B36" s="159">
        <f>'rice_husk (parameters)'!C51</f>
        <v>6.4961047339583451E-9</v>
      </c>
      <c r="D36" s="159" t="s">
        <v>26</v>
      </c>
      <c r="E36" s="159" t="s">
        <v>9</v>
      </c>
      <c r="F36" s="159" t="s">
        <v>15</v>
      </c>
      <c r="G36" s="159" t="s">
        <v>124</v>
      </c>
      <c r="H36" s="159" t="str">
        <f>"lifetime of "&amp;TEXT('rice_husk (parameters)'!C46,"0")&amp;
" years, plant capacity of "&amp;TEXT('rice_husk (parameters)'!C47,"0")&amp;
" tonnes, allocation rate of "&amp;TEXT('rice_husk (parameters)'!E68,"0.00")&amp;
", biochar yield rate of "&amp;TEXT('rice_husk (parameters)'!B68,"0.00")&amp;
", max amount of biochar produced throughout its lifetime "&amp;TEXT('rice_husk (parameters)'!C48,"0.00")&amp; " tonnes "</f>
        <v xml:space="preserve">lifetime of 20 years, plant capacity of 10000 tonnes, allocation rate of 0.52, biochar yield rate of 0.40, max amount of biochar produced throughout its lifetime 79915.60 tonnes </v>
      </c>
    </row>
    <row r="37" spans="1:16" x14ac:dyDescent="0.2">
      <c r="A37" s="159" t="s">
        <v>31</v>
      </c>
      <c r="B37" s="163">
        <f>'rice_husk (parameters)'!C18</f>
        <v>0.4011424462089932</v>
      </c>
      <c r="C37" s="159" t="s">
        <v>32</v>
      </c>
      <c r="E37" s="159" t="s">
        <v>10</v>
      </c>
      <c r="F37" s="159" t="s">
        <v>33</v>
      </c>
      <c r="H37" s="159" t="s">
        <v>344</v>
      </c>
      <c r="I37" s="159">
        <v>2</v>
      </c>
      <c r="J37" s="159">
        <f>'Uncertainty table'!R49</f>
        <v>-0.91343868782104887</v>
      </c>
      <c r="K37" s="159">
        <f>'Uncertainty table'!S49</f>
        <v>0.18232155679395459</v>
      </c>
    </row>
    <row r="39" spans="1:16" x14ac:dyDescent="0.2">
      <c r="A39" s="158" t="s">
        <v>2</v>
      </c>
      <c r="B39" s="158" t="s">
        <v>145</v>
      </c>
    </row>
    <row r="40" spans="1:16" x14ac:dyDescent="0.2">
      <c r="A40" s="159" t="s">
        <v>3</v>
      </c>
      <c r="B40" s="159" t="s">
        <v>27</v>
      </c>
    </row>
    <row r="41" spans="1:16" x14ac:dyDescent="0.2">
      <c r="A41" s="159" t="s">
        <v>4</v>
      </c>
      <c r="B41" s="159" t="s">
        <v>5</v>
      </c>
    </row>
    <row r="42" spans="1:16" x14ac:dyDescent="0.2">
      <c r="A42" s="159" t="s">
        <v>6</v>
      </c>
      <c r="B42" s="159" t="s">
        <v>28</v>
      </c>
    </row>
    <row r="43" spans="1:16" x14ac:dyDescent="0.2">
      <c r="A43" s="159" t="s">
        <v>9</v>
      </c>
      <c r="B43" s="159" t="s">
        <v>10</v>
      </c>
    </row>
    <row r="44" spans="1:16" x14ac:dyDescent="0.2">
      <c r="A44" s="158" t="s">
        <v>11</v>
      </c>
    </row>
    <row r="45" spans="1:16" x14ac:dyDescent="0.2">
      <c r="A45" s="159" t="s">
        <v>12</v>
      </c>
      <c r="B45" s="159" t="s">
        <v>13</v>
      </c>
      <c r="C45" s="159" t="s">
        <v>29</v>
      </c>
      <c r="D45" s="159" t="s">
        <v>4</v>
      </c>
      <c r="E45" s="159" t="s">
        <v>9</v>
      </c>
      <c r="F45" s="159" t="s">
        <v>7</v>
      </c>
      <c r="G45" s="159" t="s">
        <v>6</v>
      </c>
      <c r="H45" s="159" t="s">
        <v>3</v>
      </c>
      <c r="I45" s="159" t="s">
        <v>266</v>
      </c>
      <c r="J45" s="159" t="s">
        <v>269</v>
      </c>
      <c r="K45" s="159" t="s">
        <v>270</v>
      </c>
      <c r="L45" s="159" t="s">
        <v>271</v>
      </c>
      <c r="M45" s="159" t="s">
        <v>272</v>
      </c>
      <c r="N45" s="159" t="s">
        <v>267</v>
      </c>
      <c r="O45" s="159" t="s">
        <v>345</v>
      </c>
      <c r="P45" s="164"/>
    </row>
    <row r="46" spans="1:16" x14ac:dyDescent="0.2">
      <c r="A46" s="159" t="str">
        <f>B39</f>
        <v>carbon dioxide, captured and stored, by rice husk biochar application on mineral soil</v>
      </c>
      <c r="B46" s="159">
        <v>1</v>
      </c>
      <c r="D46" s="159" t="s">
        <v>5</v>
      </c>
      <c r="E46" s="159" t="s">
        <v>10</v>
      </c>
      <c r="F46" s="159" t="s">
        <v>14</v>
      </c>
      <c r="G46" s="159" t="str">
        <f>B42</f>
        <v>carbon dioxide, captured</v>
      </c>
    </row>
    <row r="47" spans="1:16" x14ac:dyDescent="0.2">
      <c r="A47" s="159" t="str">
        <f>A32</f>
        <v>biochar production, from rice husk pyrolysis</v>
      </c>
      <c r="B47" s="165">
        <f>'rice_husk (parameters)'!C22</f>
        <v>0.76610440745649977</v>
      </c>
      <c r="D47" s="159" t="s">
        <v>5</v>
      </c>
      <c r="E47" s="159" t="s">
        <v>10</v>
      </c>
      <c r="F47" s="159" t="s">
        <v>15</v>
      </c>
      <c r="G47" s="159" t="s">
        <v>1</v>
      </c>
      <c r="H47" s="159" t="str">
        <f>"1 kilogram of biochar stores "&amp;TEXT('rice_husk (parameters)'!C21,"0.000")&amp;
" kg of CO2, and "&amp;TEXT('rice_husk (parameters)'!C20,"0.000")&amp;
" of the carbon content is assumed stable. Carbon content: "&amp;TEXT('rice_husk (parameters)'!C17,"0.000")&amp;
" kg C/kg biochar."</f>
        <v>1 kilogram of biochar stores 1.305 kg of CO2, and 0.727 of the carbon content is assumed stable. Carbon content: 1.795 kg C/kg biochar.</v>
      </c>
      <c r="I47" s="159">
        <v>2</v>
      </c>
      <c r="J47" s="159">
        <f>'Uncertainty table'!R50</f>
        <v>-0.26657310924154576</v>
      </c>
      <c r="K47" s="159">
        <f>'Uncertainty table'!S50</f>
        <v>0.18232155679395459</v>
      </c>
    </row>
    <row r="48" spans="1:16" x14ac:dyDescent="0.2">
      <c r="A48" s="159" t="s">
        <v>166</v>
      </c>
      <c r="B48" s="159">
        <v>0.1</v>
      </c>
      <c r="D48" s="159" t="s">
        <v>5</v>
      </c>
      <c r="E48" s="159" t="s">
        <v>20</v>
      </c>
      <c r="F48" s="159" t="s">
        <v>15</v>
      </c>
      <c r="G48" s="159" t="s">
        <v>167</v>
      </c>
      <c r="H48" s="159" t="s">
        <v>30</v>
      </c>
    </row>
    <row r="49" spans="1:15" x14ac:dyDescent="0.2">
      <c r="A49" s="159" t="s">
        <v>168</v>
      </c>
      <c r="B49" s="159">
        <v>5.0000000000000001E-3</v>
      </c>
      <c r="D49" s="159" t="s">
        <v>26</v>
      </c>
      <c r="E49" s="159" t="s">
        <v>20</v>
      </c>
      <c r="F49" s="159" t="s">
        <v>15</v>
      </c>
      <c r="G49" s="159" t="s">
        <v>169</v>
      </c>
    </row>
    <row r="50" spans="1:15" x14ac:dyDescent="0.2">
      <c r="A50" s="159" t="s">
        <v>31</v>
      </c>
      <c r="B50" s="165">
        <f>'rice_husk (parameters)'!C23</f>
        <v>0.37513751375137533</v>
      </c>
      <c r="C50" s="159" t="s">
        <v>32</v>
      </c>
      <c r="E50" s="159" t="s">
        <v>10</v>
      </c>
      <c r="F50" s="159" t="s">
        <v>33</v>
      </c>
      <c r="H50" s="159" t="s">
        <v>118</v>
      </c>
      <c r="I50" s="159">
        <v>2</v>
      </c>
      <c r="J50" s="159">
        <f>'Uncertainty table'!R51</f>
        <v>-0.98082925301172619</v>
      </c>
      <c r="K50" s="159">
        <f>'Uncertainty table'!S51</f>
        <v>0.18232155679395459</v>
      </c>
    </row>
    <row r="51" spans="1:15" x14ac:dyDescent="0.2">
      <c r="A51" s="168" t="s">
        <v>186</v>
      </c>
      <c r="B51" s="166">
        <f>-B47*'Uncertainty table'!E52</f>
        <v>-1.0009828255297731E-2</v>
      </c>
      <c r="C51" s="159" t="s">
        <v>233</v>
      </c>
      <c r="E51" s="159" t="s">
        <v>10</v>
      </c>
      <c r="F51" s="159" t="s">
        <v>33</v>
      </c>
      <c r="H51" s="159" t="s">
        <v>201</v>
      </c>
      <c r="I51" s="159">
        <v>5</v>
      </c>
      <c r="J51" s="170">
        <f>B51</f>
        <v>-1.0009828255297731E-2</v>
      </c>
      <c r="K51" s="166"/>
      <c r="M51" s="159">
        <f>-B47*'Uncertainty table'!V52</f>
        <v>-1.3346437673730309E-2</v>
      </c>
      <c r="N51" s="159">
        <f>-B47*'Uncertainty table'!U52</f>
        <v>-5.0049141276488655E-3</v>
      </c>
    </row>
    <row r="52" spans="1:15" x14ac:dyDescent="0.2">
      <c r="A52" s="168" t="s">
        <v>202</v>
      </c>
      <c r="B52" s="166">
        <f>-21.7*B47*0.001</f>
        <v>-1.6624465641806044E-2</v>
      </c>
      <c r="C52" s="159" t="s">
        <v>233</v>
      </c>
      <c r="E52" s="159" t="s">
        <v>10</v>
      </c>
      <c r="F52" s="159" t="s">
        <v>33</v>
      </c>
      <c r="H52" s="159" t="s">
        <v>191</v>
      </c>
      <c r="I52" s="159">
        <v>5</v>
      </c>
      <c r="J52" s="170">
        <f t="shared" ref="J52:J53" si="0">B52</f>
        <v>-1.6624465641806044E-2</v>
      </c>
      <c r="M52" s="159">
        <f>-B47*'Uncertainty table'!V53</f>
        <v>-1.6981435199728966E-2</v>
      </c>
      <c r="N52" s="159">
        <f>-B47*'Uncertainty table'!U53</f>
        <v>-6.3680381998983621E-3</v>
      </c>
    </row>
    <row r="53" spans="1:15" x14ac:dyDescent="0.2">
      <c r="A53" s="168" t="s">
        <v>183</v>
      </c>
      <c r="B53" s="166">
        <f>-'Uncertainty table'!E54*rice_husk!B47</f>
        <v>-9.1502744322196879E-4</v>
      </c>
      <c r="C53" s="159" t="s">
        <v>233</v>
      </c>
      <c r="E53" s="159" t="s">
        <v>10</v>
      </c>
      <c r="F53" s="159" t="s">
        <v>33</v>
      </c>
      <c r="H53" s="169" t="s">
        <v>215</v>
      </c>
      <c r="I53" s="159">
        <v>5</v>
      </c>
      <c r="J53" s="170">
        <f t="shared" si="0"/>
        <v>-9.1502744322196879E-4</v>
      </c>
      <c r="M53" s="159">
        <f>-B47*'Uncertainty table'!V54</f>
        <v>-1.2200365909626253E-3</v>
      </c>
      <c r="N53" s="159">
        <f>-B47*'Uncertainty table'!U54</f>
        <v>-4.5751372161098439E-4</v>
      </c>
    </row>
    <row r="54" spans="1:15" x14ac:dyDescent="0.2">
      <c r="A54" s="168" t="s">
        <v>189</v>
      </c>
      <c r="B54" s="166">
        <f>-B47*'Uncertainty table'!E55</f>
        <v>-6.3928348384615086E-3</v>
      </c>
      <c r="C54" s="159" t="s">
        <v>233</v>
      </c>
      <c r="E54" s="159" t="s">
        <v>10</v>
      </c>
      <c r="F54" s="159" t="s">
        <v>33</v>
      </c>
      <c r="H54" s="169" t="s">
        <v>215</v>
      </c>
      <c r="I54" s="159">
        <v>5</v>
      </c>
      <c r="J54" s="170">
        <f>B54</f>
        <v>-6.3928348384615086E-3</v>
      </c>
      <c r="M54" s="159">
        <f>-B47*'Uncertainty table'!V55</f>
        <v>-8.5237797846153453E-3</v>
      </c>
      <c r="N54" s="159">
        <f>-B47*'Uncertainty table'!U55</f>
        <v>-3.1964174192307543E-3</v>
      </c>
    </row>
    <row r="55" spans="1:15" x14ac:dyDescent="0.2">
      <c r="A55" s="159" t="s">
        <v>250</v>
      </c>
      <c r="B55" s="166">
        <f>-'Uncertainty table'!E69*B47</f>
        <v>-3.2942489520629494E-5</v>
      </c>
      <c r="C55" s="159" t="s">
        <v>251</v>
      </c>
      <c r="E55" s="159" t="s">
        <v>10</v>
      </c>
      <c r="F55" s="159" t="s">
        <v>33</v>
      </c>
      <c r="I55" s="159">
        <v>2</v>
      </c>
      <c r="J55" s="170">
        <f>'Uncertainty table'!R69</f>
        <v>-10.054310442270712</v>
      </c>
      <c r="K55" s="166">
        <f>'Uncertainty table'!S69</f>
        <v>0.55050092197650435</v>
      </c>
      <c r="M55" s="159" t="str">
        <f>'Uncertainty table'!U56</f>
        <v/>
      </c>
      <c r="N55" s="159" t="str">
        <f>'Uncertainty table'!V56</f>
        <v/>
      </c>
      <c r="O55" s="159" t="b">
        <v>1</v>
      </c>
    </row>
  </sheetData>
  <autoFilter ref="A1:Q55" xr:uid="{5F4BC08B-9F7F-4241-B2C2-7519A576C2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DC55-9632-5444-901B-DB23B1789476}">
  <dimension ref="A1:P216"/>
  <sheetViews>
    <sheetView topLeftCell="A76" workbookViewId="0">
      <selection activeCell="B100" sqref="B100"/>
    </sheetView>
  </sheetViews>
  <sheetFormatPr baseColWidth="10" defaultColWidth="8.83203125" defaultRowHeight="15" x14ac:dyDescent="0.2"/>
  <cols>
    <col min="1" max="1" width="46.6640625" style="3" customWidth="1"/>
    <col min="2" max="2" width="25.83203125" style="3" customWidth="1"/>
    <col min="3" max="3" width="19.5" style="66" customWidth="1"/>
    <col min="4" max="4" width="8.83203125" style="2"/>
    <col min="5" max="5" width="15" bestFit="1" customWidth="1"/>
    <col min="6" max="6" width="38" customWidth="1"/>
    <col min="7" max="16" width="8.83203125" style="53"/>
  </cols>
  <sheetData>
    <row r="1" spans="1:8" ht="16" thickBot="1" x14ac:dyDescent="0.25">
      <c r="A1" s="3" t="s">
        <v>129</v>
      </c>
    </row>
    <row r="2" spans="1:8" ht="16" x14ac:dyDescent="0.2">
      <c r="A2" s="25" t="s">
        <v>34</v>
      </c>
      <c r="B2" s="26" t="s">
        <v>35</v>
      </c>
      <c r="C2" s="59" t="s">
        <v>36</v>
      </c>
      <c r="D2" s="27" t="s">
        <v>37</v>
      </c>
      <c r="E2" s="53"/>
      <c r="F2" s="4" t="s">
        <v>38</v>
      </c>
    </row>
    <row r="3" spans="1:8" ht="16" x14ac:dyDescent="0.2">
      <c r="A3" s="28" t="s">
        <v>39</v>
      </c>
      <c r="B3" s="29"/>
      <c r="C3" s="68">
        <v>10000</v>
      </c>
      <c r="D3" s="21" t="s">
        <v>40</v>
      </c>
      <c r="E3" s="53"/>
      <c r="F3" s="123" t="s">
        <v>41</v>
      </c>
      <c r="H3" s="53">
        <f>44/12</f>
        <v>3.6666666666666665</v>
      </c>
    </row>
    <row r="4" spans="1:8" ht="16" x14ac:dyDescent="0.2">
      <c r="A4" s="28" t="s">
        <v>42</v>
      </c>
      <c r="B4" s="29"/>
      <c r="C4" s="114">
        <v>0.89</v>
      </c>
      <c r="D4" s="21"/>
      <c r="E4" s="53"/>
      <c r="F4" s="129" t="s">
        <v>43</v>
      </c>
    </row>
    <row r="5" spans="1:8" ht="17" x14ac:dyDescent="0.2">
      <c r="A5" s="28" t="s">
        <v>44</v>
      </c>
      <c r="B5" s="31" t="s">
        <v>45</v>
      </c>
      <c r="C5" s="68">
        <f>C3*C4</f>
        <v>8900</v>
      </c>
      <c r="D5" s="21" t="s">
        <v>40</v>
      </c>
      <c r="E5" s="53"/>
      <c r="F5" s="53"/>
    </row>
    <row r="6" spans="1:8" ht="17" x14ac:dyDescent="0.2">
      <c r="A6" s="28" t="s">
        <v>46</v>
      </c>
      <c r="B6" s="31" t="s">
        <v>47</v>
      </c>
      <c r="C6" s="124">
        <f>1/C4</f>
        <v>1.1235955056179776</v>
      </c>
      <c r="D6" s="21" t="s">
        <v>48</v>
      </c>
      <c r="E6" s="53"/>
      <c r="F6" s="53"/>
    </row>
    <row r="7" spans="1:8" x14ac:dyDescent="0.2">
      <c r="A7" s="32"/>
      <c r="B7" s="33"/>
      <c r="C7" s="61"/>
      <c r="D7" s="34"/>
      <c r="E7" s="53"/>
      <c r="F7" s="53"/>
    </row>
    <row r="8" spans="1:8" ht="16" x14ac:dyDescent="0.2">
      <c r="A8" s="28" t="s">
        <v>49</v>
      </c>
      <c r="B8" s="29"/>
      <c r="C8" s="114">
        <f>B68</f>
        <v>0.3995780239618355</v>
      </c>
      <c r="D8" s="21"/>
      <c r="E8" s="53"/>
      <c r="F8" s="53"/>
    </row>
    <row r="9" spans="1:8" ht="17" x14ac:dyDescent="0.2">
      <c r="A9" s="28" t="s">
        <v>50</v>
      </c>
      <c r="B9" s="31" t="s">
        <v>51</v>
      </c>
      <c r="C9" s="60">
        <f>C5*C8</f>
        <v>3556.2444132603359</v>
      </c>
      <c r="D9" s="21" t="s">
        <v>40</v>
      </c>
      <c r="E9" s="53"/>
      <c r="F9" s="53"/>
    </row>
    <row r="10" spans="1:8" ht="16" x14ac:dyDescent="0.2">
      <c r="A10" s="28" t="s">
        <v>52</v>
      </c>
      <c r="B10" s="31"/>
      <c r="C10" s="60">
        <f>1000*C9</f>
        <v>3556244.413260336</v>
      </c>
      <c r="D10" s="21" t="s">
        <v>48</v>
      </c>
      <c r="E10" s="53"/>
      <c r="F10" s="53"/>
    </row>
    <row r="11" spans="1:8" ht="17" x14ac:dyDescent="0.2">
      <c r="A11" s="28" t="s">
        <v>53</v>
      </c>
      <c r="B11" s="31" t="s">
        <v>54</v>
      </c>
      <c r="C11" s="60">
        <f>C5/C9</f>
        <v>2.5026401354232433</v>
      </c>
      <c r="D11" s="21" t="s">
        <v>48</v>
      </c>
      <c r="E11" s="53"/>
      <c r="F11" s="53"/>
    </row>
    <row r="12" spans="1:8" ht="34" x14ac:dyDescent="0.2">
      <c r="A12" s="28" t="s">
        <v>55</v>
      </c>
      <c r="B12" s="31" t="s">
        <v>56</v>
      </c>
      <c r="C12" s="125">
        <f>C11*C27</f>
        <v>1.2992209467916689</v>
      </c>
      <c r="D12" s="21" t="s">
        <v>48</v>
      </c>
      <c r="E12" s="53"/>
      <c r="F12" s="53"/>
    </row>
    <row r="13" spans="1:8" ht="16" x14ac:dyDescent="0.2">
      <c r="A13" s="35"/>
      <c r="B13" s="36"/>
      <c r="C13" s="61"/>
      <c r="D13" s="34"/>
      <c r="E13" s="53"/>
      <c r="F13" s="53"/>
    </row>
    <row r="14" spans="1:8" ht="16" x14ac:dyDescent="0.2">
      <c r="A14" s="28" t="s">
        <v>57</v>
      </c>
      <c r="B14" s="31"/>
      <c r="C14" s="115">
        <v>0.46100000000000002</v>
      </c>
      <c r="D14" s="21"/>
      <c r="E14" s="53"/>
      <c r="F14" s="53"/>
    </row>
    <row r="15" spans="1:8" ht="16" x14ac:dyDescent="0.2">
      <c r="A15" s="28" t="s">
        <v>175</v>
      </c>
      <c r="B15" s="31"/>
      <c r="C15" s="60">
        <f>C14*C12*H3</f>
        <v>2.196116473726851</v>
      </c>
      <c r="D15" s="21" t="s">
        <v>48</v>
      </c>
      <c r="E15" s="53"/>
      <c r="F15" s="53"/>
    </row>
    <row r="16" spans="1:8" ht="16" x14ac:dyDescent="0.2">
      <c r="A16" s="28" t="s">
        <v>176</v>
      </c>
      <c r="B16" s="31"/>
      <c r="C16" s="114">
        <v>0.81734008600725672</v>
      </c>
      <c r="D16" s="21"/>
      <c r="E16" s="53"/>
      <c r="F16" s="53"/>
    </row>
    <row r="17" spans="1:6" ht="16" x14ac:dyDescent="0.2">
      <c r="A17" s="28" t="s">
        <v>177</v>
      </c>
      <c r="B17" s="31"/>
      <c r="C17" s="60">
        <f>C16*C15</f>
        <v>1.7949740275178578</v>
      </c>
      <c r="D17" s="21"/>
      <c r="E17" s="53"/>
      <c r="F17" s="53"/>
    </row>
    <row r="18" spans="1:6" ht="16" x14ac:dyDescent="0.2">
      <c r="A18" s="28" t="s">
        <v>178</v>
      </c>
      <c r="B18" s="31"/>
      <c r="C18" s="124">
        <f>C15-C17</f>
        <v>0.4011424462089932</v>
      </c>
      <c r="D18" s="21" t="s">
        <v>48</v>
      </c>
      <c r="E18" s="53"/>
      <c r="F18" s="53"/>
    </row>
    <row r="19" spans="1:6" ht="16" x14ac:dyDescent="0.2">
      <c r="A19" s="28"/>
      <c r="B19" s="31"/>
      <c r="C19" s="60"/>
      <c r="D19" s="21"/>
      <c r="E19" s="53"/>
      <c r="F19" s="53"/>
    </row>
    <row r="20" spans="1:6" ht="16" x14ac:dyDescent="0.2">
      <c r="A20" s="28" t="s">
        <v>179</v>
      </c>
      <c r="B20" s="31"/>
      <c r="C20" s="60">
        <v>0.72719999999999996</v>
      </c>
      <c r="D20" s="34" t="s">
        <v>48</v>
      </c>
      <c r="E20" s="53"/>
      <c r="F20" s="53"/>
    </row>
    <row r="21" spans="1:6" ht="16" x14ac:dyDescent="0.2">
      <c r="A21" s="28" t="s">
        <v>180</v>
      </c>
      <c r="B21" s="31"/>
      <c r="C21" s="60">
        <f>C20*C17</f>
        <v>1.305305112810986</v>
      </c>
      <c r="D21" s="34" t="s">
        <v>48</v>
      </c>
      <c r="E21" s="53"/>
      <c r="F21" s="53"/>
    </row>
    <row r="22" spans="1:6" ht="16" x14ac:dyDescent="0.2">
      <c r="A22" s="28" t="s">
        <v>181</v>
      </c>
      <c r="B22" s="31"/>
      <c r="C22" s="124">
        <f>1/C21</f>
        <v>0.76610440745649977</v>
      </c>
      <c r="D22" s="34" t="s">
        <v>48</v>
      </c>
      <c r="E22" s="53"/>
      <c r="F22" s="53"/>
    </row>
    <row r="23" spans="1:6" ht="16" x14ac:dyDescent="0.2">
      <c r="A23" s="37" t="s">
        <v>182</v>
      </c>
      <c r="B23" s="36"/>
      <c r="C23" s="124">
        <f>(C17-C21)*C22</f>
        <v>0.37513751375137533</v>
      </c>
      <c r="D23" s="34" t="s">
        <v>48</v>
      </c>
      <c r="E23" s="53"/>
      <c r="F23" s="53"/>
    </row>
    <row r="24" spans="1:6" ht="16" x14ac:dyDescent="0.2">
      <c r="A24" s="28"/>
      <c r="B24" s="31"/>
      <c r="C24" s="60"/>
      <c r="D24" s="21"/>
      <c r="E24" s="53"/>
      <c r="F24" s="53"/>
    </row>
    <row r="25" spans="1:6" ht="16" x14ac:dyDescent="0.2">
      <c r="A25" s="28" t="s">
        <v>58</v>
      </c>
      <c r="B25" s="29"/>
      <c r="C25" s="116">
        <v>322.79000000000002</v>
      </c>
      <c r="D25" s="21" t="s">
        <v>59</v>
      </c>
      <c r="E25" s="53"/>
      <c r="F25" s="53"/>
    </row>
    <row r="26" spans="1:6" ht="16" x14ac:dyDescent="0.2">
      <c r="A26" s="28" t="s">
        <v>60</v>
      </c>
      <c r="B26" s="29"/>
      <c r="C26" s="116">
        <v>1553.44</v>
      </c>
      <c r="D26" s="21" t="s">
        <v>59</v>
      </c>
      <c r="E26" s="53"/>
      <c r="F26" s="53"/>
    </row>
    <row r="27" spans="1:6" ht="16" x14ac:dyDescent="0.2">
      <c r="A27" s="28" t="s">
        <v>61</v>
      </c>
      <c r="B27" s="29"/>
      <c r="C27" s="114">
        <f>E68</f>
        <v>0.51914013860884012</v>
      </c>
      <c r="D27" s="21"/>
      <c r="E27" s="53"/>
      <c r="F27" s="53"/>
    </row>
    <row r="28" spans="1:6" ht="34" x14ac:dyDescent="0.2">
      <c r="A28" s="28" t="s">
        <v>62</v>
      </c>
      <c r="B28" s="31" t="s">
        <v>63</v>
      </c>
      <c r="C28" s="60">
        <f>C26*C27</f>
        <v>806.45305692051659</v>
      </c>
      <c r="D28" s="21" t="s">
        <v>59</v>
      </c>
      <c r="E28" s="53"/>
      <c r="F28" s="53"/>
    </row>
    <row r="29" spans="1:6" ht="34" x14ac:dyDescent="0.2">
      <c r="A29" s="28" t="s">
        <v>64</v>
      </c>
      <c r="B29" s="31" t="s">
        <v>65</v>
      </c>
      <c r="C29" s="60">
        <f>C25*C27</f>
        <v>167.5732453415475</v>
      </c>
      <c r="D29" s="21" t="s">
        <v>59</v>
      </c>
      <c r="E29" s="53"/>
      <c r="F29" s="53"/>
    </row>
    <row r="30" spans="1:6" ht="17" x14ac:dyDescent="0.2">
      <c r="A30" s="28" t="s">
        <v>66</v>
      </c>
      <c r="B30" s="31" t="s">
        <v>67</v>
      </c>
      <c r="C30" s="124">
        <f>((C28*B32)/C10)</f>
        <v>0.2267709873689944</v>
      </c>
      <c r="D30" s="21" t="s">
        <v>68</v>
      </c>
      <c r="E30" s="53"/>
      <c r="F30" s="53"/>
    </row>
    <row r="31" spans="1:6" ht="34" x14ac:dyDescent="0.2">
      <c r="A31" s="28" t="s">
        <v>69</v>
      </c>
      <c r="B31" s="31" t="s">
        <v>70</v>
      </c>
      <c r="C31" s="124">
        <f>((C29*B33)/C10)</f>
        <v>1.3089123899824697E-2</v>
      </c>
      <c r="D31" s="21" t="s">
        <v>71</v>
      </c>
      <c r="E31" s="53"/>
      <c r="F31" s="53"/>
    </row>
    <row r="32" spans="1:6" ht="16" x14ac:dyDescent="0.2">
      <c r="A32" s="28" t="s">
        <v>72</v>
      </c>
      <c r="B32" s="6">
        <v>1000</v>
      </c>
      <c r="C32" s="63"/>
      <c r="D32" s="21"/>
      <c r="E32" s="53"/>
      <c r="F32" s="53"/>
    </row>
    <row r="33" spans="1:6" ht="16" x14ac:dyDescent="0.2">
      <c r="A33" s="28" t="s">
        <v>73</v>
      </c>
      <c r="B33" s="6">
        <v>277.77777800000001</v>
      </c>
      <c r="C33" s="63"/>
      <c r="D33" s="21"/>
      <c r="E33" s="53"/>
      <c r="F33" s="53"/>
    </row>
    <row r="34" spans="1:6" x14ac:dyDescent="0.2">
      <c r="A34" s="32"/>
      <c r="B34" s="33"/>
      <c r="C34" s="61"/>
      <c r="D34" s="34"/>
      <c r="E34" s="53"/>
      <c r="F34" s="53"/>
    </row>
    <row r="35" spans="1:6" ht="16" x14ac:dyDescent="0.2">
      <c r="A35" s="28" t="s">
        <v>74</v>
      </c>
      <c r="B35" s="6"/>
      <c r="C35" s="63"/>
      <c r="D35" s="21"/>
      <c r="E35" s="53"/>
      <c r="F35" s="53"/>
    </row>
    <row r="36" spans="1:6" x14ac:dyDescent="0.2">
      <c r="A36" s="39"/>
      <c r="B36" s="6"/>
      <c r="C36" s="63"/>
      <c r="D36" s="21"/>
      <c r="E36" s="53"/>
      <c r="F36" s="53"/>
    </row>
    <row r="37" spans="1:6" ht="17" x14ac:dyDescent="0.2">
      <c r="A37" s="28" t="s">
        <v>75</v>
      </c>
      <c r="B37" s="31" t="s">
        <v>76</v>
      </c>
      <c r="C37" s="115">
        <f>1-C4</f>
        <v>0.10999999999999999</v>
      </c>
      <c r="D37" s="21"/>
      <c r="E37" s="53"/>
      <c r="F37" s="53"/>
    </row>
    <row r="38" spans="1:6" ht="34" x14ac:dyDescent="0.2">
      <c r="A38" s="28" t="s">
        <v>77</v>
      </c>
      <c r="B38" s="31" t="s">
        <v>78</v>
      </c>
      <c r="C38" s="58">
        <f>C3*B71*B73</f>
        <v>77</v>
      </c>
      <c r="D38" s="21" t="s">
        <v>59</v>
      </c>
      <c r="E38" s="53"/>
      <c r="F38" s="53"/>
    </row>
    <row r="39" spans="1:6" ht="16" x14ac:dyDescent="0.2">
      <c r="A39" s="28" t="s">
        <v>79</v>
      </c>
      <c r="B39" s="6"/>
      <c r="C39" s="63">
        <f>(C38/10000)*B33*0.001</f>
        <v>2.1388888906000002E-3</v>
      </c>
      <c r="D39" s="21" t="s">
        <v>71</v>
      </c>
      <c r="E39" s="53"/>
      <c r="F39" s="53"/>
    </row>
    <row r="40" spans="1:6" ht="51" x14ac:dyDescent="0.2">
      <c r="A40" s="28" t="s">
        <v>80</v>
      </c>
      <c r="B40" s="31" t="s">
        <v>81</v>
      </c>
      <c r="C40" s="60">
        <f>(C37*B74*B33)/1000</f>
        <v>3.7369444474339999E-3</v>
      </c>
      <c r="D40" s="21" t="s">
        <v>71</v>
      </c>
      <c r="E40" s="53"/>
      <c r="F40" s="53"/>
    </row>
    <row r="41" spans="1:6" ht="16" x14ac:dyDescent="0.2">
      <c r="A41" s="28" t="s">
        <v>82</v>
      </c>
      <c r="B41" s="29"/>
      <c r="C41" s="124">
        <f>SUM(C39:C40)</f>
        <v>5.8758333380340005E-3</v>
      </c>
      <c r="D41" s="21" t="s">
        <v>71</v>
      </c>
      <c r="E41" s="53">
        <f>C41*C3</f>
        <v>58.758333380340005</v>
      </c>
      <c r="F41" s="53"/>
    </row>
    <row r="42" spans="1:6" ht="16" x14ac:dyDescent="0.2">
      <c r="A42" s="28" t="s">
        <v>83</v>
      </c>
      <c r="B42" s="6"/>
      <c r="C42" s="60">
        <v>2.7</v>
      </c>
      <c r="D42" s="21" t="s">
        <v>84</v>
      </c>
      <c r="E42" s="53"/>
      <c r="F42" s="53"/>
    </row>
    <row r="43" spans="1:6" ht="34" x14ac:dyDescent="0.2">
      <c r="A43" s="28" t="s">
        <v>85</v>
      </c>
      <c r="B43" s="31" t="s">
        <v>86</v>
      </c>
      <c r="C43" s="124">
        <f>C37*C42*B32/1000</f>
        <v>0.29699999999999999</v>
      </c>
      <c r="D43" s="21" t="s">
        <v>68</v>
      </c>
      <c r="E43" s="53">
        <f>C43*C3</f>
        <v>2970</v>
      </c>
      <c r="F43" s="53"/>
    </row>
    <row r="44" spans="1:6" x14ac:dyDescent="0.2">
      <c r="A44" s="40"/>
      <c r="B44" s="41"/>
      <c r="C44" s="62"/>
      <c r="D44" s="42"/>
      <c r="E44" s="53"/>
      <c r="F44" s="53"/>
    </row>
    <row r="45" spans="1:6" x14ac:dyDescent="0.2">
      <c r="A45" s="43" t="s">
        <v>87</v>
      </c>
      <c r="B45" s="29"/>
      <c r="C45" s="60"/>
      <c r="D45" s="44"/>
      <c r="E45" s="53"/>
      <c r="F45" s="53"/>
    </row>
    <row r="46" spans="1:6" ht="16" x14ac:dyDescent="0.2">
      <c r="A46" s="39" t="s">
        <v>114</v>
      </c>
      <c r="B46" s="29"/>
      <c r="C46" s="69">
        <v>20</v>
      </c>
      <c r="D46" s="44" t="s">
        <v>112</v>
      </c>
      <c r="E46" s="53"/>
      <c r="F46" s="53"/>
    </row>
    <row r="47" spans="1:6" ht="16" x14ac:dyDescent="0.2">
      <c r="A47" s="45" t="s">
        <v>115</v>
      </c>
      <c r="B47" s="6"/>
      <c r="C47" s="68">
        <v>10000</v>
      </c>
      <c r="D47" s="21" t="s">
        <v>113</v>
      </c>
      <c r="E47" s="53"/>
      <c r="F47" s="53"/>
    </row>
    <row r="48" spans="1:6" ht="16" x14ac:dyDescent="0.2">
      <c r="A48" s="45" t="s">
        <v>117</v>
      </c>
      <c r="B48" s="6"/>
      <c r="C48" s="30">
        <f>C47*C8*C46</f>
        <v>79915.604792367099</v>
      </c>
      <c r="D48" s="21" t="s">
        <v>40</v>
      </c>
      <c r="E48" s="53"/>
      <c r="F48" s="53"/>
    </row>
    <row r="49" spans="1:6" ht="16" x14ac:dyDescent="0.2">
      <c r="A49" s="45" t="s">
        <v>116</v>
      </c>
      <c r="B49" s="46"/>
      <c r="C49" s="38">
        <f>C48*1000</f>
        <v>79915604.792367101</v>
      </c>
      <c r="D49" s="21" t="s">
        <v>48</v>
      </c>
      <c r="E49" s="53"/>
      <c r="F49" s="53"/>
    </row>
    <row r="50" spans="1:6" ht="16" x14ac:dyDescent="0.2">
      <c r="A50" s="47" t="s">
        <v>111</v>
      </c>
      <c r="B50" s="6"/>
      <c r="C50" s="48">
        <f>1/C49</f>
        <v>1.2513200677116217E-8</v>
      </c>
      <c r="D50" s="21"/>
      <c r="E50" s="53"/>
      <c r="F50" s="53"/>
    </row>
    <row r="51" spans="1:6" ht="16" x14ac:dyDescent="0.2">
      <c r="A51" s="49" t="s">
        <v>88</v>
      </c>
      <c r="B51" s="6"/>
      <c r="C51" s="127">
        <f>C50*E68</f>
        <v>6.4961047339583451E-9</v>
      </c>
      <c r="D51" s="21"/>
      <c r="E51" s="53"/>
      <c r="F51" s="53"/>
    </row>
    <row r="52" spans="1:6" ht="16" thickBot="1" x14ac:dyDescent="0.25">
      <c r="A52" s="50"/>
      <c r="B52" s="51"/>
      <c r="C52" s="64"/>
      <c r="D52" s="52"/>
      <c r="E52" s="53"/>
      <c r="F52" s="53"/>
    </row>
    <row r="53" spans="1:6" ht="16" thickBot="1" x14ac:dyDescent="0.25">
      <c r="A53" s="6"/>
      <c r="B53" s="6"/>
      <c r="C53" s="63"/>
      <c r="D53" s="5"/>
      <c r="E53" s="53"/>
      <c r="F53" s="53"/>
    </row>
    <row r="54" spans="1:6" x14ac:dyDescent="0.2">
      <c r="A54" s="18" t="s">
        <v>89</v>
      </c>
      <c r="B54" s="19" t="s">
        <v>90</v>
      </c>
      <c r="C54" s="63"/>
      <c r="D54" s="5"/>
      <c r="E54" s="53"/>
      <c r="F54" s="53"/>
    </row>
    <row r="55" spans="1:6" x14ac:dyDescent="0.2">
      <c r="A55" s="20" t="s">
        <v>91</v>
      </c>
      <c r="B55" s="21">
        <v>33.9</v>
      </c>
      <c r="C55" s="63"/>
      <c r="D55" s="5"/>
      <c r="E55" s="53"/>
      <c r="F55" s="53"/>
    </row>
    <row r="56" spans="1:6" x14ac:dyDescent="0.2">
      <c r="A56" s="20" t="s">
        <v>92</v>
      </c>
      <c r="B56" s="21">
        <v>32.07</v>
      </c>
      <c r="C56" s="63"/>
      <c r="D56" s="5"/>
      <c r="E56" s="53"/>
      <c r="F56" s="53"/>
    </row>
    <row r="57" spans="1:6" x14ac:dyDescent="0.2">
      <c r="A57" s="20" t="s">
        <v>93</v>
      </c>
      <c r="B57" s="21">
        <v>21.61</v>
      </c>
      <c r="C57" s="63"/>
      <c r="D57" s="5"/>
      <c r="E57" s="53"/>
      <c r="F57" s="53"/>
    </row>
    <row r="58" spans="1:6" x14ac:dyDescent="0.2">
      <c r="A58" s="20" t="s">
        <v>94</v>
      </c>
      <c r="B58" s="21">
        <v>25.63</v>
      </c>
      <c r="C58" s="63"/>
      <c r="D58" s="5"/>
      <c r="E58" s="53"/>
      <c r="F58" s="53"/>
    </row>
    <row r="59" spans="1:6" x14ac:dyDescent="0.2">
      <c r="A59" s="20" t="s">
        <v>95</v>
      </c>
      <c r="B59" s="21">
        <v>30.8</v>
      </c>
      <c r="C59" s="63"/>
      <c r="D59" s="5"/>
      <c r="E59" s="53"/>
      <c r="F59" s="53"/>
    </row>
    <row r="60" spans="1:6" x14ac:dyDescent="0.2">
      <c r="A60" s="20" t="s">
        <v>96</v>
      </c>
      <c r="B60" s="21">
        <v>34.9</v>
      </c>
      <c r="C60" s="63"/>
      <c r="D60" s="5"/>
      <c r="E60" s="53"/>
      <c r="F60" s="53"/>
    </row>
    <row r="61" spans="1:6" x14ac:dyDescent="0.2">
      <c r="A61" s="22" t="s">
        <v>97</v>
      </c>
      <c r="B61" s="23" t="s">
        <v>90</v>
      </c>
      <c r="C61" s="63"/>
      <c r="D61" s="5"/>
      <c r="E61" s="53"/>
      <c r="F61" s="53"/>
    </row>
    <row r="62" spans="1:6" x14ac:dyDescent="0.2">
      <c r="A62" s="20" t="s">
        <v>98</v>
      </c>
      <c r="B62" s="117">
        <v>14.907346473530742</v>
      </c>
      <c r="C62" s="63"/>
      <c r="D62" s="5"/>
      <c r="E62" s="53"/>
      <c r="F62" s="53"/>
    </row>
    <row r="63" spans="1:6" ht="16" thickBot="1" x14ac:dyDescent="0.25">
      <c r="A63" s="24" t="s">
        <v>99</v>
      </c>
      <c r="B63" s="118">
        <v>7.5990469561189755</v>
      </c>
      <c r="C63" s="63"/>
      <c r="D63" s="5"/>
      <c r="E63" s="53"/>
      <c r="F63" s="53"/>
    </row>
    <row r="64" spans="1:6" ht="16" thickBot="1" x14ac:dyDescent="0.25">
      <c r="A64" s="6"/>
      <c r="B64" s="6"/>
      <c r="C64" s="63"/>
      <c r="D64" s="5"/>
      <c r="E64" s="53"/>
      <c r="F64" s="53"/>
    </row>
    <row r="65" spans="1:6" x14ac:dyDescent="0.2">
      <c r="A65" s="8" t="s">
        <v>100</v>
      </c>
      <c r="B65" s="9" t="s">
        <v>110</v>
      </c>
      <c r="C65" s="65" t="s">
        <v>101</v>
      </c>
      <c r="D65" s="9" t="s">
        <v>102</v>
      </c>
      <c r="E65" s="10" t="s">
        <v>103</v>
      </c>
      <c r="F65" s="53"/>
    </row>
    <row r="66" spans="1:6" x14ac:dyDescent="0.2">
      <c r="A66" s="11" t="s">
        <v>104</v>
      </c>
      <c r="B66" s="7">
        <v>0.47289477621782117</v>
      </c>
      <c r="C66" s="38">
        <f>B66*C5</f>
        <v>4208.7635083386085</v>
      </c>
      <c r="D66" s="38">
        <f>C66*B62</f>
        <v>62741.495843956429</v>
      </c>
      <c r="E66" s="57">
        <f>D66/(SUM(D66:D68))</f>
        <v>0.42383138077726523</v>
      </c>
      <c r="F66" s="53"/>
    </row>
    <row r="67" spans="1:6" x14ac:dyDescent="0.2">
      <c r="A67" s="11" t="s">
        <v>99</v>
      </c>
      <c r="B67" s="7">
        <v>0.12482581948119639</v>
      </c>
      <c r="C67" s="38">
        <f>B67*C5</f>
        <v>1110.9497933826478</v>
      </c>
      <c r="D67" s="5">
        <f>C67*B63</f>
        <v>8442.1596458054155</v>
      </c>
      <c r="E67" s="57">
        <f>D67/(SUM(D66:D68))</f>
        <v>5.7028480613894594E-2</v>
      </c>
      <c r="F67" s="53"/>
    </row>
    <row r="68" spans="1:6" ht="16" thickBot="1" x14ac:dyDescent="0.25">
      <c r="A68" s="12" t="s">
        <v>105</v>
      </c>
      <c r="B68" s="13">
        <v>0.3995780239618355</v>
      </c>
      <c r="C68" s="70">
        <f>B68*C5</f>
        <v>3556.2444132603359</v>
      </c>
      <c r="D68" s="71">
        <f>C68*B57</f>
        <v>76850.441770555859</v>
      </c>
      <c r="E68" s="128">
        <f>D68/(SUM(D66:D68))</f>
        <v>0.51914013860884012</v>
      </c>
      <c r="F68" s="53"/>
    </row>
    <row r="69" spans="1:6" ht="16" thickBot="1" x14ac:dyDescent="0.25">
      <c r="A69" s="6"/>
      <c r="B69" s="6"/>
      <c r="C69" s="63"/>
      <c r="D69" s="5"/>
      <c r="E69" s="53"/>
      <c r="F69" s="53"/>
    </row>
    <row r="70" spans="1:6" x14ac:dyDescent="0.2">
      <c r="A70" s="14" t="s">
        <v>106</v>
      </c>
      <c r="B70" s="15" t="s">
        <v>107</v>
      </c>
      <c r="C70" s="63"/>
      <c r="D70" s="5"/>
      <c r="E70" s="53"/>
      <c r="F70" s="53"/>
    </row>
    <row r="71" spans="1:6" ht="16" thickBot="1" x14ac:dyDescent="0.25">
      <c r="A71" s="16" t="s">
        <v>93</v>
      </c>
      <c r="B71" s="121">
        <v>15.4</v>
      </c>
      <c r="C71" s="63"/>
      <c r="D71" s="5"/>
      <c r="E71" s="53"/>
      <c r="F71" s="53"/>
    </row>
    <row r="72" spans="1:6" ht="16" thickBot="1" x14ac:dyDescent="0.25">
      <c r="A72" s="6"/>
      <c r="B72" s="55"/>
      <c r="C72" s="63"/>
      <c r="D72" s="5"/>
      <c r="E72" s="53"/>
      <c r="F72" s="53"/>
    </row>
    <row r="73" spans="1:6" x14ac:dyDescent="0.2">
      <c r="A73" s="14" t="s">
        <v>108</v>
      </c>
      <c r="B73" s="56">
        <v>5.0000000000000001E-4</v>
      </c>
      <c r="C73" s="63"/>
      <c r="D73" s="5"/>
      <c r="E73" s="53"/>
      <c r="F73" s="53"/>
    </row>
    <row r="74" spans="1:6" ht="16" thickBot="1" x14ac:dyDescent="0.25">
      <c r="A74" s="16" t="s">
        <v>109</v>
      </c>
      <c r="B74" s="17">
        <v>0.12230000000000001</v>
      </c>
      <c r="C74" s="63"/>
      <c r="D74" s="5"/>
      <c r="E74" s="53"/>
      <c r="F74" s="53"/>
    </row>
    <row r="75" spans="1:6" x14ac:dyDescent="0.2">
      <c r="A75" s="6"/>
      <c r="B75" s="6"/>
      <c r="C75" s="63"/>
      <c r="D75" s="5"/>
      <c r="E75" s="53"/>
      <c r="F75" s="53"/>
    </row>
    <row r="76" spans="1:6" x14ac:dyDescent="0.2">
      <c r="A76" s="103" t="s">
        <v>216</v>
      </c>
      <c r="B76" s="103"/>
      <c r="C76" s="104"/>
      <c r="D76" s="5"/>
      <c r="E76" s="53"/>
      <c r="F76" s="53"/>
    </row>
    <row r="77" spans="1:6" s="53" customFormat="1" x14ac:dyDescent="0.2">
      <c r="A77" s="53" t="s">
        <v>192</v>
      </c>
      <c r="B77" s="6"/>
      <c r="C77" s="63"/>
      <c r="D77" s="5"/>
    </row>
    <row r="78" spans="1:6" s="53" customFormat="1" x14ac:dyDescent="0.2">
      <c r="A78" s="53" t="s">
        <v>193</v>
      </c>
      <c r="B78" s="6"/>
      <c r="C78" s="63"/>
      <c r="D78" s="5"/>
    </row>
    <row r="79" spans="1:6" s="53" customFormat="1" ht="16" thickBot="1" x14ac:dyDescent="0.25">
      <c r="A79" s="53" t="s">
        <v>194</v>
      </c>
      <c r="B79" s="6"/>
      <c r="C79" s="63"/>
      <c r="D79" s="5"/>
    </row>
    <row r="80" spans="1:6" ht="32" x14ac:dyDescent="0.2">
      <c r="A80" s="81" t="s">
        <v>197</v>
      </c>
      <c r="B80" s="78">
        <v>8.01</v>
      </c>
      <c r="C80" s="63"/>
      <c r="D80" s="5"/>
      <c r="E80" s="53"/>
      <c r="F80" s="53"/>
    </row>
    <row r="81" spans="1:16" ht="16" x14ac:dyDescent="0.2">
      <c r="A81" s="45" t="s">
        <v>195</v>
      </c>
      <c r="B81" s="79">
        <v>13.15</v>
      </c>
      <c r="C81" s="63"/>
      <c r="D81" s="5"/>
      <c r="E81" s="53"/>
      <c r="F81" s="53"/>
    </row>
    <row r="82" spans="1:16" ht="17" thickBot="1" x14ac:dyDescent="0.25">
      <c r="A82" s="82" t="s">
        <v>196</v>
      </c>
      <c r="B82" s="80">
        <f>B81-B80</f>
        <v>5.1400000000000006</v>
      </c>
      <c r="C82" s="63"/>
      <c r="D82" s="5"/>
      <c r="E82" s="53"/>
      <c r="F82" s="53"/>
    </row>
    <row r="83" spans="1:16" x14ac:dyDescent="0.2">
      <c r="A83" t="s">
        <v>198</v>
      </c>
      <c r="B83" s="7">
        <v>63.55</v>
      </c>
      <c r="C83" s="63"/>
      <c r="D83" s="5"/>
      <c r="E83" s="53"/>
      <c r="F83" s="53"/>
    </row>
    <row r="84" spans="1:16" x14ac:dyDescent="0.2">
      <c r="A84" s="6" t="s">
        <v>199</v>
      </c>
      <c r="B84" s="5">
        <f>B83*B82</f>
        <v>326.64700000000005</v>
      </c>
      <c r="C84" s="63"/>
      <c r="D84" s="5"/>
      <c r="E84" s="53"/>
      <c r="F84" s="53"/>
    </row>
    <row r="85" spans="1:16" ht="32" x14ac:dyDescent="0.2">
      <c r="A85" s="83" t="s">
        <v>200</v>
      </c>
      <c r="B85" s="135">
        <f>B84/0.025*0.000001</f>
        <v>1.306588E-2</v>
      </c>
      <c r="C85" s="63" t="s">
        <v>48</v>
      </c>
      <c r="D85" s="5"/>
      <c r="E85" s="53"/>
      <c r="F85" s="53"/>
    </row>
    <row r="86" spans="1:16" x14ac:dyDescent="0.2">
      <c r="A86" s="6"/>
      <c r="B86" s="6"/>
      <c r="C86" s="63"/>
      <c r="D86" s="5"/>
      <c r="E86" s="53"/>
      <c r="F86" s="53"/>
    </row>
    <row r="87" spans="1:16" s="85" customFormat="1" x14ac:dyDescent="0.2">
      <c r="A87" s="103" t="s">
        <v>215</v>
      </c>
      <c r="B87" s="103"/>
      <c r="C87" s="104"/>
      <c r="D87" s="86"/>
      <c r="E87" s="87"/>
      <c r="F87" s="87"/>
      <c r="G87" s="87"/>
      <c r="H87" s="87"/>
      <c r="I87" s="87"/>
      <c r="J87" s="87"/>
      <c r="K87" s="87"/>
      <c r="L87" s="87"/>
      <c r="M87" s="87"/>
      <c r="N87" s="87"/>
      <c r="O87" s="87"/>
      <c r="P87" s="87"/>
    </row>
    <row r="88" spans="1:16" x14ac:dyDescent="0.2">
      <c r="A88" t="s">
        <v>203</v>
      </c>
      <c r="B88" s="6"/>
      <c r="C88" s="63"/>
      <c r="D88" s="5"/>
      <c r="E88" s="53"/>
      <c r="F88" s="53"/>
    </row>
    <row r="89" spans="1:16" x14ac:dyDescent="0.2">
      <c r="A89" s="6" t="s">
        <v>204</v>
      </c>
      <c r="B89" s="6"/>
      <c r="C89" s="63"/>
      <c r="D89" s="5"/>
      <c r="E89" s="53"/>
      <c r="F89" s="53"/>
    </row>
    <row r="90" spans="1:16" x14ac:dyDescent="0.2">
      <c r="A90" s="6" t="s">
        <v>205</v>
      </c>
      <c r="B90" s="5">
        <v>50</v>
      </c>
      <c r="C90" s="63"/>
      <c r="D90" s="5"/>
      <c r="E90" s="53"/>
      <c r="F90" s="53"/>
    </row>
    <row r="91" spans="1:16" x14ac:dyDescent="0.2">
      <c r="A91" t="s">
        <v>207</v>
      </c>
      <c r="B91" s="5">
        <f>51.93</f>
        <v>51.93</v>
      </c>
      <c r="C91" s="63"/>
      <c r="D91" s="5"/>
      <c r="E91" s="53"/>
      <c r="F91" s="53"/>
    </row>
    <row r="92" spans="1:16" x14ac:dyDescent="0.2">
      <c r="A92" s="6" t="s">
        <v>206</v>
      </c>
      <c r="B92" s="5">
        <v>303.44</v>
      </c>
      <c r="C92" s="63"/>
      <c r="D92" s="5"/>
      <c r="E92" s="53"/>
      <c r="F92" s="53"/>
    </row>
    <row r="93" spans="1:16" x14ac:dyDescent="0.2">
      <c r="A93" s="6" t="s">
        <v>209</v>
      </c>
      <c r="B93" s="5">
        <f>B91*B90*E93</f>
        <v>2.5964999999999998E-3</v>
      </c>
      <c r="C93" s="63"/>
      <c r="D93" s="5"/>
      <c r="E93" s="53">
        <v>9.9999999999999995E-7</v>
      </c>
      <c r="F93" s="53"/>
    </row>
    <row r="94" spans="1:16" x14ac:dyDescent="0.2">
      <c r="A94" s="6" t="s">
        <v>208</v>
      </c>
      <c r="B94" s="5">
        <f>B92*B90*E93</f>
        <v>1.5172E-2</v>
      </c>
      <c r="C94" s="63"/>
      <c r="D94" s="5"/>
      <c r="E94" s="53"/>
      <c r="F94" s="53"/>
    </row>
    <row r="95" spans="1:16" x14ac:dyDescent="0.2">
      <c r="A95" s="6"/>
      <c r="B95" s="5"/>
      <c r="C95" s="63"/>
      <c r="D95" s="5"/>
      <c r="E95" s="53"/>
      <c r="F95" s="53"/>
    </row>
    <row r="96" spans="1:16" x14ac:dyDescent="0.2">
      <c r="A96" s="84" t="s">
        <v>210</v>
      </c>
      <c r="B96" s="5"/>
      <c r="C96" s="63"/>
      <c r="D96" s="5"/>
      <c r="E96" s="53"/>
      <c r="F96" s="53"/>
    </row>
    <row r="97" spans="1:6" ht="32" x14ac:dyDescent="0.2">
      <c r="A97" s="29" t="s">
        <v>211</v>
      </c>
      <c r="B97" s="5">
        <v>0.46</v>
      </c>
      <c r="C97" s="63"/>
      <c r="D97" s="5"/>
      <c r="E97" s="53"/>
      <c r="F97" s="53"/>
    </row>
    <row r="98" spans="1:6" ht="16" x14ac:dyDescent="0.2">
      <c r="A98" s="29" t="s">
        <v>212</v>
      </c>
      <c r="B98" s="5">
        <v>0.55000000000000004</v>
      </c>
      <c r="C98" s="63"/>
      <c r="D98" s="5"/>
      <c r="E98" s="53"/>
      <c r="F98" s="53"/>
    </row>
    <row r="99" spans="1:6" x14ac:dyDescent="0.2">
      <c r="A99" s="84" t="s">
        <v>213</v>
      </c>
      <c r="B99" s="135">
        <f>B97*B93</f>
        <v>1.19439E-3</v>
      </c>
      <c r="C99" s="63"/>
      <c r="D99" s="5"/>
      <c r="E99" s="53"/>
      <c r="F99" s="53"/>
    </row>
    <row r="100" spans="1:6" x14ac:dyDescent="0.2">
      <c r="A100" s="84" t="s">
        <v>214</v>
      </c>
      <c r="B100" s="135">
        <f>B98*B94</f>
        <v>8.3446000000000006E-3</v>
      </c>
      <c r="C100" s="63"/>
      <c r="D100" s="5"/>
      <c r="E100" s="53"/>
      <c r="F100" s="53"/>
    </row>
    <row r="101" spans="1:6" x14ac:dyDescent="0.2">
      <c r="A101" s="6"/>
      <c r="B101" s="6"/>
      <c r="C101" s="63"/>
      <c r="D101" s="5"/>
      <c r="E101" s="5"/>
      <c r="F101" s="53"/>
    </row>
    <row r="102" spans="1:6" ht="15" customHeight="1" x14ac:dyDescent="0.2">
      <c r="A102" s="6"/>
      <c r="B102" s="186" t="s">
        <v>240</v>
      </c>
      <c r="C102" s="186"/>
      <c r="D102" s="186"/>
      <c r="E102" s="105" t="s">
        <v>239</v>
      </c>
      <c r="F102" s="53"/>
    </row>
    <row r="103" spans="1:6" x14ac:dyDescent="0.2">
      <c r="A103" s="6"/>
      <c r="B103" s="186"/>
      <c r="C103" s="186"/>
      <c r="D103" s="186"/>
      <c r="E103" s="53"/>
      <c r="F103" s="53"/>
    </row>
    <row r="104" spans="1:6" x14ac:dyDescent="0.2">
      <c r="A104" s="174">
        <v>4.3000000000000002E-5</v>
      </c>
      <c r="B104" s="175">
        <v>1.7341214598875747</v>
      </c>
      <c r="C104" s="63"/>
      <c r="D104" s="5"/>
      <c r="E104" s="53"/>
      <c r="F104" s="53"/>
    </row>
    <row r="105" spans="1:6" x14ac:dyDescent="0.2">
      <c r="A105" s="6" t="s">
        <v>332</v>
      </c>
      <c r="B105" s="6" t="s">
        <v>291</v>
      </c>
      <c r="C105" s="63"/>
      <c r="D105" s="5"/>
      <c r="E105" s="53"/>
      <c r="F105" s="53"/>
    </row>
    <row r="106" spans="1:6" x14ac:dyDescent="0.2">
      <c r="A106" s="6" t="s">
        <v>188</v>
      </c>
      <c r="B106" s="6"/>
      <c r="C106" s="63"/>
      <c r="D106" s="5"/>
      <c r="E106" s="53"/>
      <c r="F106" s="53"/>
    </row>
    <row r="107" spans="1:6" x14ac:dyDescent="0.2">
      <c r="A107" s="6"/>
      <c r="B107" s="6"/>
      <c r="C107" s="63"/>
      <c r="D107" s="5"/>
      <c r="E107" s="53"/>
      <c r="F107" s="53"/>
    </row>
    <row r="108" spans="1:6" x14ac:dyDescent="0.2">
      <c r="A108" s="6"/>
      <c r="B108" s="6"/>
      <c r="C108" s="63"/>
      <c r="D108" s="5"/>
      <c r="E108" s="53"/>
      <c r="F108" s="53"/>
    </row>
    <row r="109" spans="1:6" x14ac:dyDescent="0.2">
      <c r="A109" s="6"/>
      <c r="B109" s="6"/>
      <c r="C109" s="63"/>
      <c r="D109" s="5"/>
      <c r="E109" s="53"/>
      <c r="F109" s="53"/>
    </row>
    <row r="110" spans="1:6" x14ac:dyDescent="0.2">
      <c r="A110" s="6"/>
      <c r="B110" s="6"/>
      <c r="C110" s="63"/>
      <c r="D110" s="5"/>
      <c r="E110" s="53"/>
      <c r="F110" s="53"/>
    </row>
    <row r="111" spans="1:6" x14ac:dyDescent="0.2">
      <c r="A111" s="6"/>
      <c r="B111" s="6"/>
      <c r="C111" s="63"/>
      <c r="D111" s="5"/>
      <c r="E111" s="53"/>
      <c r="F111" s="53"/>
    </row>
    <row r="112" spans="1:6" x14ac:dyDescent="0.2">
      <c r="A112" s="6"/>
      <c r="B112" s="6"/>
      <c r="C112" s="63"/>
      <c r="D112" s="5"/>
      <c r="E112" s="53"/>
      <c r="F112" s="53"/>
    </row>
    <row r="113" spans="1:6" x14ac:dyDescent="0.2">
      <c r="A113" s="6"/>
      <c r="B113" s="6"/>
      <c r="C113" s="63"/>
      <c r="D113" s="5"/>
      <c r="E113" s="53"/>
      <c r="F113" s="53"/>
    </row>
    <row r="114" spans="1:6" x14ac:dyDescent="0.2">
      <c r="A114" s="6"/>
      <c r="B114" s="6"/>
      <c r="C114" s="63"/>
      <c r="D114" s="5"/>
      <c r="E114" s="53"/>
      <c r="F114" s="53"/>
    </row>
    <row r="115" spans="1:6" x14ac:dyDescent="0.2">
      <c r="A115" s="6"/>
      <c r="B115" s="6"/>
      <c r="C115" s="63"/>
      <c r="D115" s="5"/>
      <c r="E115" s="53"/>
      <c r="F115" s="53"/>
    </row>
    <row r="116" spans="1:6" x14ac:dyDescent="0.2">
      <c r="A116" s="6"/>
      <c r="B116" s="6"/>
      <c r="C116" s="63"/>
      <c r="D116" s="5"/>
      <c r="E116" s="53"/>
      <c r="F116" s="53"/>
    </row>
    <row r="117" spans="1:6" x14ac:dyDescent="0.2">
      <c r="A117" s="6"/>
      <c r="B117" s="6"/>
      <c r="C117" s="63"/>
      <c r="D117" s="5"/>
      <c r="E117" s="53"/>
      <c r="F117" s="53"/>
    </row>
    <row r="118" spans="1:6" x14ac:dyDescent="0.2">
      <c r="A118" s="6"/>
      <c r="B118" s="6"/>
      <c r="C118" s="63"/>
      <c r="D118" s="5"/>
      <c r="E118" s="53"/>
      <c r="F118" s="53"/>
    </row>
    <row r="119" spans="1:6" x14ac:dyDescent="0.2">
      <c r="A119" s="6"/>
      <c r="B119" s="6"/>
      <c r="C119" s="63"/>
      <c r="D119" s="5"/>
      <c r="E119" s="53"/>
      <c r="F119" s="53"/>
    </row>
    <row r="120" spans="1:6" x14ac:dyDescent="0.2">
      <c r="A120" s="6"/>
      <c r="B120" s="6"/>
      <c r="C120" s="63"/>
      <c r="D120" s="5"/>
      <c r="E120" s="53"/>
      <c r="F120" s="53"/>
    </row>
    <row r="121" spans="1:6" x14ac:dyDescent="0.2">
      <c r="A121" s="6"/>
      <c r="B121" s="6"/>
      <c r="C121" s="63"/>
      <c r="D121" s="5"/>
      <c r="E121" s="53"/>
      <c r="F121" s="53"/>
    </row>
    <row r="122" spans="1:6" x14ac:dyDescent="0.2">
      <c r="A122" s="6"/>
      <c r="B122" s="6"/>
      <c r="C122" s="63"/>
      <c r="D122" s="5"/>
      <c r="E122" s="53"/>
      <c r="F122" s="53"/>
    </row>
    <row r="123" spans="1:6" x14ac:dyDescent="0.2">
      <c r="A123" s="6"/>
      <c r="B123" s="6"/>
      <c r="C123" s="63"/>
      <c r="D123" s="5"/>
      <c r="E123" s="53"/>
      <c r="F123" s="53"/>
    </row>
    <row r="124" spans="1:6" x14ac:dyDescent="0.2">
      <c r="A124" s="6"/>
      <c r="B124" s="6"/>
      <c r="C124" s="63"/>
      <c r="D124" s="5"/>
      <c r="E124" s="53"/>
      <c r="F124" s="53"/>
    </row>
    <row r="125" spans="1:6" x14ac:dyDescent="0.2">
      <c r="A125" s="6"/>
      <c r="B125" s="6"/>
      <c r="C125" s="63"/>
      <c r="D125" s="5"/>
      <c r="E125" s="53"/>
      <c r="F125" s="53"/>
    </row>
    <row r="126" spans="1:6" x14ac:dyDescent="0.2">
      <c r="A126" s="6"/>
      <c r="B126" s="6"/>
      <c r="C126" s="63"/>
      <c r="D126" s="5"/>
      <c r="E126" s="53"/>
      <c r="F126" s="53"/>
    </row>
    <row r="127" spans="1:6" x14ac:dyDescent="0.2">
      <c r="A127" s="6"/>
      <c r="B127" s="6"/>
      <c r="C127" s="63"/>
      <c r="D127" s="5"/>
      <c r="E127" s="53"/>
      <c r="F127" s="53"/>
    </row>
    <row r="128" spans="1:6" x14ac:dyDescent="0.2">
      <c r="A128" s="6"/>
      <c r="B128" s="6"/>
      <c r="C128" s="63"/>
      <c r="D128" s="5"/>
      <c r="E128" s="53"/>
      <c r="F128" s="53"/>
    </row>
    <row r="129" spans="1:6" x14ac:dyDescent="0.2">
      <c r="A129" s="6"/>
      <c r="B129" s="6"/>
      <c r="C129" s="63"/>
      <c r="D129" s="5"/>
      <c r="E129" s="53"/>
      <c r="F129" s="53"/>
    </row>
    <row r="130" spans="1:6" x14ac:dyDescent="0.2">
      <c r="A130" s="6"/>
      <c r="B130" s="6"/>
      <c r="C130" s="63"/>
      <c r="D130" s="5"/>
      <c r="E130" s="53"/>
      <c r="F130" s="53"/>
    </row>
    <row r="131" spans="1:6" x14ac:dyDescent="0.2">
      <c r="A131" s="6"/>
      <c r="B131" s="6"/>
      <c r="C131" s="63"/>
      <c r="D131" s="5"/>
      <c r="E131" s="53"/>
      <c r="F131" s="53"/>
    </row>
    <row r="132" spans="1:6" x14ac:dyDescent="0.2">
      <c r="A132" s="6"/>
      <c r="B132" s="6"/>
      <c r="C132" s="63"/>
      <c r="D132" s="5"/>
      <c r="E132" s="53"/>
      <c r="F132" s="53"/>
    </row>
    <row r="133" spans="1:6" x14ac:dyDescent="0.2">
      <c r="A133" s="6"/>
      <c r="B133" s="6"/>
      <c r="C133" s="63"/>
      <c r="D133" s="5"/>
      <c r="E133" s="53"/>
      <c r="F133" s="53"/>
    </row>
    <row r="134" spans="1:6" x14ac:dyDescent="0.2">
      <c r="A134" s="6"/>
      <c r="B134" s="6"/>
      <c r="C134" s="63"/>
      <c r="D134" s="5"/>
      <c r="E134" s="53"/>
      <c r="F134" s="53"/>
    </row>
    <row r="135" spans="1:6" x14ac:dyDescent="0.2">
      <c r="A135" s="6"/>
      <c r="B135" s="6"/>
      <c r="C135" s="63"/>
      <c r="D135" s="5"/>
      <c r="E135" s="53"/>
      <c r="F135" s="53"/>
    </row>
    <row r="136" spans="1:6" x14ac:dyDescent="0.2">
      <c r="A136" s="6"/>
      <c r="B136" s="6"/>
      <c r="C136" s="63"/>
      <c r="D136" s="5"/>
      <c r="E136" s="53"/>
      <c r="F136" s="53"/>
    </row>
    <row r="137" spans="1:6" x14ac:dyDescent="0.2">
      <c r="A137" s="6"/>
      <c r="B137" s="6"/>
      <c r="C137" s="63"/>
      <c r="D137" s="5"/>
      <c r="E137" s="53"/>
      <c r="F137" s="53"/>
    </row>
    <row r="138" spans="1:6" x14ac:dyDescent="0.2">
      <c r="A138" s="6"/>
      <c r="B138" s="6"/>
      <c r="C138" s="63"/>
      <c r="D138" s="5"/>
      <c r="E138" s="53"/>
      <c r="F138" s="53"/>
    </row>
    <row r="139" spans="1:6" x14ac:dyDescent="0.2">
      <c r="A139" s="6"/>
      <c r="B139" s="6"/>
      <c r="C139" s="63"/>
      <c r="D139" s="5"/>
      <c r="E139" s="53"/>
      <c r="F139" s="53"/>
    </row>
    <row r="140" spans="1:6" x14ac:dyDescent="0.2">
      <c r="A140" s="6"/>
      <c r="B140" s="6"/>
      <c r="C140" s="63"/>
      <c r="D140" s="5"/>
      <c r="E140" s="53"/>
      <c r="F140" s="53"/>
    </row>
    <row r="141" spans="1:6" x14ac:dyDescent="0.2">
      <c r="A141" s="6"/>
      <c r="B141" s="6"/>
      <c r="C141" s="63"/>
      <c r="D141" s="5"/>
      <c r="E141" s="53"/>
      <c r="F141" s="53"/>
    </row>
    <row r="142" spans="1:6" x14ac:dyDescent="0.2">
      <c r="A142" s="6"/>
      <c r="B142" s="6"/>
      <c r="C142" s="63"/>
      <c r="D142" s="5"/>
      <c r="E142" s="53"/>
      <c r="F142" s="53"/>
    </row>
    <row r="143" spans="1:6" x14ac:dyDescent="0.2">
      <c r="A143" s="6"/>
      <c r="B143" s="6"/>
      <c r="C143" s="63"/>
      <c r="D143" s="5"/>
      <c r="E143" s="53"/>
      <c r="F143" s="53"/>
    </row>
    <row r="144" spans="1:6" x14ac:dyDescent="0.2">
      <c r="A144" s="6"/>
      <c r="B144" s="6"/>
      <c r="C144" s="63"/>
      <c r="D144" s="5"/>
      <c r="E144" s="53"/>
      <c r="F144" s="53"/>
    </row>
    <row r="145" spans="1:6" x14ac:dyDescent="0.2">
      <c r="A145" s="6"/>
      <c r="B145" s="6"/>
      <c r="C145" s="63"/>
      <c r="D145" s="5"/>
      <c r="E145" s="53"/>
      <c r="F145" s="53"/>
    </row>
    <row r="146" spans="1:6" x14ac:dyDescent="0.2">
      <c r="A146" s="6"/>
      <c r="B146" s="6"/>
      <c r="C146" s="63"/>
      <c r="D146" s="5"/>
      <c r="E146" s="53"/>
      <c r="F146" s="53"/>
    </row>
    <row r="147" spans="1:6" x14ac:dyDescent="0.2">
      <c r="A147" s="6"/>
      <c r="B147" s="6"/>
      <c r="C147" s="63"/>
      <c r="D147" s="5"/>
      <c r="E147" s="53"/>
      <c r="F147" s="53"/>
    </row>
    <row r="148" spans="1:6" x14ac:dyDescent="0.2">
      <c r="A148" s="6"/>
      <c r="B148" s="6"/>
      <c r="C148" s="63"/>
      <c r="D148" s="5"/>
      <c r="E148" s="53"/>
      <c r="F148" s="53"/>
    </row>
    <row r="149" spans="1:6" x14ac:dyDescent="0.2">
      <c r="A149" s="6"/>
      <c r="B149" s="6"/>
      <c r="C149" s="63"/>
      <c r="D149" s="5"/>
      <c r="E149" s="53"/>
      <c r="F149" s="53"/>
    </row>
    <row r="150" spans="1:6" x14ac:dyDescent="0.2">
      <c r="A150" s="6"/>
      <c r="B150" s="6"/>
      <c r="C150" s="63"/>
      <c r="D150" s="5"/>
      <c r="E150" s="53"/>
      <c r="F150" s="53"/>
    </row>
    <row r="151" spans="1:6" x14ac:dyDescent="0.2">
      <c r="A151" s="6"/>
      <c r="B151" s="6"/>
      <c r="C151" s="63"/>
      <c r="D151" s="5"/>
      <c r="E151" s="53"/>
      <c r="F151" s="53"/>
    </row>
    <row r="152" spans="1:6" x14ac:dyDescent="0.2">
      <c r="A152" s="6"/>
      <c r="B152" s="6"/>
      <c r="C152" s="63"/>
      <c r="D152" s="5"/>
      <c r="E152" s="53"/>
      <c r="F152" s="53"/>
    </row>
    <row r="153" spans="1:6" x14ac:dyDescent="0.2">
      <c r="A153" s="6"/>
      <c r="B153" s="6"/>
      <c r="C153" s="63"/>
      <c r="D153" s="5"/>
      <c r="E153" s="53"/>
      <c r="F153" s="53"/>
    </row>
    <row r="154" spans="1:6" x14ac:dyDescent="0.2">
      <c r="A154" s="6"/>
      <c r="B154" s="6"/>
      <c r="C154" s="63"/>
      <c r="D154" s="5"/>
      <c r="E154" s="53"/>
      <c r="F154" s="53"/>
    </row>
    <row r="155" spans="1:6" x14ac:dyDescent="0.2">
      <c r="A155" s="6"/>
      <c r="B155" s="6"/>
      <c r="C155" s="63"/>
      <c r="D155" s="5"/>
      <c r="E155" s="53"/>
      <c r="F155" s="53"/>
    </row>
    <row r="156" spans="1:6" x14ac:dyDescent="0.2">
      <c r="A156" s="6"/>
      <c r="B156" s="6"/>
      <c r="C156" s="63"/>
      <c r="D156" s="5"/>
      <c r="E156" s="53"/>
      <c r="F156" s="53"/>
    </row>
    <row r="157" spans="1:6" x14ac:dyDescent="0.2">
      <c r="A157" s="6"/>
      <c r="B157" s="6"/>
      <c r="C157" s="63"/>
      <c r="D157" s="5"/>
      <c r="E157" s="53"/>
      <c r="F157" s="53"/>
    </row>
    <row r="158" spans="1:6" x14ac:dyDescent="0.2">
      <c r="A158" s="6"/>
      <c r="B158" s="6"/>
      <c r="C158" s="63"/>
      <c r="D158" s="5"/>
      <c r="E158" s="53"/>
      <c r="F158" s="53"/>
    </row>
    <row r="159" spans="1:6" x14ac:dyDescent="0.2">
      <c r="A159" s="6"/>
      <c r="B159" s="6"/>
      <c r="C159" s="63"/>
      <c r="D159" s="5"/>
      <c r="E159" s="53"/>
      <c r="F159" s="53"/>
    </row>
    <row r="160" spans="1:6" x14ac:dyDescent="0.2">
      <c r="A160" s="6"/>
      <c r="B160" s="6"/>
      <c r="C160" s="63"/>
      <c r="D160" s="5"/>
      <c r="E160" s="53"/>
      <c r="F160" s="53"/>
    </row>
    <row r="161" spans="1:6" x14ac:dyDescent="0.2">
      <c r="A161" s="6"/>
      <c r="B161" s="6"/>
      <c r="C161" s="63"/>
      <c r="D161" s="5"/>
      <c r="E161" s="53"/>
      <c r="F161" s="53"/>
    </row>
    <row r="162" spans="1:6" x14ac:dyDescent="0.2">
      <c r="A162" s="6"/>
      <c r="B162" s="6"/>
      <c r="C162" s="63"/>
      <c r="D162" s="5"/>
      <c r="E162" s="53"/>
      <c r="F162" s="53"/>
    </row>
    <row r="163" spans="1:6" x14ac:dyDescent="0.2">
      <c r="A163" s="6"/>
      <c r="B163" s="6"/>
      <c r="C163" s="63"/>
      <c r="D163" s="5"/>
      <c r="E163" s="53"/>
      <c r="F163" s="53"/>
    </row>
    <row r="164" spans="1:6" x14ac:dyDescent="0.2">
      <c r="A164" s="6"/>
      <c r="B164" s="6"/>
      <c r="C164" s="63"/>
      <c r="D164" s="5"/>
      <c r="E164" s="53"/>
      <c r="F164" s="53"/>
    </row>
    <row r="165" spans="1:6" x14ac:dyDescent="0.2">
      <c r="A165" s="6"/>
      <c r="B165" s="6"/>
      <c r="C165" s="63"/>
      <c r="D165" s="5"/>
      <c r="E165" s="53"/>
      <c r="F165" s="53"/>
    </row>
    <row r="166" spans="1:6" x14ac:dyDescent="0.2">
      <c r="A166" s="6"/>
      <c r="B166" s="6"/>
      <c r="C166" s="63"/>
      <c r="D166" s="5"/>
      <c r="E166" s="53"/>
      <c r="F166" s="53"/>
    </row>
    <row r="167" spans="1:6" x14ac:dyDescent="0.2">
      <c r="A167" s="6"/>
      <c r="B167" s="6"/>
      <c r="C167" s="63"/>
      <c r="D167" s="5"/>
      <c r="E167" s="53"/>
      <c r="F167" s="53"/>
    </row>
    <row r="168" spans="1:6" x14ac:dyDescent="0.2">
      <c r="A168" s="6"/>
      <c r="B168" s="6"/>
      <c r="C168" s="63"/>
      <c r="D168" s="5"/>
      <c r="E168" s="53"/>
      <c r="F168" s="53"/>
    </row>
    <row r="169" spans="1:6" x14ac:dyDescent="0.2">
      <c r="A169" s="6"/>
      <c r="B169" s="6"/>
      <c r="C169" s="63"/>
      <c r="D169" s="5"/>
      <c r="E169" s="53"/>
      <c r="F169" s="53"/>
    </row>
    <row r="170" spans="1:6" x14ac:dyDescent="0.2">
      <c r="A170" s="6"/>
      <c r="B170" s="6"/>
      <c r="C170" s="63"/>
      <c r="D170" s="5"/>
      <c r="E170" s="53"/>
      <c r="F170" s="53"/>
    </row>
    <row r="171" spans="1:6" x14ac:dyDescent="0.2">
      <c r="A171" s="6"/>
      <c r="B171" s="6"/>
      <c r="C171" s="63"/>
      <c r="D171" s="5"/>
      <c r="E171" s="53"/>
      <c r="F171" s="53"/>
    </row>
    <row r="172" spans="1:6" x14ac:dyDescent="0.2">
      <c r="A172" s="6"/>
      <c r="B172" s="6"/>
      <c r="C172" s="63"/>
      <c r="D172" s="5"/>
      <c r="E172" s="53"/>
      <c r="F172" s="53"/>
    </row>
    <row r="173" spans="1:6" x14ac:dyDescent="0.2">
      <c r="A173" s="6"/>
      <c r="B173" s="6"/>
      <c r="C173" s="63"/>
      <c r="D173" s="5"/>
      <c r="E173" s="53"/>
      <c r="F173" s="53"/>
    </row>
    <row r="174" spans="1:6" x14ac:dyDescent="0.2">
      <c r="A174" s="6"/>
      <c r="B174" s="6"/>
      <c r="C174" s="63"/>
      <c r="D174" s="5"/>
      <c r="E174" s="53"/>
      <c r="F174" s="53"/>
    </row>
    <row r="175" spans="1:6" x14ac:dyDescent="0.2">
      <c r="A175" s="6"/>
      <c r="B175" s="6"/>
      <c r="C175" s="63"/>
      <c r="D175" s="5"/>
      <c r="E175" s="53"/>
      <c r="F175" s="53"/>
    </row>
    <row r="176" spans="1:6" x14ac:dyDescent="0.2">
      <c r="A176" s="6"/>
      <c r="B176" s="6"/>
      <c r="C176" s="63"/>
      <c r="D176" s="5"/>
      <c r="E176" s="53"/>
      <c r="F176" s="53"/>
    </row>
    <row r="177" spans="1:6" x14ac:dyDescent="0.2">
      <c r="A177" s="6"/>
      <c r="B177" s="6"/>
      <c r="C177" s="63"/>
      <c r="D177" s="5"/>
      <c r="E177" s="53"/>
      <c r="F177" s="53"/>
    </row>
    <row r="178" spans="1:6" x14ac:dyDescent="0.2">
      <c r="A178" s="6"/>
      <c r="B178" s="6"/>
      <c r="C178" s="63"/>
      <c r="D178" s="5"/>
      <c r="E178" s="53"/>
      <c r="F178" s="53"/>
    </row>
    <row r="179" spans="1:6" x14ac:dyDescent="0.2">
      <c r="A179" s="6"/>
      <c r="B179" s="6"/>
      <c r="C179" s="63"/>
      <c r="D179" s="5"/>
      <c r="E179" s="53"/>
      <c r="F179" s="53"/>
    </row>
    <row r="180" spans="1:6" x14ac:dyDescent="0.2">
      <c r="A180" s="6"/>
      <c r="B180" s="6"/>
      <c r="C180" s="63"/>
      <c r="D180" s="5"/>
      <c r="E180" s="53"/>
      <c r="F180" s="53"/>
    </row>
    <row r="181" spans="1:6" x14ac:dyDescent="0.2">
      <c r="A181" s="6"/>
      <c r="B181" s="6"/>
      <c r="C181" s="63"/>
      <c r="D181" s="5"/>
      <c r="E181" s="53"/>
      <c r="F181" s="53"/>
    </row>
    <row r="182" spans="1:6" x14ac:dyDescent="0.2">
      <c r="A182" s="6"/>
      <c r="B182" s="6"/>
      <c r="C182" s="63"/>
      <c r="D182" s="5"/>
      <c r="E182" s="53"/>
      <c r="F182" s="53"/>
    </row>
    <row r="183" spans="1:6" x14ac:dyDescent="0.2">
      <c r="A183" s="6"/>
      <c r="B183" s="6"/>
      <c r="C183" s="63"/>
      <c r="D183" s="5"/>
      <c r="E183" s="53"/>
      <c r="F183" s="53"/>
    </row>
    <row r="184" spans="1:6" x14ac:dyDescent="0.2">
      <c r="A184" s="6"/>
      <c r="B184" s="6"/>
      <c r="C184" s="63"/>
      <c r="D184" s="5"/>
      <c r="E184" s="53"/>
      <c r="F184" s="53"/>
    </row>
    <row r="185" spans="1:6" x14ac:dyDescent="0.2">
      <c r="A185" s="6"/>
      <c r="B185" s="6"/>
      <c r="C185" s="63"/>
      <c r="D185" s="5"/>
      <c r="E185" s="53"/>
      <c r="F185" s="53"/>
    </row>
    <row r="186" spans="1:6" x14ac:dyDescent="0.2">
      <c r="A186" s="6"/>
      <c r="B186" s="6"/>
      <c r="C186" s="63"/>
      <c r="D186" s="5"/>
      <c r="E186" s="53"/>
      <c r="F186" s="53"/>
    </row>
    <row r="187" spans="1:6" x14ac:dyDescent="0.2">
      <c r="A187" s="6"/>
      <c r="B187" s="6"/>
      <c r="C187" s="63"/>
      <c r="D187" s="5"/>
      <c r="E187" s="53"/>
      <c r="F187" s="53"/>
    </row>
    <row r="188" spans="1:6" x14ac:dyDescent="0.2">
      <c r="A188" s="6"/>
      <c r="B188" s="6"/>
      <c r="C188" s="63"/>
      <c r="D188" s="5"/>
      <c r="E188" s="53"/>
      <c r="F188" s="53"/>
    </row>
    <row r="189" spans="1:6" x14ac:dyDescent="0.2">
      <c r="A189" s="6"/>
      <c r="B189" s="6"/>
      <c r="C189" s="63"/>
      <c r="D189" s="5"/>
      <c r="E189" s="53"/>
      <c r="F189" s="53"/>
    </row>
    <row r="190" spans="1:6" x14ac:dyDescent="0.2">
      <c r="A190" s="6"/>
      <c r="B190" s="6"/>
      <c r="C190" s="63"/>
      <c r="D190" s="5"/>
      <c r="E190" s="53"/>
      <c r="F190" s="53"/>
    </row>
    <row r="191" spans="1:6" x14ac:dyDescent="0.2">
      <c r="A191" s="6"/>
      <c r="B191" s="6"/>
      <c r="C191" s="63"/>
      <c r="D191" s="5"/>
      <c r="E191" s="53"/>
      <c r="F191" s="53"/>
    </row>
    <row r="192" spans="1:6" x14ac:dyDescent="0.2">
      <c r="A192" s="6"/>
      <c r="B192" s="6"/>
      <c r="C192" s="63"/>
      <c r="D192" s="5"/>
      <c r="E192" s="53"/>
      <c r="F192" s="53"/>
    </row>
    <row r="193" spans="1:6" x14ac:dyDescent="0.2">
      <c r="A193" s="6"/>
      <c r="B193" s="6"/>
      <c r="C193" s="63"/>
      <c r="D193" s="5"/>
      <c r="E193" s="53"/>
      <c r="F193" s="53"/>
    </row>
    <row r="194" spans="1:6" x14ac:dyDescent="0.2">
      <c r="A194" s="6"/>
      <c r="B194" s="6"/>
      <c r="C194" s="63"/>
      <c r="D194" s="5"/>
      <c r="E194" s="53"/>
      <c r="F194" s="53"/>
    </row>
    <row r="195" spans="1:6" x14ac:dyDescent="0.2">
      <c r="A195" s="6"/>
      <c r="B195" s="6"/>
      <c r="C195" s="63"/>
      <c r="D195" s="5"/>
      <c r="E195" s="53"/>
      <c r="F195" s="53"/>
    </row>
    <row r="196" spans="1:6" x14ac:dyDescent="0.2">
      <c r="A196" s="6"/>
      <c r="B196" s="6"/>
      <c r="C196" s="63"/>
      <c r="D196" s="5"/>
      <c r="E196" s="53"/>
      <c r="F196" s="53"/>
    </row>
    <row r="197" spans="1:6" x14ac:dyDescent="0.2">
      <c r="A197" s="6"/>
      <c r="B197" s="6"/>
      <c r="C197" s="63"/>
      <c r="D197" s="5"/>
      <c r="E197" s="53"/>
      <c r="F197" s="53"/>
    </row>
    <row r="198" spans="1:6" x14ac:dyDescent="0.2">
      <c r="A198" s="6"/>
      <c r="B198" s="6"/>
      <c r="C198" s="63"/>
      <c r="D198" s="5"/>
      <c r="E198" s="53"/>
      <c r="F198" s="53"/>
    </row>
    <row r="199" spans="1:6" x14ac:dyDescent="0.2">
      <c r="A199" s="6"/>
      <c r="B199" s="6"/>
      <c r="C199" s="63"/>
      <c r="D199" s="5"/>
      <c r="E199" s="53"/>
      <c r="F199" s="53"/>
    </row>
    <row r="200" spans="1:6" x14ac:dyDescent="0.2">
      <c r="A200" s="6"/>
      <c r="B200" s="6"/>
      <c r="C200" s="63"/>
      <c r="D200" s="5"/>
      <c r="E200" s="53"/>
      <c r="F200" s="53"/>
    </row>
    <row r="201" spans="1:6" x14ac:dyDescent="0.2">
      <c r="A201" s="6"/>
      <c r="B201" s="6"/>
      <c r="C201" s="63"/>
      <c r="D201" s="5"/>
      <c r="E201" s="53"/>
      <c r="F201" s="53"/>
    </row>
    <row r="202" spans="1:6" x14ac:dyDescent="0.2">
      <c r="A202" s="6"/>
      <c r="B202" s="6"/>
      <c r="C202" s="63"/>
      <c r="D202" s="5"/>
      <c r="E202" s="53"/>
      <c r="F202" s="53"/>
    </row>
    <row r="203" spans="1:6" x14ac:dyDescent="0.2">
      <c r="A203" s="6"/>
      <c r="B203" s="6"/>
      <c r="C203" s="63"/>
      <c r="D203" s="5"/>
      <c r="E203" s="53"/>
      <c r="F203" s="53"/>
    </row>
    <row r="204" spans="1:6" x14ac:dyDescent="0.2">
      <c r="A204" s="6"/>
      <c r="B204" s="6"/>
      <c r="C204" s="63"/>
      <c r="D204" s="5"/>
      <c r="E204" s="53"/>
      <c r="F204" s="53"/>
    </row>
    <row r="205" spans="1:6" x14ac:dyDescent="0.2">
      <c r="A205" s="6"/>
      <c r="B205" s="6"/>
      <c r="C205" s="63"/>
      <c r="D205" s="5"/>
      <c r="E205" s="53"/>
      <c r="F205" s="53"/>
    </row>
    <row r="206" spans="1:6" x14ac:dyDescent="0.2">
      <c r="A206" s="6"/>
      <c r="B206" s="6"/>
      <c r="C206" s="63"/>
      <c r="D206" s="5"/>
      <c r="E206" s="53"/>
      <c r="F206" s="53"/>
    </row>
    <row r="207" spans="1:6" x14ac:dyDescent="0.2">
      <c r="A207" s="6"/>
      <c r="B207" s="6"/>
      <c r="C207" s="63"/>
      <c r="D207" s="5"/>
      <c r="E207" s="53"/>
      <c r="F207" s="53"/>
    </row>
    <row r="208" spans="1:6" x14ac:dyDescent="0.2">
      <c r="A208" s="6"/>
      <c r="B208" s="6"/>
      <c r="C208" s="63"/>
      <c r="D208" s="5"/>
      <c r="E208" s="53"/>
      <c r="F208" s="53"/>
    </row>
    <row r="209" spans="1:6" x14ac:dyDescent="0.2">
      <c r="A209" s="6"/>
      <c r="B209" s="6"/>
      <c r="C209" s="63"/>
      <c r="D209" s="5"/>
      <c r="E209" s="53"/>
      <c r="F209" s="53"/>
    </row>
    <row r="210" spans="1:6" x14ac:dyDescent="0.2">
      <c r="A210" s="6"/>
      <c r="B210" s="6"/>
      <c r="C210" s="63"/>
      <c r="D210" s="5"/>
      <c r="E210" s="53"/>
      <c r="F210" s="53"/>
    </row>
    <row r="211" spans="1:6" x14ac:dyDescent="0.2">
      <c r="A211" s="6"/>
      <c r="B211" s="6"/>
      <c r="C211" s="63"/>
      <c r="D211" s="5"/>
      <c r="E211" s="53"/>
      <c r="F211" s="53"/>
    </row>
    <row r="212" spans="1:6" x14ac:dyDescent="0.2">
      <c r="A212" s="6"/>
      <c r="B212" s="6"/>
      <c r="C212" s="63"/>
      <c r="D212" s="5"/>
      <c r="E212" s="53"/>
      <c r="F212" s="53"/>
    </row>
    <row r="213" spans="1:6" x14ac:dyDescent="0.2">
      <c r="A213" s="6"/>
      <c r="B213" s="6"/>
      <c r="C213" s="63"/>
      <c r="D213" s="5"/>
      <c r="E213" s="53"/>
      <c r="F213" s="53"/>
    </row>
    <row r="214" spans="1:6" x14ac:dyDescent="0.2">
      <c r="A214" s="6"/>
      <c r="B214" s="6"/>
      <c r="C214" s="63"/>
      <c r="D214" s="5"/>
      <c r="E214" s="53"/>
      <c r="F214" s="53"/>
    </row>
    <row r="215" spans="1:6" x14ac:dyDescent="0.2">
      <c r="A215" s="6"/>
      <c r="B215" s="6"/>
      <c r="C215" s="63"/>
      <c r="D215" s="5"/>
      <c r="E215" s="53"/>
      <c r="F215" s="53"/>
    </row>
    <row r="216" spans="1:6" x14ac:dyDescent="0.2">
      <c r="C216" s="63"/>
      <c r="D216" s="5"/>
      <c r="E216" s="53"/>
      <c r="F216" s="53"/>
    </row>
  </sheetData>
  <mergeCells count="1">
    <mergeCell ref="B102:D103"/>
  </mergeCells>
  <hyperlinks>
    <hyperlink ref="E102" r:id="rId1" location="sec0135" display="https://www.sciencedirect.com/science/article/pii/S0167880913003496?via%3Dihub - sec0135" xr:uid="{1E240D13-945F-47A8-965A-78A1551225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E759-29DE-9246-88CE-38D8A9AC2175}">
  <dimension ref="A1:O54"/>
  <sheetViews>
    <sheetView topLeftCell="A16" zoomScaleNormal="100" workbookViewId="0">
      <selection activeCell="B54" sqref="B54"/>
    </sheetView>
  </sheetViews>
  <sheetFormatPr baseColWidth="10" defaultColWidth="8.83203125" defaultRowHeight="14" x14ac:dyDescent="0.2"/>
  <cols>
    <col min="1" max="1" width="33.6640625" style="159" customWidth="1"/>
    <col min="2" max="2" width="14.1640625" style="159" bestFit="1" customWidth="1"/>
    <col min="3" max="6" width="8.83203125" style="159"/>
    <col min="7" max="7" width="9.33203125" style="159" bestFit="1" customWidth="1"/>
    <col min="8" max="8" width="9" style="159" bestFit="1" customWidth="1"/>
    <col min="9" max="9" width="9.33203125" style="159" bestFit="1" customWidth="1"/>
    <col min="10" max="10" width="12" style="159" bestFit="1" customWidth="1"/>
    <col min="11" max="11" width="9.33203125" style="159" bestFit="1" customWidth="1"/>
    <col min="12" max="12" width="8.83203125" style="159"/>
    <col min="13" max="13" width="12.5" style="159" bestFit="1" customWidth="1"/>
    <col min="14" max="14" width="12.33203125" style="159" bestFit="1" customWidth="1"/>
    <col min="15" max="16384" width="8.83203125" style="159"/>
  </cols>
  <sheetData>
    <row r="1" spans="1:15" x14ac:dyDescent="0.2">
      <c r="A1" s="158" t="s">
        <v>2</v>
      </c>
      <c r="B1" s="158" t="s">
        <v>153</v>
      </c>
    </row>
    <row r="2" spans="1:15" x14ac:dyDescent="0.2">
      <c r="A2" s="159" t="s">
        <v>3</v>
      </c>
      <c r="B2" s="159" t="s">
        <v>343</v>
      </c>
    </row>
    <row r="3" spans="1:15" x14ac:dyDescent="0.2">
      <c r="A3" s="159" t="s">
        <v>4</v>
      </c>
      <c r="B3" s="159" t="s">
        <v>5</v>
      </c>
    </row>
    <row r="4" spans="1:15" x14ac:dyDescent="0.2">
      <c r="A4" s="159" t="s">
        <v>6</v>
      </c>
      <c r="B4" s="159" t="s">
        <v>150</v>
      </c>
    </row>
    <row r="5" spans="1:15" x14ac:dyDescent="0.2">
      <c r="A5" s="159" t="s">
        <v>9</v>
      </c>
      <c r="B5" s="159" t="s">
        <v>10</v>
      </c>
    </row>
    <row r="6" spans="1:15" x14ac:dyDescent="0.2">
      <c r="A6" s="158" t="s">
        <v>11</v>
      </c>
    </row>
    <row r="7" spans="1:15" x14ac:dyDescent="0.2">
      <c r="A7" s="159" t="s">
        <v>12</v>
      </c>
      <c r="B7" s="159" t="s">
        <v>13</v>
      </c>
      <c r="C7" s="159" t="s">
        <v>29</v>
      </c>
      <c r="D7" s="159" t="s">
        <v>4</v>
      </c>
      <c r="E7" s="159" t="s">
        <v>9</v>
      </c>
      <c r="F7" s="159" t="s">
        <v>7</v>
      </c>
      <c r="G7" s="159" t="s">
        <v>6</v>
      </c>
      <c r="H7" s="159" t="s">
        <v>3</v>
      </c>
      <c r="I7" s="159" t="s">
        <v>266</v>
      </c>
      <c r="J7" s="159" t="s">
        <v>269</v>
      </c>
      <c r="K7" s="159" t="s">
        <v>270</v>
      </c>
      <c r="L7" s="159" t="s">
        <v>271</v>
      </c>
      <c r="M7" s="159" t="s">
        <v>272</v>
      </c>
      <c r="N7" s="159" t="s">
        <v>267</v>
      </c>
    </row>
    <row r="8" spans="1:15" x14ac:dyDescent="0.2">
      <c r="A8" s="159" t="str">
        <f>B1</f>
        <v>supply of rice straw</v>
      </c>
      <c r="B8" s="159">
        <v>1</v>
      </c>
      <c r="D8" s="159" t="s">
        <v>5</v>
      </c>
      <c r="E8" s="159" t="s">
        <v>10</v>
      </c>
      <c r="F8" s="159" t="s">
        <v>14</v>
      </c>
      <c r="G8" s="159" t="s">
        <v>150</v>
      </c>
    </row>
    <row r="9" spans="1:15" x14ac:dyDescent="0.2">
      <c r="A9" s="159" t="s">
        <v>173</v>
      </c>
      <c r="B9" s="173">
        <f>'rice_straw (parameters)'!C14*(44/12)*'rice_straw (parameters)'!C4</f>
        <v>1.6826809999999999</v>
      </c>
      <c r="C9" s="159" t="s">
        <v>174</v>
      </c>
      <c r="E9" s="159" t="s">
        <v>10</v>
      </c>
      <c r="F9" s="159" t="s">
        <v>33</v>
      </c>
      <c r="K9" s="162"/>
      <c r="O9" s="162"/>
    </row>
    <row r="11" spans="1:15" x14ac:dyDescent="0.2">
      <c r="A11" s="158" t="s">
        <v>2</v>
      </c>
      <c r="B11" s="158" t="s">
        <v>152</v>
      </c>
    </row>
    <row r="12" spans="1:15" x14ac:dyDescent="0.2">
      <c r="A12" s="159" t="s">
        <v>3</v>
      </c>
      <c r="B12" s="159" t="s">
        <v>151</v>
      </c>
    </row>
    <row r="13" spans="1:15" ht="15" x14ac:dyDescent="0.2">
      <c r="A13" s="159" t="s">
        <v>4</v>
      </c>
      <c r="B13" s="160" t="s">
        <v>5</v>
      </c>
    </row>
    <row r="14" spans="1:15" x14ac:dyDescent="0.2">
      <c r="A14" s="159" t="s">
        <v>6</v>
      </c>
      <c r="B14" s="159" t="s">
        <v>147</v>
      </c>
    </row>
    <row r="15" spans="1:15" ht="15" x14ac:dyDescent="0.2">
      <c r="A15" s="159" t="s">
        <v>9</v>
      </c>
      <c r="B15" s="160" t="s">
        <v>10</v>
      </c>
    </row>
    <row r="16" spans="1:15" x14ac:dyDescent="0.2">
      <c r="A16" s="158" t="s">
        <v>11</v>
      </c>
      <c r="B16" s="160"/>
    </row>
    <row r="17" spans="1:14" x14ac:dyDescent="0.2">
      <c r="A17" s="159" t="s">
        <v>12</v>
      </c>
      <c r="B17" s="159" t="s">
        <v>13</v>
      </c>
      <c r="C17" s="159" t="s">
        <v>29</v>
      </c>
      <c r="D17" s="159" t="s">
        <v>4</v>
      </c>
      <c r="E17" s="159" t="s">
        <v>9</v>
      </c>
      <c r="F17" s="159" t="s">
        <v>7</v>
      </c>
      <c r="G17" s="159" t="s">
        <v>6</v>
      </c>
      <c r="H17" s="159" t="s">
        <v>3</v>
      </c>
      <c r="I17" s="159" t="s">
        <v>266</v>
      </c>
      <c r="J17" s="159" t="s">
        <v>269</v>
      </c>
      <c r="K17" s="159" t="s">
        <v>270</v>
      </c>
      <c r="L17" s="159" t="s">
        <v>271</v>
      </c>
      <c r="M17" s="159" t="s">
        <v>272</v>
      </c>
      <c r="N17" s="159" t="s">
        <v>267</v>
      </c>
    </row>
    <row r="18" spans="1:14" x14ac:dyDescent="0.2">
      <c r="A18" s="159" t="str">
        <f>B11</f>
        <v>drying and chipping of rice straw</v>
      </c>
      <c r="B18" s="159">
        <v>1</v>
      </c>
      <c r="D18" s="159" t="s">
        <v>5</v>
      </c>
      <c r="E18" s="159" t="s">
        <v>10</v>
      </c>
      <c r="F18" s="159" t="s">
        <v>14</v>
      </c>
      <c r="G18" s="159" t="str">
        <f>B14</f>
        <v>rice straw, chipped and dried</v>
      </c>
    </row>
    <row r="19" spans="1:14" x14ac:dyDescent="0.2">
      <c r="A19" s="159" t="str">
        <f>B1</f>
        <v>supply of rice straw</v>
      </c>
      <c r="B19" s="170">
        <f>'rice_straw (parameters)'!C6</f>
        <v>1.0989010989010988</v>
      </c>
      <c r="D19" s="159" t="s">
        <v>5</v>
      </c>
      <c r="E19" s="159" t="s">
        <v>10</v>
      </c>
      <c r="F19" s="159" t="s">
        <v>15</v>
      </c>
      <c r="G19" s="159" t="s">
        <v>150</v>
      </c>
      <c r="H19" s="159" t="str">
        <f>"Conversion factor from wet to dry mass "&amp;TEXT('rice_straw (parameters)'!C4,"0.00")</f>
        <v>Conversion factor from wet to dry mass 0.91</v>
      </c>
    </row>
    <row r="20" spans="1:14" x14ac:dyDescent="0.2">
      <c r="A20" s="159" t="s">
        <v>16</v>
      </c>
      <c r="B20" s="159">
        <f>'rice_straw (parameters)'!C43</f>
        <v>0.24299999999999994</v>
      </c>
      <c r="D20" s="159" t="s">
        <v>17</v>
      </c>
      <c r="E20" s="159" t="s">
        <v>18</v>
      </c>
      <c r="F20" s="159" t="s">
        <v>15</v>
      </c>
      <c r="G20" s="159" t="s">
        <v>19</v>
      </c>
      <c r="H20" s="159" t="str">
        <f>TEXT('rice_straw (parameters)'!E43,"0")&amp;
" MJ of heat needed for "&amp;TEXT('rice_straw (parameters)'!C3,"0")&amp;
" t of feedstock"</f>
        <v>2430 MJ of heat needed for 10000 t of feedstock</v>
      </c>
      <c r="I20" s="159">
        <v>2</v>
      </c>
      <c r="J20" s="159">
        <f>'Uncertainty table'!R57</f>
        <v>-1.4146938356415886</v>
      </c>
      <c r="K20" s="159">
        <f>'Uncertainty table'!S57</f>
        <v>0.26236426446749106</v>
      </c>
    </row>
    <row r="21" spans="1:14" x14ac:dyDescent="0.2">
      <c r="A21" s="159" t="s">
        <v>166</v>
      </c>
      <c r="B21" s="159">
        <v>0.1</v>
      </c>
      <c r="D21" s="159" t="s">
        <v>5</v>
      </c>
      <c r="E21" s="159" t="s">
        <v>20</v>
      </c>
      <c r="F21" s="159" t="s">
        <v>15</v>
      </c>
      <c r="G21" s="159" t="s">
        <v>167</v>
      </c>
      <c r="H21" s="159" t="s">
        <v>21</v>
      </c>
    </row>
    <row r="22" spans="1:14" x14ac:dyDescent="0.2">
      <c r="A22" s="159" t="s">
        <v>22</v>
      </c>
      <c r="B22" s="171">
        <f>'rice_straw (parameters)'!C41</f>
        <v>5.3213888931459997E-3</v>
      </c>
      <c r="D22" s="159" t="s">
        <v>5</v>
      </c>
      <c r="E22" s="159" t="s">
        <v>23</v>
      </c>
      <c r="F22" s="159" t="s">
        <v>15</v>
      </c>
      <c r="G22" s="159" t="s">
        <v>24</v>
      </c>
      <c r="H22" s="159" t="str">
        <f>TEXT('rice_straw (parameters)'!E41,"0.00")&amp;
" kWh for electric chipping and drying for "&amp;TEXT('rice_straw (parameters)'!C3,"0")&amp;
" t of feedstock, conversion rate from GJ to kWh "&amp;TEXT('rice_straw (parameters)'!B33,"0.000")</f>
        <v>53.21 kWh for electric chipping and drying for 10000 t of feedstock, conversion rate from GJ to kWh 277.778</v>
      </c>
      <c r="I22" s="159">
        <v>2</v>
      </c>
      <c r="J22" s="159">
        <f>'Uncertainty table'!R58</f>
        <v>-5.2362819756285841</v>
      </c>
      <c r="K22" s="159">
        <f>'Uncertainty table'!S58</f>
        <v>0.26236426446749106</v>
      </c>
    </row>
    <row r="25" spans="1:14" x14ac:dyDescent="0.2">
      <c r="A25" s="158" t="s">
        <v>2</v>
      </c>
      <c r="B25" s="158" t="s">
        <v>149</v>
      </c>
    </row>
    <row r="26" spans="1:14" x14ac:dyDescent="0.2">
      <c r="A26" s="159" t="s">
        <v>3</v>
      </c>
      <c r="B26" s="159" t="s">
        <v>148</v>
      </c>
    </row>
    <row r="27" spans="1:14" x14ac:dyDescent="0.2">
      <c r="A27" s="159" t="s">
        <v>4</v>
      </c>
      <c r="B27" s="159" t="s">
        <v>5</v>
      </c>
    </row>
    <row r="28" spans="1:14" x14ac:dyDescent="0.2">
      <c r="A28" s="159" t="s">
        <v>6</v>
      </c>
      <c r="B28" s="159" t="s">
        <v>1</v>
      </c>
    </row>
    <row r="29" spans="1:14" x14ac:dyDescent="0.2">
      <c r="A29" s="159" t="s">
        <v>9</v>
      </c>
      <c r="B29" s="159" t="s">
        <v>10</v>
      </c>
    </row>
    <row r="30" spans="1:14" x14ac:dyDescent="0.2">
      <c r="A30" s="158" t="s">
        <v>11</v>
      </c>
    </row>
    <row r="31" spans="1:14" x14ac:dyDescent="0.2">
      <c r="A31" s="159" t="s">
        <v>12</v>
      </c>
      <c r="B31" s="159" t="s">
        <v>13</v>
      </c>
      <c r="C31" s="159" t="s">
        <v>29</v>
      </c>
      <c r="D31" s="159" t="s">
        <v>4</v>
      </c>
      <c r="E31" s="159" t="s">
        <v>9</v>
      </c>
      <c r="F31" s="159" t="s">
        <v>7</v>
      </c>
      <c r="G31" s="159" t="s">
        <v>6</v>
      </c>
      <c r="H31" s="159" t="s">
        <v>3</v>
      </c>
      <c r="I31" s="159" t="s">
        <v>266</v>
      </c>
      <c r="J31" s="159" t="s">
        <v>269</v>
      </c>
      <c r="K31" s="159" t="s">
        <v>270</v>
      </c>
      <c r="L31" s="159" t="s">
        <v>271</v>
      </c>
      <c r="M31" s="159" t="s">
        <v>272</v>
      </c>
      <c r="N31" s="159" t="s">
        <v>267</v>
      </c>
    </row>
    <row r="32" spans="1:14" x14ac:dyDescent="0.2">
      <c r="A32" s="159" t="str">
        <f>B25</f>
        <v>biochar production, from rice straw pyrolysis</v>
      </c>
      <c r="B32" s="161">
        <v>1</v>
      </c>
      <c r="D32" s="159" t="s">
        <v>5</v>
      </c>
      <c r="E32" s="159" t="s">
        <v>10</v>
      </c>
      <c r="F32" s="159" t="s">
        <v>14</v>
      </c>
      <c r="G32" s="159" t="str">
        <f>B28</f>
        <v>biochar</v>
      </c>
    </row>
    <row r="33" spans="1:15" x14ac:dyDescent="0.2">
      <c r="A33" s="159" t="str">
        <f>B11</f>
        <v>drying and chipping of rice straw</v>
      </c>
      <c r="B33" s="170">
        <f>'rice_straw (parameters)'!C12</f>
        <v>1.3149574057673461</v>
      </c>
      <c r="D33" s="159" t="s">
        <v>5</v>
      </c>
      <c r="E33" s="159" t="s">
        <v>10</v>
      </c>
      <c r="F33" s="159" t="s">
        <v>15</v>
      </c>
      <c r="G33" s="159" t="s">
        <v>147</v>
      </c>
      <c r="H33" s="159" t="str">
        <f>"biochar yield rate "&amp;TEXT('rice_straw (parameters)'!B68,"0.00")&amp;
", allocation rate of "&amp;TEXT('rice_straw (parameters)'!E68,"0.00")</f>
        <v>biochar yield rate 0.38, allocation rate of 0.50</v>
      </c>
      <c r="I33" s="159">
        <v>2</v>
      </c>
      <c r="J33" s="159">
        <f>'Uncertainty table'!R59</f>
        <v>0.27383666562972786</v>
      </c>
      <c r="K33" s="159">
        <f>'Uncertainty table'!S59</f>
        <v>0.18232155679395459</v>
      </c>
    </row>
    <row r="34" spans="1:15" x14ac:dyDescent="0.2">
      <c r="A34" s="159" t="s">
        <v>16</v>
      </c>
      <c r="B34" s="170">
        <f>'rice_straw (parameters)'!C30</f>
        <v>0.2429073130405458</v>
      </c>
      <c r="D34" s="159" t="s">
        <v>17</v>
      </c>
      <c r="E34" s="159" t="s">
        <v>18</v>
      </c>
      <c r="F34" s="159" t="s">
        <v>15</v>
      </c>
      <c r="G34" s="159" t="s">
        <v>19</v>
      </c>
      <c r="H34" s="159" t="str">
        <f>"total heat for producing "&amp;TEXT('rice_straw (parameters)'!C9,"0.00")&amp;
" tonnes of biochar is "&amp;TEXT('rice_straw (parameters)'!C26,"0.00")&amp;
" GJ (pre-allocation), allocation rate of "&amp;TEXT('rice_straw (parameters)'!E68,"0.00")</f>
        <v>total heat for producing 3476.65 tonnes of biochar is 1681.01 GJ (pre-allocation), allocation rate of 0.50</v>
      </c>
      <c r="I34" s="159">
        <v>2</v>
      </c>
      <c r="J34" s="159">
        <f>'Uncertainty table'!R60</f>
        <v>-1.4151054429740102</v>
      </c>
      <c r="K34" s="159">
        <f>'Uncertainty table'!S60</f>
        <v>0.18232155679395459</v>
      </c>
    </row>
    <row r="35" spans="1:15" x14ac:dyDescent="0.2">
      <c r="A35" s="159" t="s">
        <v>22</v>
      </c>
      <c r="B35" s="170">
        <f>'rice_straw (parameters)'!C31</f>
        <v>1.4020592863308477E-2</v>
      </c>
      <c r="D35" s="159" t="s">
        <v>5</v>
      </c>
      <c r="E35" s="159" t="s">
        <v>23</v>
      </c>
      <c r="F35" s="159" t="s">
        <v>15</v>
      </c>
      <c r="G35" s="159" t="s">
        <v>24</v>
      </c>
      <c r="H35" s="159" t="str">
        <f>"total electricity for producing "&amp;TEXT('rice_straw (parameters)'!C9,"0.00")&amp;
" tonnes of biochar is "&amp;TEXT('rice_straw (parameters)'!C25,"0.00")&amp;
" GJ (pre-allocation), allocation rate of "&amp;TEXT('rice_straw (parameters)'!E68,"0.00")</f>
        <v>total electricity for producing 3476.65 tonnes of biochar is 349.30 GJ (pre-allocation), allocation rate of 0.50</v>
      </c>
      <c r="I35" s="159">
        <v>2</v>
      </c>
      <c r="J35" s="159">
        <f>'Uncertainty table'!R61</f>
        <v>-4.2686979493668789</v>
      </c>
      <c r="K35" s="159">
        <f>'Uncertainty table'!S61</f>
        <v>0.18232155679395459</v>
      </c>
    </row>
    <row r="36" spans="1:15" x14ac:dyDescent="0.2">
      <c r="A36" s="159" t="s">
        <v>25</v>
      </c>
      <c r="B36" s="166">
        <f>'rice_straw (parameters)'!C51</f>
        <v>6.5747870288367305E-9</v>
      </c>
      <c r="D36" s="159" t="s">
        <v>26</v>
      </c>
      <c r="E36" s="159" t="s">
        <v>9</v>
      </c>
      <c r="F36" s="159" t="s">
        <v>15</v>
      </c>
      <c r="G36" s="159" t="s">
        <v>124</v>
      </c>
      <c r="H36" s="159" t="str">
        <f>"lifetime of "&amp;TEXT('rice_straw (parameters)'!C46,"0")&amp;
" years, plant capacity of "&amp;TEXT('rice_straw (parameters)'!C47,"0")&amp;
" tonnes, allocation rate of "&amp;TEXT('rice_straw (parameters)'!E68,"0.00")&amp;
", biochar yield rate of "&amp;TEXT('rice_straw (parameters)'!B68,"0.00")&amp;
", max amount of biochar produced throughout its lifetime "&amp;TEXT('rice_straw (parameters)'!C48,"0.00")&amp; " tonnes "</f>
        <v xml:space="preserve">lifetime of 20 years, plant capacity of 10000 tonnes, allocation rate of 0.50, biochar yield rate of 0.38, max amount of biochar produced throughout its lifetime 76409.92 tonnes </v>
      </c>
    </row>
    <row r="37" spans="1:15" x14ac:dyDescent="0.2">
      <c r="A37" s="159" t="s">
        <v>31</v>
      </c>
      <c r="B37" s="162">
        <f>'rice_straw (parameters)'!C18</f>
        <v>0.44413534128095344</v>
      </c>
      <c r="C37" s="159" t="s">
        <v>32</v>
      </c>
      <c r="E37" s="159" t="s">
        <v>10</v>
      </c>
      <c r="F37" s="159" t="s">
        <v>33</v>
      </c>
      <c r="I37" s="159">
        <v>2</v>
      </c>
      <c r="J37" s="159">
        <f>'Uncertainty table'!R62</f>
        <v>-0.81162670871092446</v>
      </c>
      <c r="K37" s="159">
        <f>'Uncertainty table'!S62</f>
        <v>0.18232155679395459</v>
      </c>
    </row>
    <row r="39" spans="1:15" x14ac:dyDescent="0.2">
      <c r="A39" s="158" t="s">
        <v>2</v>
      </c>
      <c r="B39" s="158" t="s">
        <v>146</v>
      </c>
    </row>
    <row r="40" spans="1:15" x14ac:dyDescent="0.2">
      <c r="A40" s="159" t="s">
        <v>3</v>
      </c>
      <c r="B40" s="159" t="s">
        <v>27</v>
      </c>
    </row>
    <row r="41" spans="1:15" x14ac:dyDescent="0.2">
      <c r="A41" s="159" t="s">
        <v>4</v>
      </c>
      <c r="B41" s="159" t="s">
        <v>5</v>
      </c>
    </row>
    <row r="42" spans="1:15" x14ac:dyDescent="0.2">
      <c r="A42" s="159" t="s">
        <v>6</v>
      </c>
      <c r="B42" s="159" t="s">
        <v>28</v>
      </c>
    </row>
    <row r="43" spans="1:15" x14ac:dyDescent="0.2">
      <c r="A43" s="159" t="s">
        <v>9</v>
      </c>
      <c r="B43" s="159" t="s">
        <v>10</v>
      </c>
    </row>
    <row r="44" spans="1:15" x14ac:dyDescent="0.2">
      <c r="A44" s="158" t="s">
        <v>11</v>
      </c>
    </row>
    <row r="45" spans="1:15" x14ac:dyDescent="0.2">
      <c r="A45" s="159" t="s">
        <v>12</v>
      </c>
      <c r="B45" s="159" t="s">
        <v>13</v>
      </c>
      <c r="C45" s="159" t="s">
        <v>29</v>
      </c>
      <c r="D45" s="159" t="s">
        <v>4</v>
      </c>
      <c r="E45" s="159" t="s">
        <v>9</v>
      </c>
      <c r="F45" s="159" t="s">
        <v>7</v>
      </c>
      <c r="G45" s="159" t="s">
        <v>6</v>
      </c>
      <c r="H45" s="159" t="s">
        <v>3</v>
      </c>
      <c r="I45" s="159" t="s">
        <v>266</v>
      </c>
      <c r="J45" s="159" t="s">
        <v>269</v>
      </c>
      <c r="K45" s="159" t="s">
        <v>270</v>
      </c>
      <c r="L45" s="159" t="s">
        <v>271</v>
      </c>
      <c r="M45" s="159" t="s">
        <v>272</v>
      </c>
      <c r="N45" s="159" t="s">
        <v>267</v>
      </c>
      <c r="O45" s="164" t="s">
        <v>345</v>
      </c>
    </row>
    <row r="46" spans="1:15" x14ac:dyDescent="0.2">
      <c r="A46" s="159" t="str">
        <f>B39</f>
        <v>carbon dioxide, captured and stored, by rice straw biochar application on mineral soil</v>
      </c>
      <c r="B46" s="159">
        <v>1</v>
      </c>
      <c r="D46" s="159" t="s">
        <v>5</v>
      </c>
      <c r="E46" s="159" t="s">
        <v>10</v>
      </c>
      <c r="F46" s="159" t="s">
        <v>14</v>
      </c>
      <c r="G46" s="159" t="str">
        <f>B42</f>
        <v>carbon dioxide, captured</v>
      </c>
    </row>
    <row r="47" spans="1:15" x14ac:dyDescent="0.2">
      <c r="A47" s="159" t="str">
        <f>B25</f>
        <v>biochar production, from rice straw pyrolysis</v>
      </c>
      <c r="B47" s="165">
        <f>'rice_straw (parameters)'!C22</f>
        <v>0.69194447614153587</v>
      </c>
      <c r="D47" s="159" t="s">
        <v>5</v>
      </c>
      <c r="E47" s="159" t="s">
        <v>10</v>
      </c>
      <c r="F47" s="159" t="s">
        <v>15</v>
      </c>
      <c r="G47" s="159" t="s">
        <v>1</v>
      </c>
      <c r="H47" s="159" t="str">
        <f>"1 kilogram of biochar stores "&amp;TEXT('rice_straw (parameters)'!C21,"0.000")&amp;
" kg of CO2, and "&amp;TEXT('rice_straw (parameters)'!C20,"0.000")&amp;
" of the carbon content is assumed stable. Carbon content: "&amp;TEXT('rice_straw (parameters)'!C17,"0.000")&amp;
" kg C/kg biochar."</f>
        <v>1 kilogram of biochar stores 1.445 kg of CO2, and 0.727 of the carbon content is assumed stable. Carbon content: 1.987 kg C/kg biochar.</v>
      </c>
      <c r="I47" s="159">
        <v>2</v>
      </c>
      <c r="J47" s="159">
        <f>'Uncertainty table'!R63</f>
        <v>-0.36816932336446756</v>
      </c>
      <c r="K47" s="159">
        <f>'Uncertainty table'!S63</f>
        <v>0.18232155679395459</v>
      </c>
    </row>
    <row r="48" spans="1:15" x14ac:dyDescent="0.2">
      <c r="A48" s="159" t="s">
        <v>166</v>
      </c>
      <c r="B48" s="159">
        <v>0.1</v>
      </c>
      <c r="D48" s="159" t="s">
        <v>5</v>
      </c>
      <c r="E48" s="159" t="s">
        <v>20</v>
      </c>
      <c r="F48" s="159" t="s">
        <v>15</v>
      </c>
      <c r="G48" s="159" t="s">
        <v>167</v>
      </c>
      <c r="H48" s="159" t="s">
        <v>30</v>
      </c>
    </row>
    <row r="49" spans="1:15" x14ac:dyDescent="0.2">
      <c r="A49" s="159" t="s">
        <v>168</v>
      </c>
      <c r="B49" s="159">
        <v>5.0000000000000001E-3</v>
      </c>
      <c r="D49" s="159" t="s">
        <v>26</v>
      </c>
      <c r="E49" s="159" t="s">
        <v>20</v>
      </c>
      <c r="F49" s="159" t="s">
        <v>15</v>
      </c>
      <c r="G49" s="159" t="s">
        <v>169</v>
      </c>
    </row>
    <row r="50" spans="1:15" x14ac:dyDescent="0.2">
      <c r="A50" s="159" t="s">
        <v>31</v>
      </c>
      <c r="B50" s="165">
        <f>'rice_straw (parameters)'!C23</f>
        <v>0.37513751375137527</v>
      </c>
      <c r="C50" s="159" t="s">
        <v>32</v>
      </c>
      <c r="E50" s="159" t="s">
        <v>10</v>
      </c>
      <c r="F50" s="159" t="s">
        <v>33</v>
      </c>
      <c r="I50" s="159">
        <v>2</v>
      </c>
      <c r="J50" s="159">
        <f>'Uncertainty table'!R64</f>
        <v>-0.98082925301172619</v>
      </c>
      <c r="K50" s="159">
        <f>'Uncertainty table'!S64</f>
        <v>0.18232155679395459</v>
      </c>
    </row>
    <row r="51" spans="1:15" x14ac:dyDescent="0.2">
      <c r="A51" s="159" t="s">
        <v>190</v>
      </c>
      <c r="B51" s="184">
        <f>G51*0.000001*B47</f>
        <v>7.9573614756276615E-7</v>
      </c>
      <c r="C51" s="166" t="s">
        <v>184</v>
      </c>
      <c r="E51" s="159" t="s">
        <v>10</v>
      </c>
      <c r="F51" s="159" t="s">
        <v>33</v>
      </c>
      <c r="G51" s="159">
        <v>1.1499999999999999</v>
      </c>
      <c r="H51" s="159" t="s">
        <v>319</v>
      </c>
      <c r="I51" s="159">
        <v>2</v>
      </c>
      <c r="J51" s="159">
        <f>'Uncertainty table'!R65</f>
        <v>-14.043998178962415</v>
      </c>
      <c r="K51" s="159">
        <f>'Uncertainty table'!S65</f>
        <v>0.40546510810816438</v>
      </c>
      <c r="M51" s="159" t="str">
        <f>'Uncertainty table'!U65</f>
        <v/>
      </c>
      <c r="N51" s="159" t="str">
        <f>'Uncertainty table'!V65</f>
        <v/>
      </c>
    </row>
    <row r="52" spans="1:15" x14ac:dyDescent="0.2">
      <c r="A52" s="159" t="s">
        <v>187</v>
      </c>
      <c r="B52" s="184">
        <f>-B47*'Uncertainty table'!E66</f>
        <v>-1.1763056094406108E-7</v>
      </c>
      <c r="C52" s="159" t="s">
        <v>184</v>
      </c>
      <c r="E52" s="159" t="s">
        <v>10</v>
      </c>
      <c r="F52" s="159" t="s">
        <v>33</v>
      </c>
      <c r="I52" s="159">
        <v>5</v>
      </c>
      <c r="J52" s="163">
        <f>B52</f>
        <v>-1.1763056094406108E-7</v>
      </c>
      <c r="M52" s="163">
        <f>-'Uncertainty table'!V66*B47</f>
        <v>-1.5684074792541481E-7</v>
      </c>
      <c r="N52" s="163">
        <f>-'Uncertainty table'!U66*B47</f>
        <v>-5.8815280472030541E-8</v>
      </c>
    </row>
    <row r="53" spans="1:15" x14ac:dyDescent="0.2">
      <c r="A53" s="159" t="s">
        <v>202</v>
      </c>
      <c r="B53" s="184">
        <f>-B47*'Uncertainty table'!E67</f>
        <v>-2.4910001141095292E-7</v>
      </c>
      <c r="C53" s="159" t="s">
        <v>233</v>
      </c>
      <c r="E53" s="159" t="s">
        <v>10</v>
      </c>
      <c r="F53" s="159" t="s">
        <v>33</v>
      </c>
      <c r="I53" s="159">
        <v>5</v>
      </c>
      <c r="J53" s="163">
        <f>B53</f>
        <v>-2.4910001141095292E-7</v>
      </c>
      <c r="M53" s="163">
        <f>-'Uncertainty table'!V67*B47</f>
        <v>-3.3213334854793727E-7</v>
      </c>
      <c r="N53" s="163">
        <f>-'Uncertainty table'!U67*B47</f>
        <v>-1.2455000570547646E-7</v>
      </c>
    </row>
    <row r="54" spans="1:15" x14ac:dyDescent="0.2">
      <c r="A54" s="159" t="s">
        <v>250</v>
      </c>
      <c r="B54" s="184">
        <f>-B47*'Uncertainty table'!E73</f>
        <v>-5.8866409374208504E-5</v>
      </c>
      <c r="C54" s="159" t="s">
        <v>251</v>
      </c>
      <c r="E54" s="159" t="s">
        <v>10</v>
      </c>
      <c r="F54" s="159" t="s">
        <v>33</v>
      </c>
      <c r="I54" s="159">
        <v>2</v>
      </c>
      <c r="J54" s="159">
        <f>'Uncertainty table'!R73</f>
        <v>-9.3719903658653365</v>
      </c>
      <c r="K54" s="159">
        <f>'Uncertainty table'!S73</f>
        <v>0.40546510810816438</v>
      </c>
      <c r="O54" s="159" t="b">
        <v>1</v>
      </c>
    </row>
  </sheetData>
  <autoFilter ref="A1:O54" xr:uid="{5119E759-29DE-9246-88CE-38D8A9AC217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A758-CC72-6448-A783-EFB36A4071DA}">
  <dimension ref="A1:P224"/>
  <sheetViews>
    <sheetView topLeftCell="A54" workbookViewId="0">
      <selection activeCell="A101" sqref="A101"/>
    </sheetView>
  </sheetViews>
  <sheetFormatPr baseColWidth="10" defaultColWidth="8.83203125" defaultRowHeight="15" x14ac:dyDescent="0.2"/>
  <cols>
    <col min="1" max="1" width="34.1640625" style="3" customWidth="1"/>
    <col min="2" max="2" width="25.83203125" style="3" customWidth="1"/>
    <col min="3" max="3" width="19.5" style="2" customWidth="1"/>
    <col min="4" max="4" width="12" style="2" customWidth="1"/>
    <col min="5" max="5" width="15" bestFit="1" customWidth="1"/>
    <col min="6" max="6" width="36.33203125" bestFit="1" customWidth="1"/>
    <col min="7" max="7" width="15.6640625" style="53" customWidth="1"/>
    <col min="8" max="16" width="8.83203125" style="53"/>
  </cols>
  <sheetData>
    <row r="1" spans="1:8" ht="16" thickBot="1" x14ac:dyDescent="0.25">
      <c r="A1" s="3" t="s">
        <v>129</v>
      </c>
      <c r="C1" s="66"/>
    </row>
    <row r="2" spans="1:8" ht="16" x14ac:dyDescent="0.2">
      <c r="A2" s="25" t="s">
        <v>34</v>
      </c>
      <c r="B2" s="26" t="s">
        <v>35</v>
      </c>
      <c r="C2" s="26" t="s">
        <v>36</v>
      </c>
      <c r="D2" s="27" t="s">
        <v>37</v>
      </c>
      <c r="E2" s="53"/>
      <c r="F2" s="4" t="s">
        <v>38</v>
      </c>
    </row>
    <row r="3" spans="1:8" ht="16" x14ac:dyDescent="0.2">
      <c r="A3" s="28" t="s">
        <v>39</v>
      </c>
      <c r="B3" s="29"/>
      <c r="C3" s="30">
        <v>10000</v>
      </c>
      <c r="D3" s="21" t="s">
        <v>40</v>
      </c>
      <c r="E3" s="53"/>
      <c r="F3" s="123" t="s">
        <v>41</v>
      </c>
      <c r="H3" s="53">
        <f>44/12</f>
        <v>3.6666666666666665</v>
      </c>
    </row>
    <row r="4" spans="1:8" ht="16" x14ac:dyDescent="0.2">
      <c r="A4" s="28" t="s">
        <v>42</v>
      </c>
      <c r="B4" s="29"/>
      <c r="C4" s="136">
        <v>0.91</v>
      </c>
      <c r="D4" s="21"/>
      <c r="E4" s="53"/>
      <c r="F4" s="129" t="s">
        <v>43</v>
      </c>
    </row>
    <row r="5" spans="1:8" ht="17" x14ac:dyDescent="0.2">
      <c r="A5" s="28" t="s">
        <v>44</v>
      </c>
      <c r="B5" s="31" t="s">
        <v>45</v>
      </c>
      <c r="C5" s="30">
        <f>C3*C4</f>
        <v>9100</v>
      </c>
      <c r="D5" s="21" t="s">
        <v>40</v>
      </c>
      <c r="E5" s="53"/>
      <c r="F5" s="53"/>
    </row>
    <row r="6" spans="1:8" ht="17" x14ac:dyDescent="0.2">
      <c r="A6" s="28" t="s">
        <v>46</v>
      </c>
      <c r="B6" s="31" t="s">
        <v>47</v>
      </c>
      <c r="C6" s="137">
        <f>1/C4</f>
        <v>1.0989010989010988</v>
      </c>
      <c r="D6" s="21" t="s">
        <v>48</v>
      </c>
      <c r="E6" s="53"/>
      <c r="F6" s="53"/>
    </row>
    <row r="7" spans="1:8" x14ac:dyDescent="0.2">
      <c r="A7" s="32"/>
      <c r="B7" s="33"/>
      <c r="C7" s="76"/>
      <c r="D7" s="34"/>
      <c r="E7" s="53"/>
      <c r="F7" s="53"/>
    </row>
    <row r="8" spans="1:8" ht="16" x14ac:dyDescent="0.2">
      <c r="A8" s="28" t="s">
        <v>49</v>
      </c>
      <c r="B8" s="29"/>
      <c r="C8" s="136">
        <f>B68</f>
        <v>0.38204960121625797</v>
      </c>
      <c r="D8" s="21"/>
      <c r="E8" s="53"/>
      <c r="F8" s="53"/>
    </row>
    <row r="9" spans="1:8" ht="17" x14ac:dyDescent="0.2">
      <c r="A9" s="28" t="s">
        <v>50</v>
      </c>
      <c r="B9" s="31" t="s">
        <v>51</v>
      </c>
      <c r="C9" s="30">
        <f>C5*C8</f>
        <v>3476.6513710679474</v>
      </c>
      <c r="D9" s="21" t="s">
        <v>40</v>
      </c>
      <c r="E9" s="53"/>
      <c r="F9" s="53"/>
    </row>
    <row r="10" spans="1:8" ht="16" x14ac:dyDescent="0.2">
      <c r="A10" s="28" t="s">
        <v>52</v>
      </c>
      <c r="B10" s="31"/>
      <c r="C10" s="30">
        <f>1000*C9</f>
        <v>3476651.3710679472</v>
      </c>
      <c r="D10" s="21" t="s">
        <v>48</v>
      </c>
      <c r="E10" s="53"/>
      <c r="F10" s="53"/>
    </row>
    <row r="11" spans="1:8" ht="17" x14ac:dyDescent="0.2">
      <c r="A11" s="28" t="s">
        <v>53</v>
      </c>
      <c r="B11" s="31" t="s">
        <v>54</v>
      </c>
      <c r="C11" s="30">
        <f>C5/C9</f>
        <v>2.6174611799527914</v>
      </c>
      <c r="D11" s="21" t="s">
        <v>48</v>
      </c>
      <c r="E11" s="53"/>
      <c r="F11" s="53"/>
    </row>
    <row r="12" spans="1:8" ht="34" x14ac:dyDescent="0.2">
      <c r="A12" s="28" t="s">
        <v>55</v>
      </c>
      <c r="B12" s="31" t="s">
        <v>56</v>
      </c>
      <c r="C12" s="127">
        <f>C11*C27</f>
        <v>1.3149574057673461</v>
      </c>
      <c r="D12" s="21" t="s">
        <v>48</v>
      </c>
      <c r="E12" s="53"/>
      <c r="F12" s="53"/>
    </row>
    <row r="13" spans="1:8" ht="16" x14ac:dyDescent="0.2">
      <c r="A13" s="35"/>
      <c r="B13" s="36"/>
      <c r="C13" s="61"/>
      <c r="D13" s="34"/>
      <c r="E13" s="53"/>
      <c r="F13" s="53"/>
    </row>
    <row r="14" spans="1:8" ht="16" x14ac:dyDescent="0.2">
      <c r="A14" s="28" t="s">
        <v>57</v>
      </c>
      <c r="B14" s="31"/>
      <c r="C14" s="115">
        <v>0.50429999999999997</v>
      </c>
      <c r="D14" s="21"/>
      <c r="E14" s="53"/>
      <c r="F14" s="53"/>
    </row>
    <row r="15" spans="1:8" ht="16" x14ac:dyDescent="0.2">
      <c r="A15" s="28" t="s">
        <v>175</v>
      </c>
      <c r="B15" s="31"/>
      <c r="C15" s="60">
        <f>C14*C12*H3</f>
        <v>2.4314877390043996</v>
      </c>
      <c r="D15" s="21" t="s">
        <v>48</v>
      </c>
      <c r="E15" s="53"/>
      <c r="F15" s="53"/>
    </row>
    <row r="16" spans="1:8" ht="16" x14ac:dyDescent="0.2">
      <c r="A16" s="28" t="s">
        <v>176</v>
      </c>
      <c r="B16" s="31"/>
      <c r="C16" s="115">
        <v>0.81734008600725672</v>
      </c>
      <c r="D16" s="21"/>
      <c r="E16" s="53"/>
      <c r="F16" s="53"/>
    </row>
    <row r="17" spans="1:6" ht="16" x14ac:dyDescent="0.2">
      <c r="A17" s="28" t="s">
        <v>177</v>
      </c>
      <c r="B17" s="31"/>
      <c r="C17" s="60">
        <f>C16*C15</f>
        <v>1.9873523977234462</v>
      </c>
      <c r="D17" s="21" t="s">
        <v>48</v>
      </c>
      <c r="E17" s="53"/>
      <c r="F17" s="53"/>
    </row>
    <row r="18" spans="1:6" ht="32" x14ac:dyDescent="0.2">
      <c r="A18" s="28" t="s">
        <v>178</v>
      </c>
      <c r="B18" s="31"/>
      <c r="C18" s="124">
        <f>C15-C17</f>
        <v>0.44413534128095344</v>
      </c>
      <c r="D18" s="21"/>
      <c r="E18" s="53"/>
      <c r="F18" s="53"/>
    </row>
    <row r="19" spans="1:6" ht="16" x14ac:dyDescent="0.2">
      <c r="A19" s="28"/>
      <c r="B19" s="31"/>
      <c r="C19" s="60"/>
      <c r="D19" s="21" t="s">
        <v>48</v>
      </c>
      <c r="E19" s="53"/>
      <c r="F19" s="53"/>
    </row>
    <row r="20" spans="1:6" ht="16" x14ac:dyDescent="0.2">
      <c r="A20" s="28" t="s">
        <v>179</v>
      </c>
      <c r="B20" s="31"/>
      <c r="C20" s="60">
        <v>0.72719999999999996</v>
      </c>
      <c r="D20" s="21" t="s">
        <v>48</v>
      </c>
      <c r="E20" s="53"/>
      <c r="F20" s="53"/>
    </row>
    <row r="21" spans="1:6" ht="16" x14ac:dyDescent="0.2">
      <c r="A21" s="28" t="s">
        <v>180</v>
      </c>
      <c r="B21" s="31"/>
      <c r="C21" s="60">
        <f>C20*C17</f>
        <v>1.4452026636244899</v>
      </c>
      <c r="D21" s="21" t="s">
        <v>48</v>
      </c>
      <c r="E21" s="53"/>
      <c r="F21" s="53"/>
    </row>
    <row r="22" spans="1:6" ht="16" x14ac:dyDescent="0.2">
      <c r="A22" s="28" t="s">
        <v>181</v>
      </c>
      <c r="B22" s="31"/>
      <c r="C22" s="124">
        <f>1/C21</f>
        <v>0.69194447614153587</v>
      </c>
      <c r="D22" s="21" t="s">
        <v>48</v>
      </c>
      <c r="E22" s="53"/>
      <c r="F22" s="53"/>
    </row>
    <row r="23" spans="1:6" ht="16" x14ac:dyDescent="0.2">
      <c r="A23" s="37" t="s">
        <v>182</v>
      </c>
      <c r="B23" s="36"/>
      <c r="C23" s="124">
        <f>(C17-C21)*C22</f>
        <v>0.37513751375137527</v>
      </c>
      <c r="D23" s="21" t="s">
        <v>48</v>
      </c>
      <c r="E23" s="53"/>
      <c r="F23" s="53"/>
    </row>
    <row r="24" spans="1:6" ht="16" x14ac:dyDescent="0.2">
      <c r="A24" s="28"/>
      <c r="B24" s="31"/>
      <c r="C24" s="60"/>
      <c r="D24" s="21" t="s">
        <v>48</v>
      </c>
      <c r="E24" s="53"/>
      <c r="F24" s="53"/>
    </row>
    <row r="25" spans="1:6" ht="16" x14ac:dyDescent="0.2">
      <c r="A25" s="28" t="s">
        <v>58</v>
      </c>
      <c r="B25" s="29"/>
      <c r="C25" s="136">
        <v>349.3</v>
      </c>
      <c r="D25" s="21" t="s">
        <v>59</v>
      </c>
      <c r="E25" s="53"/>
      <c r="F25" s="53"/>
    </row>
    <row r="26" spans="1:6" ht="16" x14ac:dyDescent="0.2">
      <c r="A26" s="28" t="s">
        <v>60</v>
      </c>
      <c r="B26" s="29"/>
      <c r="C26" s="136">
        <v>1681.01</v>
      </c>
      <c r="D26" s="21" t="s">
        <v>59</v>
      </c>
      <c r="E26" s="53"/>
      <c r="F26" s="53"/>
    </row>
    <row r="27" spans="1:6" ht="16" x14ac:dyDescent="0.2">
      <c r="A27" s="28" t="s">
        <v>61</v>
      </c>
      <c r="B27" s="29"/>
      <c r="C27" s="114">
        <f>E68</f>
        <v>0.50237895248977971</v>
      </c>
      <c r="D27" s="21"/>
      <c r="E27" s="53"/>
      <c r="F27" s="53"/>
    </row>
    <row r="28" spans="1:6" ht="34" x14ac:dyDescent="0.2">
      <c r="A28" s="28" t="s">
        <v>62</v>
      </c>
      <c r="B28" s="31" t="s">
        <v>63</v>
      </c>
      <c r="C28" s="30">
        <f>C26*C27</f>
        <v>844.50404292484461</v>
      </c>
      <c r="D28" s="21" t="s">
        <v>59</v>
      </c>
      <c r="E28" s="53"/>
      <c r="F28" s="53"/>
    </row>
    <row r="29" spans="1:6" ht="34" x14ac:dyDescent="0.2">
      <c r="A29" s="28" t="s">
        <v>64</v>
      </c>
      <c r="B29" s="31" t="s">
        <v>65</v>
      </c>
      <c r="C29" s="30">
        <f>C25*C27</f>
        <v>175.48096810468004</v>
      </c>
      <c r="D29" s="21" t="s">
        <v>59</v>
      </c>
      <c r="E29" s="53"/>
      <c r="F29" s="53"/>
    </row>
    <row r="30" spans="1:6" ht="17" x14ac:dyDescent="0.2">
      <c r="A30" s="28" t="s">
        <v>66</v>
      </c>
      <c r="B30" s="31" t="s">
        <v>67</v>
      </c>
      <c r="C30" s="137">
        <f>((C28*B32)/C10)</f>
        <v>0.2429073130405458</v>
      </c>
      <c r="D30" s="21" t="s">
        <v>68</v>
      </c>
      <c r="E30" s="53"/>
      <c r="F30" s="53"/>
    </row>
    <row r="31" spans="1:6" ht="34" x14ac:dyDescent="0.2">
      <c r="A31" s="28" t="s">
        <v>69</v>
      </c>
      <c r="B31" s="31" t="s">
        <v>70</v>
      </c>
      <c r="C31" s="137">
        <f>((C29*B33)/C10)</f>
        <v>1.4020592863308477E-2</v>
      </c>
      <c r="D31" s="21" t="s">
        <v>71</v>
      </c>
      <c r="E31" s="53"/>
      <c r="F31" s="53"/>
    </row>
    <row r="32" spans="1:6" ht="16" x14ac:dyDescent="0.2">
      <c r="A32" s="28" t="s">
        <v>72</v>
      </c>
      <c r="B32" s="6">
        <v>1000</v>
      </c>
      <c r="C32" s="38"/>
      <c r="D32" s="21"/>
      <c r="E32" s="53"/>
      <c r="F32" s="53"/>
    </row>
    <row r="33" spans="1:6" ht="16" x14ac:dyDescent="0.2">
      <c r="A33" s="28" t="s">
        <v>73</v>
      </c>
      <c r="B33" s="6">
        <v>277.77777800000001</v>
      </c>
      <c r="C33" s="38"/>
      <c r="D33" s="21"/>
      <c r="E33" s="53"/>
      <c r="F33" s="53"/>
    </row>
    <row r="34" spans="1:6" x14ac:dyDescent="0.2">
      <c r="A34" s="32"/>
      <c r="B34" s="33"/>
      <c r="C34" s="76"/>
      <c r="D34" s="34"/>
      <c r="E34" s="53"/>
      <c r="F34" s="53"/>
    </row>
    <row r="35" spans="1:6" ht="16" x14ac:dyDescent="0.2">
      <c r="A35" s="28" t="s">
        <v>74</v>
      </c>
      <c r="B35" s="6"/>
      <c r="C35" s="38"/>
      <c r="D35" s="21"/>
      <c r="E35" s="53"/>
      <c r="F35" s="53"/>
    </row>
    <row r="36" spans="1:6" x14ac:dyDescent="0.2">
      <c r="A36" s="39"/>
      <c r="B36" s="6"/>
      <c r="C36" s="38"/>
      <c r="D36" s="21"/>
      <c r="E36" s="53"/>
      <c r="F36" s="53"/>
    </row>
    <row r="37" spans="1:6" ht="17" x14ac:dyDescent="0.2">
      <c r="A37" s="28" t="s">
        <v>75</v>
      </c>
      <c r="B37" s="31" t="s">
        <v>76</v>
      </c>
      <c r="C37" s="136">
        <f>1-C4</f>
        <v>8.9999999999999969E-2</v>
      </c>
      <c r="D37" s="21"/>
      <c r="E37" s="53"/>
      <c r="F37" s="53"/>
    </row>
    <row r="38" spans="1:6" ht="34" x14ac:dyDescent="0.2">
      <c r="A38" s="28" t="s">
        <v>77</v>
      </c>
      <c r="B38" s="31" t="s">
        <v>78</v>
      </c>
      <c r="C38" s="30">
        <f>C3*B71*B73</f>
        <v>81.5</v>
      </c>
      <c r="D38" s="21" t="s">
        <v>59</v>
      </c>
      <c r="E38" s="53"/>
      <c r="F38" s="53"/>
    </row>
    <row r="39" spans="1:6" ht="16" x14ac:dyDescent="0.2">
      <c r="A39" s="28" t="s">
        <v>79</v>
      </c>
      <c r="B39" s="6"/>
      <c r="C39" s="38">
        <f>(C38/10000)*B33*0.001</f>
        <v>2.2638888907000002E-3</v>
      </c>
      <c r="D39" s="21" t="s">
        <v>71</v>
      </c>
      <c r="E39" s="53"/>
      <c r="F39" s="53"/>
    </row>
    <row r="40" spans="1:6" ht="51" x14ac:dyDescent="0.2">
      <c r="A40" s="28" t="s">
        <v>80</v>
      </c>
      <c r="B40" s="31" t="s">
        <v>81</v>
      </c>
      <c r="C40" s="30">
        <f>(C37*B74*B33)/1000</f>
        <v>3.057500002445999E-3</v>
      </c>
      <c r="D40" s="21" t="s">
        <v>71</v>
      </c>
      <c r="E40" s="53"/>
      <c r="F40" s="53"/>
    </row>
    <row r="41" spans="1:6" ht="16" x14ac:dyDescent="0.2">
      <c r="A41" s="28" t="s">
        <v>82</v>
      </c>
      <c r="B41" s="29"/>
      <c r="C41" s="137">
        <f>SUM(C39:C40)</f>
        <v>5.3213888931459997E-3</v>
      </c>
      <c r="D41" s="21" t="s">
        <v>71</v>
      </c>
      <c r="E41" s="75">
        <f>C41*C3</f>
        <v>53.213888931459998</v>
      </c>
      <c r="F41" s="53"/>
    </row>
    <row r="42" spans="1:6" ht="16" x14ac:dyDescent="0.2">
      <c r="A42" s="28" t="s">
        <v>83</v>
      </c>
      <c r="B42" s="6"/>
      <c r="C42" s="30">
        <v>2.7</v>
      </c>
      <c r="D42" s="21" t="s">
        <v>84</v>
      </c>
      <c r="E42" s="53"/>
      <c r="F42" s="53"/>
    </row>
    <row r="43" spans="1:6" ht="34" x14ac:dyDescent="0.2">
      <c r="A43" s="28" t="s">
        <v>85</v>
      </c>
      <c r="B43" s="31" t="s">
        <v>86</v>
      </c>
      <c r="C43" s="137">
        <f>C37*C42*B32/1000</f>
        <v>0.24299999999999994</v>
      </c>
      <c r="D43" s="21" t="s">
        <v>68</v>
      </c>
      <c r="E43" s="75">
        <f>C43*C3</f>
        <v>2429.9999999999995</v>
      </c>
      <c r="F43" s="53"/>
    </row>
    <row r="44" spans="1:6" x14ac:dyDescent="0.2">
      <c r="A44" s="40"/>
      <c r="B44" s="41"/>
      <c r="C44" s="74"/>
      <c r="D44" s="42"/>
      <c r="E44" s="53"/>
      <c r="F44" s="53"/>
    </row>
    <row r="45" spans="1:6" x14ac:dyDescent="0.2">
      <c r="A45" s="43" t="s">
        <v>87</v>
      </c>
      <c r="B45" s="29"/>
      <c r="C45" s="30"/>
      <c r="D45" s="44"/>
      <c r="E45" s="53"/>
      <c r="F45" s="53"/>
    </row>
    <row r="46" spans="1:6" ht="16" x14ac:dyDescent="0.2">
      <c r="A46" s="39" t="s">
        <v>114</v>
      </c>
      <c r="B46" s="29"/>
      <c r="C46" s="38">
        <v>20</v>
      </c>
      <c r="D46" s="44" t="s">
        <v>112</v>
      </c>
      <c r="E46" s="53"/>
      <c r="F46" s="53"/>
    </row>
    <row r="47" spans="1:6" ht="16" x14ac:dyDescent="0.2">
      <c r="A47" s="45" t="s">
        <v>115</v>
      </c>
      <c r="B47" s="6"/>
      <c r="C47" s="30">
        <v>10000</v>
      </c>
      <c r="D47" s="21" t="s">
        <v>113</v>
      </c>
      <c r="E47" s="53"/>
      <c r="F47" s="53"/>
    </row>
    <row r="48" spans="1:6" ht="16" x14ac:dyDescent="0.2">
      <c r="A48" s="45" t="s">
        <v>117</v>
      </c>
      <c r="B48" s="6"/>
      <c r="C48" s="30">
        <f>C47*C8*C46</f>
        <v>76409.920243251589</v>
      </c>
      <c r="D48" s="21" t="s">
        <v>40</v>
      </c>
      <c r="E48" s="53"/>
      <c r="F48" s="53"/>
    </row>
    <row r="49" spans="1:6" ht="16" x14ac:dyDescent="0.2">
      <c r="A49" s="45" t="s">
        <v>116</v>
      </c>
      <c r="B49" s="46"/>
      <c r="C49" s="38">
        <f>C48*1000</f>
        <v>76409920.243251592</v>
      </c>
      <c r="D49" s="21" t="s">
        <v>48</v>
      </c>
      <c r="E49" s="53"/>
      <c r="F49" s="53"/>
    </row>
    <row r="50" spans="1:6" ht="32" x14ac:dyDescent="0.2">
      <c r="A50" s="47" t="s">
        <v>111</v>
      </c>
      <c r="B50" s="6"/>
      <c r="C50" s="48">
        <f>1/C49</f>
        <v>1.3087305899763957E-8</v>
      </c>
      <c r="D50" s="21"/>
      <c r="E50" s="53"/>
      <c r="F50" s="53"/>
    </row>
    <row r="51" spans="1:6" ht="16" x14ac:dyDescent="0.2">
      <c r="A51" s="49" t="s">
        <v>88</v>
      </c>
      <c r="B51" s="6"/>
      <c r="C51" s="127">
        <f>C50*E68</f>
        <v>6.5747870288367305E-9</v>
      </c>
      <c r="D51" s="21"/>
      <c r="E51" s="53"/>
      <c r="F51" s="53"/>
    </row>
    <row r="52" spans="1:6" ht="16" thickBot="1" x14ac:dyDescent="0.25">
      <c r="A52" s="50"/>
      <c r="B52" s="51"/>
      <c r="C52" s="73"/>
      <c r="D52" s="52"/>
      <c r="E52" s="53"/>
      <c r="F52" s="53"/>
    </row>
    <row r="53" spans="1:6" ht="16" thickBot="1" x14ac:dyDescent="0.25">
      <c r="A53" s="6"/>
      <c r="B53" s="6"/>
      <c r="C53" s="5"/>
      <c r="D53" s="5"/>
      <c r="E53" s="53"/>
      <c r="F53" s="53"/>
    </row>
    <row r="54" spans="1:6" x14ac:dyDescent="0.2">
      <c r="A54" s="18" t="s">
        <v>89</v>
      </c>
      <c r="B54" s="19" t="s">
        <v>90</v>
      </c>
      <c r="C54" s="5"/>
      <c r="D54" s="5"/>
      <c r="E54" s="53"/>
      <c r="F54" s="53"/>
    </row>
    <row r="55" spans="1:6" x14ac:dyDescent="0.2">
      <c r="A55" s="20" t="s">
        <v>91</v>
      </c>
      <c r="B55" s="21">
        <v>33.9</v>
      </c>
      <c r="C55" s="5"/>
      <c r="D55" s="5"/>
      <c r="E55" s="53"/>
      <c r="F55" s="53"/>
    </row>
    <row r="56" spans="1:6" x14ac:dyDescent="0.2">
      <c r="A56" s="20" t="s">
        <v>92</v>
      </c>
      <c r="B56" s="21">
        <v>32.07</v>
      </c>
      <c r="C56" s="5"/>
      <c r="D56" s="5"/>
      <c r="E56" s="53"/>
      <c r="F56" s="53"/>
    </row>
    <row r="57" spans="1:6" x14ac:dyDescent="0.2">
      <c r="A57" s="20" t="s">
        <v>93</v>
      </c>
      <c r="B57" s="21">
        <v>21.61</v>
      </c>
      <c r="C57" s="5"/>
      <c r="D57" s="5"/>
      <c r="E57" s="53"/>
      <c r="F57" s="53"/>
    </row>
    <row r="58" spans="1:6" x14ac:dyDescent="0.2">
      <c r="A58" s="20" t="s">
        <v>94</v>
      </c>
      <c r="B58" s="21">
        <v>25.63</v>
      </c>
      <c r="C58" s="5"/>
      <c r="D58" s="5"/>
      <c r="E58" s="53"/>
      <c r="F58" s="53"/>
    </row>
    <row r="59" spans="1:6" x14ac:dyDescent="0.2">
      <c r="A59" s="20" t="s">
        <v>95</v>
      </c>
      <c r="B59" s="21">
        <v>30.8</v>
      </c>
      <c r="C59" s="5"/>
      <c r="D59" s="5"/>
      <c r="E59" s="53"/>
      <c r="F59" s="53"/>
    </row>
    <row r="60" spans="1:6" x14ac:dyDescent="0.2">
      <c r="A60" s="20" t="s">
        <v>96</v>
      </c>
      <c r="B60" s="21">
        <v>34.9</v>
      </c>
      <c r="C60" s="5"/>
      <c r="D60" s="5"/>
      <c r="E60" s="53"/>
      <c r="F60" s="53"/>
    </row>
    <row r="61" spans="1:6" x14ac:dyDescent="0.2">
      <c r="A61" s="22" t="s">
        <v>97</v>
      </c>
      <c r="B61" s="23" t="s">
        <v>90</v>
      </c>
      <c r="C61" s="5"/>
      <c r="D61" s="5"/>
      <c r="E61" s="53"/>
      <c r="F61" s="53"/>
    </row>
    <row r="62" spans="1:6" x14ac:dyDescent="0.2">
      <c r="A62" s="20" t="s">
        <v>98</v>
      </c>
      <c r="B62" s="117">
        <v>18.63793443925184</v>
      </c>
      <c r="C62" s="5"/>
      <c r="D62" s="5"/>
      <c r="E62" s="53"/>
      <c r="F62" s="53"/>
    </row>
    <row r="63" spans="1:6" ht="16" thickBot="1" x14ac:dyDescent="0.25">
      <c r="A63" s="24" t="s">
        <v>99</v>
      </c>
      <c r="B63" s="118">
        <v>6.4767614330258487</v>
      </c>
      <c r="C63" s="5"/>
      <c r="D63" s="5"/>
      <c r="E63" s="53"/>
      <c r="F63" s="53"/>
    </row>
    <row r="64" spans="1:6" ht="16" thickBot="1" x14ac:dyDescent="0.25">
      <c r="A64" s="6"/>
      <c r="B64" s="6"/>
      <c r="C64" s="5"/>
      <c r="D64" s="5"/>
      <c r="E64" s="53"/>
      <c r="F64" s="53"/>
    </row>
    <row r="65" spans="1:6" x14ac:dyDescent="0.2">
      <c r="A65" s="8" t="s">
        <v>100</v>
      </c>
      <c r="B65" s="9" t="s">
        <v>110</v>
      </c>
      <c r="C65" s="9" t="s">
        <v>101</v>
      </c>
      <c r="D65" s="9" t="s">
        <v>102</v>
      </c>
      <c r="E65" s="10" t="s">
        <v>103</v>
      </c>
      <c r="F65" s="53"/>
    </row>
    <row r="66" spans="1:6" x14ac:dyDescent="0.2">
      <c r="A66" s="11" t="s">
        <v>104</v>
      </c>
      <c r="B66" s="7">
        <v>0.46968136568985142</v>
      </c>
      <c r="C66" s="5">
        <f>B66*C5</f>
        <v>4274.1004277776483</v>
      </c>
      <c r="D66" s="5">
        <f>C66*B62</f>
        <v>79660.403559698054</v>
      </c>
      <c r="E66" s="72">
        <f>D66/(SUM(D66:D68))</f>
        <v>0.44912185500010898</v>
      </c>
      <c r="F66" s="53"/>
    </row>
    <row r="67" spans="1:6" x14ac:dyDescent="0.2">
      <c r="A67" s="11" t="s">
        <v>99</v>
      </c>
      <c r="B67" s="7">
        <v>0.14595316875074554</v>
      </c>
      <c r="C67" s="5">
        <f>B67*C5</f>
        <v>1328.1738356317844</v>
      </c>
      <c r="D67" s="5">
        <f>C67*B63</f>
        <v>8602.2650749739532</v>
      </c>
      <c r="E67" s="72">
        <f>D67/(SUM(D66:D68))</f>
        <v>4.8499192510111325E-2</v>
      </c>
      <c r="F67" s="53"/>
    </row>
    <row r="68" spans="1:6" ht="16" thickBot="1" x14ac:dyDescent="0.25">
      <c r="A68" s="12" t="s">
        <v>105</v>
      </c>
      <c r="B68" s="13">
        <v>0.38204960121625797</v>
      </c>
      <c r="C68" s="71">
        <f>B68*C5</f>
        <v>3476.6513710679474</v>
      </c>
      <c r="D68" s="71">
        <f>C68*B58</f>
        <v>89106.574640471488</v>
      </c>
      <c r="E68" s="138">
        <f>D68/(SUM(D66:D68))</f>
        <v>0.50237895248977971</v>
      </c>
      <c r="F68" s="53"/>
    </row>
    <row r="69" spans="1:6" ht="16" thickBot="1" x14ac:dyDescent="0.25">
      <c r="A69" s="6"/>
      <c r="B69" s="6"/>
      <c r="C69" s="5"/>
      <c r="D69" s="5"/>
      <c r="E69" s="53"/>
      <c r="F69" s="53"/>
    </row>
    <row r="70" spans="1:6" x14ac:dyDescent="0.2">
      <c r="A70" s="14" t="s">
        <v>106</v>
      </c>
      <c r="B70" s="15" t="s">
        <v>107</v>
      </c>
      <c r="C70" s="5"/>
      <c r="D70" s="5"/>
      <c r="E70" s="53"/>
      <c r="F70" s="53"/>
    </row>
    <row r="71" spans="1:6" ht="16" thickBot="1" x14ac:dyDescent="0.25">
      <c r="A71" s="16" t="s">
        <v>94</v>
      </c>
      <c r="B71" s="17">
        <v>16.3</v>
      </c>
      <c r="C71" s="5"/>
      <c r="D71" s="5"/>
      <c r="E71" s="53"/>
      <c r="F71" s="53"/>
    </row>
    <row r="72" spans="1:6" ht="16" thickBot="1" x14ac:dyDescent="0.25">
      <c r="A72" s="6"/>
      <c r="B72" s="55"/>
      <c r="C72" s="5"/>
      <c r="D72" s="5"/>
      <c r="E72" s="53"/>
      <c r="F72" s="53"/>
    </row>
    <row r="73" spans="1:6" x14ac:dyDescent="0.2">
      <c r="A73" s="14" t="s">
        <v>108</v>
      </c>
      <c r="B73" s="56">
        <v>5.0000000000000001E-4</v>
      </c>
      <c r="C73" s="5"/>
      <c r="D73" s="5"/>
      <c r="E73" s="53"/>
      <c r="F73" s="53"/>
    </row>
    <row r="74" spans="1:6" ht="16" thickBot="1" x14ac:dyDescent="0.25">
      <c r="A74" s="16" t="s">
        <v>109</v>
      </c>
      <c r="B74" s="17">
        <v>0.12230000000000001</v>
      </c>
      <c r="C74" s="5"/>
      <c r="D74" s="5"/>
      <c r="E74" s="53"/>
      <c r="F74" s="53"/>
    </row>
    <row r="75" spans="1:6" x14ac:dyDescent="0.2">
      <c r="A75" s="6"/>
      <c r="B75" s="6"/>
      <c r="C75" s="5"/>
      <c r="D75" s="5"/>
      <c r="E75" s="53"/>
      <c r="F75" s="53"/>
    </row>
    <row r="76" spans="1:6" hidden="1" x14ac:dyDescent="0.2">
      <c r="A76" s="6"/>
      <c r="B76" s="6"/>
      <c r="C76" s="5"/>
      <c r="D76" s="5"/>
      <c r="E76" s="53"/>
      <c r="F76" s="53"/>
    </row>
    <row r="77" spans="1:6" hidden="1" x14ac:dyDescent="0.2">
      <c r="A77" s="6"/>
      <c r="B77" s="6"/>
      <c r="C77" s="5"/>
      <c r="D77" s="5"/>
      <c r="E77" s="53"/>
      <c r="F77" s="53"/>
    </row>
    <row r="78" spans="1:6" hidden="1" x14ac:dyDescent="0.2"/>
    <row r="79" spans="1:6" hidden="1" x14ac:dyDescent="0.2">
      <c r="A79" s="6"/>
      <c r="B79" s="6"/>
      <c r="C79" s="5"/>
      <c r="D79" s="5"/>
      <c r="E79" s="53"/>
      <c r="F79" s="53"/>
    </row>
    <row r="80" spans="1:6" hidden="1" x14ac:dyDescent="0.2">
      <c r="A80" s="6"/>
      <c r="B80" s="6"/>
      <c r="C80" s="5"/>
      <c r="D80" s="5"/>
      <c r="E80" s="53"/>
      <c r="F80" s="53"/>
    </row>
    <row r="81" spans="1:9" hidden="1" x14ac:dyDescent="0.2">
      <c r="A81" s="6"/>
      <c r="B81" s="6"/>
      <c r="C81" s="5"/>
      <c r="D81" s="5"/>
      <c r="E81" s="53"/>
      <c r="F81" s="53"/>
    </row>
    <row r="82" spans="1:9" hidden="1" x14ac:dyDescent="0.2">
      <c r="A82" s="6"/>
      <c r="B82" s="6"/>
      <c r="C82" s="5"/>
      <c r="D82" s="5"/>
      <c r="E82" s="53"/>
      <c r="F82" s="53"/>
    </row>
    <row r="83" spans="1:9" hidden="1" x14ac:dyDescent="0.2">
      <c r="A83" s="6"/>
      <c r="B83" s="6"/>
      <c r="C83" s="5"/>
      <c r="D83" s="5"/>
      <c r="E83" s="53"/>
      <c r="F83" s="53"/>
    </row>
    <row r="84" spans="1:9" hidden="1" x14ac:dyDescent="0.2">
      <c r="A84" s="103" t="s">
        <v>218</v>
      </c>
      <c r="B84" s="103"/>
      <c r="C84" s="5"/>
      <c r="D84" s="5"/>
      <c r="E84" s="53"/>
      <c r="F84" s="53"/>
    </row>
    <row r="85" spans="1:9" ht="256" hidden="1" x14ac:dyDescent="0.2">
      <c r="A85" s="1" t="s">
        <v>217</v>
      </c>
      <c r="B85" s="6"/>
      <c r="C85" s="5"/>
      <c r="D85" s="5"/>
      <c r="E85" s="53"/>
      <c r="F85" s="53"/>
    </row>
    <row r="86" spans="1:9" ht="16" hidden="1" thickBot="1" x14ac:dyDescent="0.25">
      <c r="A86" s="85" t="s">
        <v>234</v>
      </c>
      <c r="B86" s="84"/>
      <c r="C86" s="86"/>
      <c r="D86" s="86"/>
      <c r="E86" s="53"/>
      <c r="F86" s="53"/>
    </row>
    <row r="87" spans="1:9" ht="80" hidden="1" x14ac:dyDescent="0.2">
      <c r="A87" s="88" t="s">
        <v>219</v>
      </c>
      <c r="B87" s="89" t="s">
        <v>226</v>
      </c>
      <c r="C87" s="89" t="s">
        <v>225</v>
      </c>
      <c r="D87" s="89" t="s">
        <v>220</v>
      </c>
      <c r="E87" s="89" t="s">
        <v>221</v>
      </c>
      <c r="F87" s="90" t="s">
        <v>227</v>
      </c>
    </row>
    <row r="88" spans="1:9" ht="48" hidden="1" x14ac:dyDescent="0.2">
      <c r="A88" s="91" t="s">
        <v>222</v>
      </c>
      <c r="B88" s="92">
        <v>3.56</v>
      </c>
      <c r="C88" s="2">
        <v>1.89</v>
      </c>
      <c r="D88" s="2">
        <f>B88-C88</f>
        <v>1.6700000000000002</v>
      </c>
      <c r="E88" s="93">
        <f>D88*63.546</f>
        <v>106.12182000000001</v>
      </c>
      <c r="F88" s="94">
        <f>E88*$I$88*I89</f>
        <v>2.1224364000000003E-3</v>
      </c>
      <c r="G88" s="100" t="s">
        <v>228</v>
      </c>
      <c r="I88" s="53">
        <v>20</v>
      </c>
    </row>
    <row r="89" spans="1:9" ht="48" hidden="1" x14ac:dyDescent="0.2">
      <c r="A89" s="91" t="s">
        <v>223</v>
      </c>
      <c r="B89" s="92">
        <v>4.05</v>
      </c>
      <c r="C89" s="2">
        <v>1.97</v>
      </c>
      <c r="D89" s="2">
        <f t="shared" ref="D89:D90" si="0">B89-C89</f>
        <v>2.08</v>
      </c>
      <c r="E89" s="93">
        <f>D89*207.2</f>
        <v>430.976</v>
      </c>
      <c r="F89" s="94">
        <f>E89*$I$88*I89</f>
        <v>8.6195200000000003E-3</v>
      </c>
      <c r="G89" s="100" t="s">
        <v>229</v>
      </c>
      <c r="I89" s="53">
        <v>9.9999999999999995E-7</v>
      </c>
    </row>
    <row r="90" spans="1:9" ht="49" hidden="1" thickBot="1" x14ac:dyDescent="0.25">
      <c r="A90" s="95" t="s">
        <v>224</v>
      </c>
      <c r="B90" s="96">
        <v>4.41</v>
      </c>
      <c r="C90" s="97">
        <v>4</v>
      </c>
      <c r="D90" s="97">
        <f t="shared" si="0"/>
        <v>0.41000000000000014</v>
      </c>
      <c r="E90" s="98">
        <f>D90*112.4</f>
        <v>46.084000000000017</v>
      </c>
      <c r="F90" s="99">
        <f>E90*$I$88*I89</f>
        <v>9.2168000000000024E-4</v>
      </c>
      <c r="G90" s="100" t="s">
        <v>230</v>
      </c>
    </row>
    <row r="91" spans="1:9" hidden="1" x14ac:dyDescent="0.2">
      <c r="A91" s="6"/>
      <c r="B91" s="6"/>
      <c r="C91" s="5"/>
      <c r="D91" s="5"/>
      <c r="E91" s="53"/>
      <c r="F91" s="53"/>
    </row>
    <row r="92" spans="1:9" hidden="1" x14ac:dyDescent="0.2">
      <c r="A92" s="6"/>
      <c r="B92" s="6"/>
      <c r="C92" s="5"/>
      <c r="D92" s="5"/>
      <c r="E92" s="53"/>
      <c r="F92" s="53"/>
    </row>
    <row r="93" spans="1:9" hidden="1" x14ac:dyDescent="0.2">
      <c r="A93" s="101" t="s">
        <v>231</v>
      </c>
      <c r="B93" s="101"/>
      <c r="C93" s="102"/>
      <c r="D93" s="102"/>
      <c r="E93" s="53"/>
      <c r="F93" s="53"/>
    </row>
    <row r="94" spans="1:9" hidden="1" x14ac:dyDescent="0.2">
      <c r="A94" s="101" t="s">
        <v>232</v>
      </c>
      <c r="B94" s="101"/>
      <c r="C94" s="102"/>
      <c r="D94" s="102"/>
      <c r="E94" s="53"/>
      <c r="F94" s="53"/>
    </row>
    <row r="95" spans="1:9" x14ac:dyDescent="0.2">
      <c r="A95" s="6"/>
      <c r="B95" s="6"/>
      <c r="C95" s="5"/>
      <c r="D95" s="5"/>
      <c r="E95" s="53"/>
      <c r="F95" s="53"/>
    </row>
    <row r="96" spans="1:9" x14ac:dyDescent="0.2">
      <c r="A96" s="105" t="s">
        <v>236</v>
      </c>
      <c r="B96" s="6"/>
      <c r="C96" s="5"/>
      <c r="D96" s="5"/>
      <c r="E96" s="53"/>
      <c r="F96" s="53"/>
    </row>
    <row r="97" spans="1:6" x14ac:dyDescent="0.2">
      <c r="A97" s="187" t="s">
        <v>237</v>
      </c>
      <c r="B97" s="187"/>
      <c r="C97" s="187"/>
      <c r="D97" s="187"/>
      <c r="E97" s="187"/>
      <c r="F97" s="187"/>
    </row>
    <row r="98" spans="1:6" x14ac:dyDescent="0.2">
      <c r="A98" s="187"/>
      <c r="B98" s="187"/>
      <c r="C98" s="187"/>
      <c r="D98" s="187"/>
      <c r="E98" s="187"/>
      <c r="F98" s="187"/>
    </row>
    <row r="99" spans="1:6" x14ac:dyDescent="0.2">
      <c r="A99" s="187"/>
      <c r="B99" s="187"/>
      <c r="C99" s="187"/>
      <c r="D99" s="187"/>
      <c r="E99" s="187"/>
      <c r="F99" s="187"/>
    </row>
    <row r="100" spans="1:6" x14ac:dyDescent="0.2">
      <c r="A100" s="187"/>
      <c r="B100" s="187"/>
      <c r="C100" s="187"/>
      <c r="D100" s="187"/>
      <c r="E100" s="187"/>
      <c r="F100" s="187"/>
    </row>
    <row r="101" spans="1:6" x14ac:dyDescent="0.2">
      <c r="A101" s="139">
        <f>170/1000000000</f>
        <v>1.6999999999999999E-7</v>
      </c>
      <c r="B101" s="139">
        <f>360/1000000000</f>
        <v>3.5999999999999999E-7</v>
      </c>
      <c r="D101" s="5"/>
      <c r="E101" s="53"/>
      <c r="F101" s="53"/>
    </row>
    <row r="102" spans="1:6" x14ac:dyDescent="0.2">
      <c r="A102" s="140" t="s">
        <v>248</v>
      </c>
      <c r="B102" s="140" t="s">
        <v>249</v>
      </c>
      <c r="D102" s="5"/>
      <c r="E102" s="53"/>
      <c r="F102" s="53"/>
    </row>
    <row r="103" spans="1:6" x14ac:dyDescent="0.2">
      <c r="A103" s="188" t="s">
        <v>238</v>
      </c>
      <c r="B103" s="189"/>
      <c r="C103" s="189"/>
      <c r="D103" s="189"/>
      <c r="E103" s="189"/>
      <c r="F103" s="53"/>
    </row>
    <row r="104" spans="1:6" x14ac:dyDescent="0.2">
      <c r="A104" s="189"/>
      <c r="B104" s="189"/>
      <c r="C104" s="189"/>
      <c r="D104" s="189"/>
      <c r="E104" s="189"/>
      <c r="F104" s="53"/>
    </row>
    <row r="105" spans="1:6" x14ac:dyDescent="0.2">
      <c r="A105" s="189"/>
      <c r="B105" s="189"/>
      <c r="C105" s="189"/>
      <c r="D105" s="189"/>
      <c r="E105" s="189"/>
      <c r="F105" s="53"/>
    </row>
    <row r="106" spans="1:6" x14ac:dyDescent="0.2">
      <c r="A106" s="189"/>
      <c r="B106" s="189"/>
      <c r="C106" s="189"/>
      <c r="D106" s="189"/>
      <c r="E106" s="189"/>
      <c r="F106" s="53"/>
    </row>
    <row r="107" spans="1:6" x14ac:dyDescent="0.2">
      <c r="A107" s="189"/>
      <c r="B107" s="189"/>
      <c r="C107" s="189"/>
      <c r="D107" s="189"/>
      <c r="E107" s="189"/>
      <c r="F107" s="53"/>
    </row>
    <row r="108" spans="1:6" x14ac:dyDescent="0.2">
      <c r="A108" s="189"/>
      <c r="B108" s="189"/>
      <c r="C108" s="189"/>
      <c r="D108" s="189"/>
      <c r="E108" s="189"/>
      <c r="F108" s="53"/>
    </row>
    <row r="109" spans="1:6" x14ac:dyDescent="0.2">
      <c r="A109" s="189"/>
      <c r="B109" s="189"/>
      <c r="C109" s="189"/>
      <c r="D109" s="189"/>
      <c r="E109" s="189"/>
      <c r="F109" s="53"/>
    </row>
    <row r="110" spans="1:6" x14ac:dyDescent="0.2">
      <c r="A110" s="6" t="s">
        <v>188</v>
      </c>
      <c r="B110" s="6"/>
      <c r="C110" s="63"/>
      <c r="D110" s="5"/>
      <c r="E110" s="53"/>
      <c r="F110" s="53"/>
    </row>
    <row r="111" spans="1:6" x14ac:dyDescent="0.2">
      <c r="A111" s="6"/>
      <c r="B111" s="6"/>
      <c r="C111" s="5"/>
      <c r="D111" s="5"/>
      <c r="E111" s="53"/>
      <c r="F111" s="53"/>
    </row>
    <row r="112" spans="1:6" x14ac:dyDescent="0.2">
      <c r="A112" s="6"/>
      <c r="B112" s="6"/>
      <c r="C112" s="5"/>
      <c r="D112" s="5"/>
      <c r="E112" s="53"/>
      <c r="F112" s="53"/>
    </row>
    <row r="113" spans="1:6" x14ac:dyDescent="0.2">
      <c r="A113" s="6" t="s">
        <v>336</v>
      </c>
      <c r="B113" s="6" t="s">
        <v>337</v>
      </c>
      <c r="C113" s="5"/>
      <c r="D113" s="5"/>
      <c r="E113" s="53"/>
      <c r="F113" s="53"/>
    </row>
    <row r="114" spans="1:6" x14ac:dyDescent="0.2">
      <c r="A114" s="6">
        <f>[1]Data!$L$93</f>
        <v>8.5073891625615778E-5</v>
      </c>
      <c r="B114" s="6">
        <v>1.5</v>
      </c>
      <c r="C114" s="5"/>
      <c r="D114" s="5"/>
      <c r="E114" s="53"/>
      <c r="F114" s="53"/>
    </row>
    <row r="115" spans="1:6" x14ac:dyDescent="0.2">
      <c r="A115" s="6"/>
      <c r="B115" s="6"/>
      <c r="C115" s="5"/>
      <c r="D115" s="5"/>
      <c r="E115" s="53"/>
      <c r="F115" s="53"/>
    </row>
    <row r="116" spans="1:6" x14ac:dyDescent="0.2">
      <c r="A116" s="6"/>
      <c r="B116" s="6"/>
      <c r="C116" s="5"/>
      <c r="D116" s="5"/>
      <c r="E116" s="53"/>
      <c r="F116" s="53"/>
    </row>
    <row r="117" spans="1:6" x14ac:dyDescent="0.2">
      <c r="A117" s="6"/>
      <c r="B117" s="6"/>
      <c r="C117" s="5"/>
      <c r="D117" s="5"/>
      <c r="E117" s="53"/>
      <c r="F117" s="53"/>
    </row>
    <row r="118" spans="1:6" x14ac:dyDescent="0.2">
      <c r="A118" s="6"/>
      <c r="B118" s="6"/>
      <c r="C118" s="5"/>
      <c r="D118" s="5"/>
      <c r="E118" s="53"/>
      <c r="F118" s="53"/>
    </row>
    <row r="119" spans="1:6" x14ac:dyDescent="0.2">
      <c r="A119" s="6"/>
      <c r="B119" s="6"/>
      <c r="C119" s="5"/>
      <c r="D119" s="5"/>
      <c r="E119" s="53"/>
      <c r="F119" s="53"/>
    </row>
    <row r="120" spans="1:6" x14ac:dyDescent="0.2">
      <c r="A120" s="6"/>
      <c r="B120" s="6"/>
      <c r="C120" s="5"/>
      <c r="D120" s="5"/>
      <c r="E120" s="53"/>
      <c r="F120" s="53"/>
    </row>
    <row r="121" spans="1:6" x14ac:dyDescent="0.2">
      <c r="A121" s="6"/>
      <c r="B121" s="6"/>
      <c r="C121" s="5"/>
      <c r="D121" s="5"/>
      <c r="E121" s="53"/>
      <c r="F121" s="53"/>
    </row>
    <row r="122" spans="1:6" x14ac:dyDescent="0.2">
      <c r="A122" s="6"/>
      <c r="B122" s="6"/>
      <c r="C122" s="5"/>
      <c r="D122" s="5"/>
      <c r="E122" s="53"/>
      <c r="F122" s="53"/>
    </row>
    <row r="123" spans="1:6" x14ac:dyDescent="0.2">
      <c r="A123" s="6"/>
      <c r="B123" s="6"/>
      <c r="C123" s="5"/>
      <c r="D123" s="5"/>
      <c r="E123" s="53"/>
      <c r="F123" s="53"/>
    </row>
    <row r="124" spans="1:6" x14ac:dyDescent="0.2">
      <c r="A124" s="6"/>
      <c r="B124" s="6"/>
      <c r="C124" s="5"/>
      <c r="D124" s="5"/>
      <c r="E124" s="53"/>
      <c r="F124" s="53"/>
    </row>
    <row r="125" spans="1:6" x14ac:dyDescent="0.2">
      <c r="A125" s="6"/>
      <c r="B125" s="6"/>
      <c r="C125" s="5"/>
      <c r="D125" s="5"/>
      <c r="E125" s="53"/>
      <c r="F125" s="53"/>
    </row>
    <row r="126" spans="1:6" x14ac:dyDescent="0.2">
      <c r="A126" s="6"/>
      <c r="B126" s="6"/>
      <c r="C126" s="5"/>
      <c r="D126" s="5"/>
      <c r="E126" s="53"/>
      <c r="F126" s="53"/>
    </row>
    <row r="127" spans="1:6" x14ac:dyDescent="0.2">
      <c r="A127" s="6"/>
      <c r="B127" s="6"/>
      <c r="C127" s="5"/>
      <c r="D127" s="5"/>
      <c r="E127" s="53"/>
      <c r="F127" s="53"/>
    </row>
    <row r="128" spans="1:6" x14ac:dyDescent="0.2">
      <c r="A128" s="6"/>
      <c r="B128" s="6"/>
      <c r="C128" s="5"/>
      <c r="D128" s="5"/>
      <c r="E128" s="53"/>
      <c r="F128" s="53"/>
    </row>
    <row r="129" spans="1:6" x14ac:dyDescent="0.2">
      <c r="A129" s="6"/>
      <c r="B129" s="6"/>
      <c r="C129" s="5"/>
      <c r="D129" s="5"/>
      <c r="E129" s="53"/>
      <c r="F129" s="53"/>
    </row>
    <row r="130" spans="1:6" x14ac:dyDescent="0.2">
      <c r="A130" s="6"/>
      <c r="B130" s="6"/>
      <c r="C130" s="5"/>
      <c r="D130" s="5"/>
      <c r="E130" s="53"/>
      <c r="F130" s="53"/>
    </row>
    <row r="131" spans="1:6" x14ac:dyDescent="0.2">
      <c r="A131" s="6"/>
      <c r="B131" s="6"/>
      <c r="C131" s="5"/>
      <c r="D131" s="5"/>
      <c r="E131" s="53"/>
      <c r="F131" s="53"/>
    </row>
    <row r="132" spans="1:6" x14ac:dyDescent="0.2">
      <c r="A132" s="6"/>
      <c r="B132" s="6"/>
      <c r="C132" s="5"/>
      <c r="D132" s="5"/>
      <c r="E132" s="53"/>
      <c r="F132" s="53"/>
    </row>
    <row r="133" spans="1:6" x14ac:dyDescent="0.2">
      <c r="A133" s="6"/>
      <c r="B133" s="6"/>
      <c r="C133" s="5"/>
      <c r="D133" s="5"/>
      <c r="E133" s="53"/>
      <c r="F133" s="53"/>
    </row>
    <row r="134" spans="1:6" x14ac:dyDescent="0.2">
      <c r="A134" s="6"/>
      <c r="B134" s="6"/>
      <c r="C134" s="5"/>
      <c r="D134" s="5"/>
      <c r="E134" s="53"/>
      <c r="F134" s="53"/>
    </row>
    <row r="135" spans="1:6" x14ac:dyDescent="0.2">
      <c r="A135" s="6"/>
      <c r="B135" s="6"/>
      <c r="C135" s="5"/>
      <c r="D135" s="5"/>
      <c r="E135" s="53"/>
      <c r="F135" s="53"/>
    </row>
    <row r="136" spans="1:6" x14ac:dyDescent="0.2">
      <c r="A136" s="6"/>
      <c r="B136" s="6"/>
      <c r="C136" s="5"/>
      <c r="D136" s="5"/>
      <c r="E136" s="53"/>
      <c r="F136" s="53"/>
    </row>
    <row r="137" spans="1:6" x14ac:dyDescent="0.2">
      <c r="A137" s="6"/>
      <c r="B137" s="6"/>
      <c r="C137" s="5"/>
      <c r="D137" s="5"/>
      <c r="E137" s="53"/>
      <c r="F137" s="53"/>
    </row>
    <row r="138" spans="1:6" x14ac:dyDescent="0.2">
      <c r="A138" s="6"/>
      <c r="B138" s="6"/>
      <c r="C138" s="5"/>
      <c r="D138" s="5"/>
      <c r="E138" s="53"/>
      <c r="F138" s="53"/>
    </row>
    <row r="139" spans="1:6" x14ac:dyDescent="0.2">
      <c r="A139" s="6"/>
      <c r="B139" s="6"/>
      <c r="C139" s="5"/>
      <c r="D139" s="5"/>
      <c r="E139" s="53"/>
      <c r="F139" s="53"/>
    </row>
    <row r="140" spans="1:6" x14ac:dyDescent="0.2">
      <c r="A140" s="6"/>
      <c r="B140" s="6"/>
      <c r="C140" s="5"/>
      <c r="D140" s="5"/>
      <c r="E140" s="53"/>
      <c r="F140" s="53"/>
    </row>
    <row r="141" spans="1:6" x14ac:dyDescent="0.2">
      <c r="A141" s="6"/>
      <c r="B141" s="6"/>
      <c r="C141" s="5"/>
      <c r="D141" s="5"/>
      <c r="E141" s="53"/>
      <c r="F141" s="53"/>
    </row>
    <row r="142" spans="1:6" x14ac:dyDescent="0.2">
      <c r="A142" s="6"/>
      <c r="B142" s="6"/>
      <c r="C142" s="5"/>
      <c r="D142" s="5"/>
      <c r="E142" s="53"/>
      <c r="F142" s="53"/>
    </row>
    <row r="143" spans="1:6" x14ac:dyDescent="0.2">
      <c r="A143" s="6"/>
      <c r="B143" s="6"/>
      <c r="C143" s="5"/>
      <c r="D143" s="5"/>
      <c r="E143" s="53"/>
      <c r="F143" s="53"/>
    </row>
    <row r="144" spans="1:6" x14ac:dyDescent="0.2">
      <c r="A144" s="6"/>
      <c r="B144" s="6"/>
      <c r="C144" s="5"/>
      <c r="D144" s="5"/>
      <c r="E144" s="53"/>
      <c r="F144" s="53"/>
    </row>
    <row r="145" spans="1:6" x14ac:dyDescent="0.2">
      <c r="A145" s="6"/>
      <c r="B145" s="6"/>
      <c r="C145" s="5"/>
      <c r="D145" s="5"/>
      <c r="E145" s="53"/>
      <c r="F145" s="53"/>
    </row>
    <row r="146" spans="1:6" x14ac:dyDescent="0.2">
      <c r="A146" s="6"/>
      <c r="B146" s="6"/>
      <c r="C146" s="5"/>
      <c r="D146" s="5"/>
      <c r="E146" s="53"/>
      <c r="F146" s="53"/>
    </row>
    <row r="147" spans="1:6" x14ac:dyDescent="0.2">
      <c r="A147" s="6"/>
      <c r="B147" s="6"/>
      <c r="C147" s="5"/>
      <c r="D147" s="5"/>
      <c r="E147" s="53"/>
      <c r="F147" s="53"/>
    </row>
    <row r="148" spans="1:6" x14ac:dyDescent="0.2">
      <c r="A148" s="6"/>
      <c r="B148" s="6"/>
      <c r="C148" s="5"/>
      <c r="D148" s="5"/>
      <c r="E148" s="53"/>
      <c r="F148" s="53"/>
    </row>
    <row r="149" spans="1:6" x14ac:dyDescent="0.2">
      <c r="A149" s="6"/>
      <c r="B149" s="6"/>
      <c r="C149" s="5"/>
      <c r="D149" s="5"/>
      <c r="E149" s="53"/>
      <c r="F149" s="53"/>
    </row>
    <row r="150" spans="1:6" x14ac:dyDescent="0.2">
      <c r="A150" s="6"/>
      <c r="B150" s="6"/>
      <c r="C150" s="5"/>
      <c r="D150" s="5"/>
      <c r="E150" s="53"/>
      <c r="F150" s="53"/>
    </row>
    <row r="151" spans="1:6" x14ac:dyDescent="0.2">
      <c r="A151" s="6"/>
      <c r="B151" s="6"/>
      <c r="C151" s="5"/>
      <c r="D151" s="5"/>
      <c r="E151" s="53"/>
      <c r="F151" s="53"/>
    </row>
    <row r="152" spans="1:6" x14ac:dyDescent="0.2">
      <c r="A152" s="6"/>
      <c r="B152" s="6"/>
      <c r="C152" s="5"/>
      <c r="D152" s="5"/>
      <c r="E152" s="53"/>
      <c r="F152" s="53"/>
    </row>
    <row r="153" spans="1:6" x14ac:dyDescent="0.2">
      <c r="A153" s="6"/>
      <c r="B153" s="6"/>
      <c r="C153" s="5"/>
      <c r="D153" s="5"/>
      <c r="E153" s="53"/>
      <c r="F153" s="53"/>
    </row>
    <row r="154" spans="1:6" x14ac:dyDescent="0.2">
      <c r="A154" s="6"/>
      <c r="B154" s="6"/>
      <c r="C154" s="5"/>
      <c r="D154" s="5"/>
      <c r="E154" s="53"/>
      <c r="F154" s="53"/>
    </row>
    <row r="155" spans="1:6" x14ac:dyDescent="0.2">
      <c r="A155" s="6"/>
      <c r="B155" s="6"/>
      <c r="C155" s="5"/>
      <c r="D155" s="5"/>
      <c r="E155" s="53"/>
      <c r="F155" s="53"/>
    </row>
    <row r="156" spans="1:6" x14ac:dyDescent="0.2">
      <c r="A156" s="6"/>
      <c r="B156" s="6"/>
      <c r="C156" s="5"/>
      <c r="D156" s="5"/>
      <c r="E156" s="53"/>
      <c r="F156" s="53"/>
    </row>
    <row r="157" spans="1:6" x14ac:dyDescent="0.2">
      <c r="A157" s="6"/>
      <c r="B157" s="6"/>
      <c r="C157" s="5"/>
      <c r="D157" s="5"/>
      <c r="E157" s="53"/>
      <c r="F157" s="53"/>
    </row>
    <row r="158" spans="1:6" x14ac:dyDescent="0.2">
      <c r="A158" s="6"/>
      <c r="B158" s="6"/>
      <c r="C158" s="5"/>
      <c r="D158" s="5"/>
      <c r="E158" s="53"/>
      <c r="F158" s="53"/>
    </row>
    <row r="159" spans="1:6" x14ac:dyDescent="0.2">
      <c r="A159" s="6"/>
      <c r="B159" s="6"/>
      <c r="C159" s="5"/>
      <c r="D159" s="5"/>
      <c r="E159" s="53"/>
      <c r="F159" s="53"/>
    </row>
    <row r="160" spans="1:6" x14ac:dyDescent="0.2">
      <c r="A160" s="6"/>
      <c r="B160" s="6"/>
      <c r="C160" s="5"/>
      <c r="D160" s="5"/>
      <c r="E160" s="53"/>
      <c r="F160" s="53"/>
    </row>
    <row r="161" spans="1:6" x14ac:dyDescent="0.2">
      <c r="A161" s="6"/>
      <c r="B161" s="6"/>
      <c r="C161" s="5"/>
      <c r="D161" s="5"/>
      <c r="E161" s="53"/>
      <c r="F161" s="53"/>
    </row>
    <row r="162" spans="1:6" x14ac:dyDescent="0.2">
      <c r="A162" s="6"/>
      <c r="B162" s="6"/>
      <c r="C162" s="5"/>
      <c r="D162" s="5"/>
      <c r="E162" s="53"/>
      <c r="F162" s="53"/>
    </row>
    <row r="163" spans="1:6" x14ac:dyDescent="0.2">
      <c r="A163" s="6"/>
      <c r="B163" s="6"/>
      <c r="C163" s="5"/>
      <c r="D163" s="5"/>
      <c r="E163" s="53"/>
      <c r="F163" s="53"/>
    </row>
    <row r="164" spans="1:6" x14ac:dyDescent="0.2">
      <c r="A164" s="6"/>
      <c r="B164" s="6"/>
      <c r="C164" s="5"/>
      <c r="D164" s="5"/>
      <c r="E164" s="53"/>
      <c r="F164" s="53"/>
    </row>
    <row r="165" spans="1:6" x14ac:dyDescent="0.2">
      <c r="A165" s="6"/>
      <c r="B165" s="6"/>
      <c r="C165" s="5"/>
      <c r="D165" s="5"/>
      <c r="E165" s="53"/>
      <c r="F165" s="53"/>
    </row>
    <row r="166" spans="1:6" x14ac:dyDescent="0.2">
      <c r="A166" s="6"/>
      <c r="B166" s="6"/>
      <c r="C166" s="5"/>
      <c r="D166" s="5"/>
      <c r="E166" s="53"/>
      <c r="F166" s="53"/>
    </row>
    <row r="167" spans="1:6" x14ac:dyDescent="0.2">
      <c r="A167" s="6"/>
      <c r="B167" s="6"/>
      <c r="C167" s="5"/>
      <c r="D167" s="5"/>
      <c r="E167" s="53"/>
      <c r="F167" s="53"/>
    </row>
    <row r="168" spans="1:6" x14ac:dyDescent="0.2">
      <c r="A168" s="6"/>
      <c r="B168" s="6"/>
      <c r="C168" s="5"/>
      <c r="D168" s="5"/>
      <c r="E168" s="53"/>
      <c r="F168" s="53"/>
    </row>
    <row r="169" spans="1:6" x14ac:dyDescent="0.2">
      <c r="A169" s="6"/>
      <c r="B169" s="6"/>
      <c r="C169" s="5"/>
      <c r="D169" s="5"/>
      <c r="E169" s="53"/>
      <c r="F169" s="53"/>
    </row>
    <row r="170" spans="1:6" x14ac:dyDescent="0.2">
      <c r="A170" s="6"/>
      <c r="B170" s="6"/>
      <c r="C170" s="5"/>
      <c r="D170" s="5"/>
      <c r="E170" s="53"/>
      <c r="F170" s="53"/>
    </row>
    <row r="171" spans="1:6" x14ac:dyDescent="0.2">
      <c r="A171" s="6"/>
      <c r="B171" s="6"/>
      <c r="C171" s="5"/>
      <c r="D171" s="5"/>
      <c r="E171" s="53"/>
      <c r="F171" s="53"/>
    </row>
    <row r="172" spans="1:6" x14ac:dyDescent="0.2">
      <c r="A172" s="6"/>
      <c r="B172" s="6"/>
      <c r="C172" s="5"/>
      <c r="D172" s="5"/>
      <c r="E172" s="53"/>
      <c r="F172" s="53"/>
    </row>
    <row r="173" spans="1:6" x14ac:dyDescent="0.2">
      <c r="A173" s="6"/>
      <c r="B173" s="6"/>
      <c r="C173" s="5"/>
      <c r="D173" s="5"/>
      <c r="E173" s="53"/>
      <c r="F173" s="53"/>
    </row>
    <row r="174" spans="1:6" x14ac:dyDescent="0.2">
      <c r="A174" s="6"/>
      <c r="B174" s="6"/>
      <c r="C174" s="5"/>
      <c r="D174" s="5"/>
      <c r="E174" s="53"/>
      <c r="F174" s="53"/>
    </row>
    <row r="175" spans="1:6" x14ac:dyDescent="0.2">
      <c r="A175" s="6"/>
      <c r="B175" s="6"/>
      <c r="C175" s="5"/>
      <c r="D175" s="5"/>
      <c r="E175" s="53"/>
      <c r="F175" s="53"/>
    </row>
    <row r="176" spans="1:6" x14ac:dyDescent="0.2">
      <c r="A176" s="6"/>
      <c r="B176" s="6"/>
      <c r="C176" s="5"/>
      <c r="D176" s="5"/>
      <c r="E176" s="53"/>
      <c r="F176" s="53"/>
    </row>
    <row r="177" spans="1:6" x14ac:dyDescent="0.2">
      <c r="A177" s="6"/>
      <c r="B177" s="6"/>
      <c r="C177" s="5"/>
      <c r="D177" s="5"/>
      <c r="E177" s="53"/>
      <c r="F177" s="53"/>
    </row>
    <row r="178" spans="1:6" x14ac:dyDescent="0.2">
      <c r="A178" s="6"/>
      <c r="B178" s="6"/>
      <c r="C178" s="5"/>
      <c r="D178" s="5"/>
      <c r="E178" s="53"/>
      <c r="F178" s="53"/>
    </row>
    <row r="179" spans="1:6" x14ac:dyDescent="0.2">
      <c r="A179" s="6"/>
      <c r="B179" s="6"/>
      <c r="C179" s="5"/>
      <c r="D179" s="5"/>
      <c r="E179" s="53"/>
      <c r="F179" s="53"/>
    </row>
    <row r="180" spans="1:6" x14ac:dyDescent="0.2">
      <c r="A180" s="6"/>
      <c r="B180" s="6"/>
      <c r="C180" s="5"/>
      <c r="D180" s="5"/>
      <c r="E180" s="53"/>
      <c r="F180" s="53"/>
    </row>
    <row r="181" spans="1:6" x14ac:dyDescent="0.2">
      <c r="A181" s="6"/>
      <c r="B181" s="6"/>
      <c r="C181" s="5"/>
      <c r="D181" s="5"/>
      <c r="E181" s="53"/>
      <c r="F181" s="53"/>
    </row>
    <row r="182" spans="1:6" x14ac:dyDescent="0.2">
      <c r="A182" s="6"/>
      <c r="B182" s="6"/>
      <c r="C182" s="5"/>
      <c r="D182" s="5"/>
      <c r="E182" s="53"/>
      <c r="F182" s="53"/>
    </row>
    <row r="183" spans="1:6" x14ac:dyDescent="0.2">
      <c r="A183" s="6"/>
      <c r="B183" s="6"/>
      <c r="C183" s="5"/>
      <c r="D183" s="5"/>
      <c r="E183" s="53"/>
      <c r="F183" s="53"/>
    </row>
    <row r="184" spans="1:6" x14ac:dyDescent="0.2">
      <c r="A184" s="6"/>
      <c r="B184" s="6"/>
      <c r="C184" s="5"/>
      <c r="D184" s="5"/>
      <c r="E184" s="53"/>
      <c r="F184" s="53"/>
    </row>
    <row r="185" spans="1:6" x14ac:dyDescent="0.2">
      <c r="A185" s="6"/>
      <c r="B185" s="6"/>
      <c r="C185" s="5"/>
      <c r="D185" s="5"/>
      <c r="E185" s="53"/>
      <c r="F185" s="53"/>
    </row>
    <row r="186" spans="1:6" x14ac:dyDescent="0.2">
      <c r="A186" s="6"/>
      <c r="B186" s="6"/>
      <c r="C186" s="5"/>
      <c r="D186" s="5"/>
      <c r="E186" s="53"/>
      <c r="F186" s="53"/>
    </row>
    <row r="187" spans="1:6" x14ac:dyDescent="0.2">
      <c r="A187" s="6"/>
      <c r="B187" s="6"/>
      <c r="C187" s="5"/>
      <c r="D187" s="5"/>
      <c r="E187" s="53"/>
      <c r="F187" s="53"/>
    </row>
    <row r="188" spans="1:6" x14ac:dyDescent="0.2">
      <c r="A188" s="6"/>
      <c r="B188" s="6"/>
      <c r="C188" s="5"/>
      <c r="D188" s="5"/>
      <c r="E188" s="53"/>
      <c r="F188" s="53"/>
    </row>
    <row r="189" spans="1:6" x14ac:dyDescent="0.2">
      <c r="A189" s="6"/>
      <c r="B189" s="6"/>
      <c r="C189" s="5"/>
      <c r="D189" s="5"/>
      <c r="E189" s="53"/>
      <c r="F189" s="53"/>
    </row>
    <row r="190" spans="1:6" x14ac:dyDescent="0.2">
      <c r="A190" s="6"/>
      <c r="B190" s="6"/>
      <c r="C190" s="5"/>
      <c r="D190" s="5"/>
      <c r="E190" s="53"/>
      <c r="F190" s="53"/>
    </row>
    <row r="191" spans="1:6" x14ac:dyDescent="0.2">
      <c r="A191" s="6"/>
      <c r="B191" s="6"/>
      <c r="C191" s="5"/>
      <c r="D191" s="5"/>
      <c r="E191" s="53"/>
      <c r="F191" s="53"/>
    </row>
    <row r="192" spans="1:6" x14ac:dyDescent="0.2">
      <c r="A192" s="6"/>
      <c r="B192" s="6"/>
      <c r="C192" s="5"/>
      <c r="D192" s="5"/>
      <c r="E192" s="53"/>
      <c r="F192" s="53"/>
    </row>
    <row r="193" spans="1:6" x14ac:dyDescent="0.2">
      <c r="A193" s="6"/>
      <c r="B193" s="6"/>
      <c r="C193" s="5"/>
      <c r="D193" s="5"/>
      <c r="E193" s="53"/>
      <c r="F193" s="53"/>
    </row>
    <row r="194" spans="1:6" x14ac:dyDescent="0.2">
      <c r="A194" s="6"/>
      <c r="B194" s="6"/>
      <c r="C194" s="5"/>
      <c r="D194" s="5"/>
      <c r="E194" s="53"/>
      <c r="F194" s="53"/>
    </row>
    <row r="195" spans="1:6" x14ac:dyDescent="0.2">
      <c r="A195" s="6"/>
      <c r="B195" s="6"/>
      <c r="C195" s="5"/>
      <c r="D195" s="5"/>
      <c r="E195" s="53"/>
      <c r="F195" s="53"/>
    </row>
    <row r="196" spans="1:6" x14ac:dyDescent="0.2">
      <c r="A196" s="6"/>
      <c r="B196" s="6"/>
      <c r="C196" s="5"/>
      <c r="D196" s="5"/>
      <c r="E196" s="53"/>
      <c r="F196" s="53"/>
    </row>
    <row r="197" spans="1:6" x14ac:dyDescent="0.2">
      <c r="A197" s="6"/>
      <c r="B197" s="6"/>
      <c r="C197" s="5"/>
      <c r="D197" s="5"/>
      <c r="E197" s="53"/>
      <c r="F197" s="53"/>
    </row>
    <row r="198" spans="1:6" x14ac:dyDescent="0.2">
      <c r="A198" s="6"/>
      <c r="B198" s="6"/>
      <c r="C198" s="5"/>
      <c r="D198" s="5"/>
      <c r="E198" s="53"/>
      <c r="F198" s="53"/>
    </row>
    <row r="199" spans="1:6" x14ac:dyDescent="0.2">
      <c r="A199" s="6"/>
      <c r="B199" s="6"/>
      <c r="C199" s="5"/>
      <c r="D199" s="5"/>
      <c r="E199" s="53"/>
      <c r="F199" s="53"/>
    </row>
    <row r="200" spans="1:6" x14ac:dyDescent="0.2">
      <c r="A200" s="6"/>
      <c r="B200" s="6"/>
      <c r="C200" s="5"/>
      <c r="D200" s="5"/>
      <c r="E200" s="53"/>
      <c r="F200" s="53"/>
    </row>
    <row r="201" spans="1:6" x14ac:dyDescent="0.2">
      <c r="A201" s="6"/>
      <c r="B201" s="6"/>
      <c r="C201" s="5"/>
      <c r="D201" s="5"/>
      <c r="E201" s="53"/>
      <c r="F201" s="53"/>
    </row>
    <row r="202" spans="1:6" x14ac:dyDescent="0.2">
      <c r="A202" s="6"/>
      <c r="B202" s="6"/>
      <c r="C202" s="5"/>
      <c r="D202" s="5"/>
      <c r="E202" s="53"/>
      <c r="F202" s="53"/>
    </row>
    <row r="203" spans="1:6" x14ac:dyDescent="0.2">
      <c r="A203" s="6"/>
      <c r="B203" s="6"/>
      <c r="C203" s="5"/>
      <c r="D203" s="5"/>
      <c r="E203" s="53"/>
      <c r="F203" s="53"/>
    </row>
    <row r="204" spans="1:6" x14ac:dyDescent="0.2">
      <c r="A204" s="6"/>
      <c r="B204" s="6"/>
      <c r="C204" s="5"/>
      <c r="D204" s="5"/>
      <c r="E204" s="53"/>
      <c r="F204" s="53"/>
    </row>
    <row r="205" spans="1:6" x14ac:dyDescent="0.2">
      <c r="A205" s="6"/>
      <c r="B205" s="6"/>
      <c r="C205" s="5"/>
      <c r="D205" s="5"/>
      <c r="E205" s="53"/>
      <c r="F205" s="53"/>
    </row>
    <row r="206" spans="1:6" x14ac:dyDescent="0.2">
      <c r="A206" s="6"/>
      <c r="B206" s="6"/>
      <c r="C206" s="5"/>
      <c r="D206" s="5"/>
      <c r="E206" s="53"/>
      <c r="F206" s="53"/>
    </row>
    <row r="207" spans="1:6" x14ac:dyDescent="0.2">
      <c r="A207" s="6"/>
      <c r="B207" s="6"/>
      <c r="C207" s="5"/>
      <c r="D207" s="5"/>
      <c r="E207" s="53"/>
      <c r="F207" s="53"/>
    </row>
    <row r="208" spans="1:6" x14ac:dyDescent="0.2">
      <c r="A208" s="6"/>
      <c r="B208" s="6"/>
      <c r="C208" s="5"/>
      <c r="D208" s="5"/>
      <c r="E208" s="53"/>
      <c r="F208" s="53"/>
    </row>
    <row r="209" spans="1:6" x14ac:dyDescent="0.2">
      <c r="A209" s="6"/>
      <c r="B209" s="6"/>
      <c r="C209" s="5"/>
      <c r="D209" s="5"/>
      <c r="E209" s="53"/>
      <c r="F209" s="53"/>
    </row>
    <row r="210" spans="1:6" x14ac:dyDescent="0.2">
      <c r="A210" s="6"/>
      <c r="B210" s="6"/>
      <c r="C210" s="5"/>
      <c r="D210" s="5"/>
      <c r="E210" s="53"/>
      <c r="F210" s="53"/>
    </row>
    <row r="211" spans="1:6" x14ac:dyDescent="0.2">
      <c r="A211" s="6"/>
      <c r="B211" s="6"/>
      <c r="C211" s="5"/>
      <c r="D211" s="5"/>
      <c r="E211" s="53"/>
      <c r="F211" s="53"/>
    </row>
    <row r="212" spans="1:6" x14ac:dyDescent="0.2">
      <c r="A212" s="6"/>
      <c r="B212" s="6"/>
      <c r="C212" s="5"/>
      <c r="D212" s="5"/>
      <c r="E212" s="53"/>
      <c r="F212" s="53"/>
    </row>
    <row r="213" spans="1:6" x14ac:dyDescent="0.2">
      <c r="A213" s="6"/>
      <c r="B213" s="6"/>
      <c r="C213" s="5"/>
      <c r="D213" s="5"/>
      <c r="E213" s="53"/>
      <c r="F213" s="53"/>
    </row>
    <row r="214" spans="1:6" x14ac:dyDescent="0.2">
      <c r="A214" s="6"/>
      <c r="B214" s="6"/>
      <c r="C214" s="5"/>
      <c r="D214" s="5"/>
      <c r="E214" s="53"/>
      <c r="F214" s="53"/>
    </row>
    <row r="215" spans="1:6" x14ac:dyDescent="0.2">
      <c r="A215" s="6"/>
      <c r="B215" s="6"/>
      <c r="C215" s="5"/>
      <c r="D215" s="5"/>
      <c r="E215" s="53"/>
      <c r="F215" s="53"/>
    </row>
    <row r="216" spans="1:6" x14ac:dyDescent="0.2">
      <c r="A216" s="6"/>
      <c r="B216" s="6"/>
      <c r="C216" s="5"/>
      <c r="D216" s="5"/>
      <c r="E216" s="53"/>
      <c r="F216" s="53"/>
    </row>
    <row r="217" spans="1:6" x14ac:dyDescent="0.2">
      <c r="A217" s="6"/>
      <c r="B217" s="6"/>
      <c r="C217" s="5"/>
      <c r="D217" s="5"/>
      <c r="E217" s="53"/>
      <c r="F217" s="53"/>
    </row>
    <row r="218" spans="1:6" x14ac:dyDescent="0.2">
      <c r="A218" s="6"/>
      <c r="B218" s="6"/>
      <c r="C218" s="5"/>
      <c r="D218" s="5"/>
      <c r="E218" s="53"/>
      <c r="F218" s="53"/>
    </row>
    <row r="219" spans="1:6" x14ac:dyDescent="0.2">
      <c r="A219" s="6"/>
      <c r="B219" s="6"/>
      <c r="C219" s="5"/>
      <c r="D219" s="5"/>
      <c r="E219" s="53"/>
      <c r="F219" s="53"/>
    </row>
    <row r="220" spans="1:6" x14ac:dyDescent="0.2">
      <c r="A220" s="6"/>
      <c r="B220" s="6"/>
      <c r="C220" s="5"/>
      <c r="D220" s="5"/>
      <c r="E220" s="53"/>
      <c r="F220" s="53"/>
    </row>
    <row r="221" spans="1:6" x14ac:dyDescent="0.2">
      <c r="A221" s="6"/>
      <c r="B221" s="6"/>
      <c r="C221" s="5"/>
      <c r="D221" s="5"/>
      <c r="E221" s="53"/>
      <c r="F221" s="53"/>
    </row>
    <row r="222" spans="1:6" x14ac:dyDescent="0.2">
      <c r="A222" s="6"/>
      <c r="B222" s="6"/>
      <c r="C222" s="5"/>
      <c r="D222" s="5"/>
      <c r="E222" s="53"/>
      <c r="F222" s="53"/>
    </row>
    <row r="223" spans="1:6" x14ac:dyDescent="0.2">
      <c r="A223" s="6"/>
      <c r="B223" s="6"/>
      <c r="C223" s="5"/>
      <c r="D223" s="5"/>
      <c r="E223" s="53"/>
      <c r="F223" s="53"/>
    </row>
    <row r="224" spans="1:6" x14ac:dyDescent="0.2">
      <c r="C224" s="5"/>
      <c r="D224" s="5"/>
      <c r="E224" s="53"/>
      <c r="F224" s="53"/>
    </row>
  </sheetData>
  <mergeCells count="2">
    <mergeCell ref="A97:F100"/>
    <mergeCell ref="A103:E109"/>
  </mergeCells>
  <hyperlinks>
    <hyperlink ref="A96" r:id="rId1" location=":~:text=of%20Pb%2C%20Cd%20and%20Cr%2C,biochar" display="https://www.nature.com/articles/s41598-021-97525-8?error=cookies_not_supported&amp;code=9684c08f-fa74-4ba1-9930-2470bfd83540 - :~:text=of%20Pb%2C%20Cd%20and%20Cr%2C,biochar" xr:uid="{FB57C348-123F-4014-A762-0825E83F0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D195-5A12-644E-89B4-F5FC66004D2A}">
  <dimension ref="A1:O45"/>
  <sheetViews>
    <sheetView topLeftCell="A9" zoomScaleNormal="100" workbookViewId="0">
      <selection activeCell="O39" sqref="O39"/>
    </sheetView>
  </sheetViews>
  <sheetFormatPr baseColWidth="10" defaultColWidth="8.83203125" defaultRowHeight="14" x14ac:dyDescent="0.2"/>
  <cols>
    <col min="1" max="1" width="33.6640625" style="159" customWidth="1"/>
    <col min="2" max="2" width="12.5" style="159" bestFit="1" customWidth="1"/>
    <col min="3" max="7" width="8.83203125" style="159"/>
    <col min="8" max="11" width="9" style="159" bestFit="1" customWidth="1"/>
    <col min="12" max="12" width="8.83203125" style="159"/>
    <col min="13" max="13" width="10.6640625" style="159" bestFit="1" customWidth="1"/>
    <col min="14" max="14" width="9" style="159" bestFit="1" customWidth="1"/>
    <col min="15" max="16384" width="8.83203125" style="159"/>
  </cols>
  <sheetData>
    <row r="1" spans="1:14" x14ac:dyDescent="0.2">
      <c r="A1" s="158" t="s">
        <v>2</v>
      </c>
      <c r="B1" s="158" t="s">
        <v>159</v>
      </c>
    </row>
    <row r="2" spans="1:14" x14ac:dyDescent="0.2">
      <c r="A2" s="159" t="s">
        <v>3</v>
      </c>
      <c r="B2" s="159" t="s">
        <v>158</v>
      </c>
    </row>
    <row r="3" spans="1:14" ht="15" x14ac:dyDescent="0.2">
      <c r="A3" s="159" t="s">
        <v>4</v>
      </c>
      <c r="B3" s="160" t="s">
        <v>5</v>
      </c>
    </row>
    <row r="4" spans="1:14" x14ac:dyDescent="0.2">
      <c r="A4" s="159" t="s">
        <v>6</v>
      </c>
      <c r="B4" s="159" t="s">
        <v>155</v>
      </c>
    </row>
    <row r="5" spans="1:14" ht="15" x14ac:dyDescent="0.2">
      <c r="A5" s="159" t="s">
        <v>7</v>
      </c>
      <c r="B5" s="160" t="s">
        <v>8</v>
      </c>
    </row>
    <row r="6" spans="1:14" ht="15" x14ac:dyDescent="0.2">
      <c r="A6" s="159" t="s">
        <v>9</v>
      </c>
      <c r="B6" s="160" t="s">
        <v>10</v>
      </c>
    </row>
    <row r="7" spans="1:14" x14ac:dyDescent="0.2">
      <c r="A7" s="158" t="s">
        <v>11</v>
      </c>
      <c r="B7" s="160"/>
    </row>
    <row r="8" spans="1:14" x14ac:dyDescent="0.2">
      <c r="A8" s="159" t="s">
        <v>12</v>
      </c>
      <c r="B8" s="159" t="s">
        <v>13</v>
      </c>
      <c r="C8" s="159" t="s">
        <v>29</v>
      </c>
      <c r="D8" s="159" t="s">
        <v>4</v>
      </c>
      <c r="E8" s="159" t="s">
        <v>9</v>
      </c>
      <c r="F8" s="159" t="s">
        <v>7</v>
      </c>
      <c r="G8" s="159" t="s">
        <v>6</v>
      </c>
      <c r="H8" s="159" t="s">
        <v>3</v>
      </c>
      <c r="I8" s="159" t="s">
        <v>266</v>
      </c>
      <c r="J8" s="159" t="s">
        <v>269</v>
      </c>
      <c r="K8" s="159" t="s">
        <v>270</v>
      </c>
      <c r="L8" s="159" t="s">
        <v>271</v>
      </c>
      <c r="M8" s="159" t="s">
        <v>272</v>
      </c>
      <c r="N8" s="159" t="s">
        <v>267</v>
      </c>
    </row>
    <row r="9" spans="1:14" x14ac:dyDescent="0.2">
      <c r="A9" s="159" t="str">
        <f>B1</f>
        <v>drying of spruce wood chips</v>
      </c>
      <c r="B9" s="159">
        <v>1</v>
      </c>
      <c r="D9" s="159" t="s">
        <v>5</v>
      </c>
      <c r="E9" s="159" t="s">
        <v>10</v>
      </c>
      <c r="F9" s="159" t="s">
        <v>14</v>
      </c>
      <c r="G9" s="159" t="str">
        <f>B4</f>
        <v>spruce, chipped and dried</v>
      </c>
    </row>
    <row r="10" spans="1:14" x14ac:dyDescent="0.2">
      <c r="A10" s="159" t="s">
        <v>171</v>
      </c>
      <c r="B10" s="161">
        <v>1</v>
      </c>
      <c r="D10" s="159" t="s">
        <v>121</v>
      </c>
      <c r="E10" s="159" t="s">
        <v>10</v>
      </c>
      <c r="F10" s="159" t="s">
        <v>15</v>
      </c>
      <c r="G10" s="159" t="s">
        <v>126</v>
      </c>
      <c r="H10" s="159" t="str">
        <f>"Conversion factor from wet to dry mass "&amp;TEXT('spruce (parameters)'!B4,"0.00")</f>
        <v>Conversion factor from wet to dry mass 0.00</v>
      </c>
    </row>
    <row r="11" spans="1:14" x14ac:dyDescent="0.2">
      <c r="A11" s="159" t="s">
        <v>16</v>
      </c>
      <c r="B11" s="159">
        <f>'spruce (parameters)'!C43</f>
        <v>1.08</v>
      </c>
      <c r="D11" s="159" t="s">
        <v>17</v>
      </c>
      <c r="E11" s="159" t="s">
        <v>18</v>
      </c>
      <c r="F11" s="159" t="s">
        <v>15</v>
      </c>
      <c r="G11" s="159" t="s">
        <v>19</v>
      </c>
      <c r="H11" s="159" t="str">
        <f>TEXT('spruce (parameters)'!D43,"0")&amp;
" MJ of heat needed for "&amp;TEXT('spruce (parameters)'!B3,"0")&amp;
" t of feedstock"</f>
        <v>MJ MJ of heat needed for 0 t of feedstock</v>
      </c>
      <c r="I11" s="159">
        <v>2</v>
      </c>
      <c r="J11" s="159">
        <f>'Uncertainty table'!R17</f>
        <v>7.6961041136128394E-2</v>
      </c>
      <c r="K11" s="159">
        <f>'Uncertainty table'!S17</f>
        <v>0.26236426446749106</v>
      </c>
    </row>
    <row r="12" spans="1:14" x14ac:dyDescent="0.2">
      <c r="A12" s="159" t="s">
        <v>166</v>
      </c>
      <c r="B12" s="159">
        <v>0.1</v>
      </c>
      <c r="D12" s="159" t="s">
        <v>5</v>
      </c>
      <c r="E12" s="159" t="s">
        <v>20</v>
      </c>
      <c r="F12" s="159" t="s">
        <v>15</v>
      </c>
      <c r="G12" s="159" t="s">
        <v>167</v>
      </c>
      <c r="H12" s="159" t="s">
        <v>21</v>
      </c>
    </row>
    <row r="13" spans="1:14" x14ac:dyDescent="0.2">
      <c r="A13" s="159" t="s">
        <v>22</v>
      </c>
      <c r="B13" s="162">
        <f>'spruce (parameters)'!C41</f>
        <v>1.3588888899760003E-2</v>
      </c>
      <c r="D13" s="159" t="s">
        <v>5</v>
      </c>
      <c r="E13" s="159" t="s">
        <v>23</v>
      </c>
      <c r="F13" s="159" t="s">
        <v>15</v>
      </c>
      <c r="G13" s="159" t="s">
        <v>24</v>
      </c>
      <c r="H13" s="159" t="str">
        <f>TEXT('spruce (parameters)'!D41,"0.00")&amp;
" kWh for electric chipping and drying for "&amp;TEXT('spruce (parameters)'!B3,"0")&amp;
" t of feedstock, conversion rate from GJ to kWh "&amp;TEXT('spruce (parameters)'!A33,"0.000")</f>
        <v>kWh kWh for electric chipping and drying for 0 t of feedstock, conversion rate from GJ to kWh GJ to kWh conversion rate</v>
      </c>
      <c r="I13" s="159">
        <v>2</v>
      </c>
      <c r="J13" s="159">
        <f>'Uncertainty table'!R18</f>
        <v>-4.2984946370437767</v>
      </c>
      <c r="K13" s="159">
        <f>'Uncertainty table'!S18</f>
        <v>0.26236426446749106</v>
      </c>
    </row>
    <row r="16" spans="1:14" x14ac:dyDescent="0.2">
      <c r="A16" s="158" t="s">
        <v>2</v>
      </c>
      <c r="B16" s="158" t="s">
        <v>157</v>
      </c>
    </row>
    <row r="17" spans="1:14" x14ac:dyDescent="0.2">
      <c r="A17" s="159" t="s">
        <v>3</v>
      </c>
      <c r="B17" s="159" t="s">
        <v>156</v>
      </c>
    </row>
    <row r="18" spans="1:14" x14ac:dyDescent="0.2">
      <c r="A18" s="159" t="s">
        <v>4</v>
      </c>
      <c r="B18" s="159" t="s">
        <v>5</v>
      </c>
    </row>
    <row r="19" spans="1:14" x14ac:dyDescent="0.2">
      <c r="A19" s="159" t="s">
        <v>6</v>
      </c>
      <c r="B19" s="159" t="s">
        <v>1</v>
      </c>
    </row>
    <row r="20" spans="1:14" x14ac:dyDescent="0.2">
      <c r="A20" s="159" t="s">
        <v>7</v>
      </c>
      <c r="B20" s="159" t="s">
        <v>8</v>
      </c>
    </row>
    <row r="21" spans="1:14" x14ac:dyDescent="0.2">
      <c r="A21" s="159" t="s">
        <v>9</v>
      </c>
      <c r="B21" s="159" t="s">
        <v>10</v>
      </c>
    </row>
    <row r="22" spans="1:14" x14ac:dyDescent="0.2">
      <c r="A22" s="158" t="s">
        <v>11</v>
      </c>
    </row>
    <row r="23" spans="1:14" x14ac:dyDescent="0.2">
      <c r="A23" s="159" t="s">
        <v>12</v>
      </c>
      <c r="B23" s="159" t="s">
        <v>13</v>
      </c>
      <c r="C23" s="159" t="s">
        <v>29</v>
      </c>
      <c r="D23" s="159" t="s">
        <v>4</v>
      </c>
      <c r="E23" s="159" t="s">
        <v>9</v>
      </c>
      <c r="F23" s="159" t="s">
        <v>7</v>
      </c>
      <c r="G23" s="159" t="s">
        <v>6</v>
      </c>
      <c r="H23" s="159" t="s">
        <v>3</v>
      </c>
      <c r="I23" s="159" t="s">
        <v>266</v>
      </c>
      <c r="J23" s="159" t="s">
        <v>269</v>
      </c>
      <c r="K23" s="159" t="s">
        <v>270</v>
      </c>
      <c r="L23" s="159" t="s">
        <v>271</v>
      </c>
      <c r="M23" s="159" t="s">
        <v>272</v>
      </c>
      <c r="N23" s="159" t="s">
        <v>267</v>
      </c>
    </row>
    <row r="24" spans="1:14" x14ac:dyDescent="0.2">
      <c r="A24" s="159" t="str">
        <f>B16</f>
        <v>biochar production, from spruce pyrolysis</v>
      </c>
      <c r="B24" s="159">
        <v>1</v>
      </c>
      <c r="D24" s="159" t="s">
        <v>5</v>
      </c>
      <c r="E24" s="159" t="s">
        <v>10</v>
      </c>
      <c r="F24" s="159" t="s">
        <v>14</v>
      </c>
      <c r="G24" s="159" t="s">
        <v>1</v>
      </c>
    </row>
    <row r="25" spans="1:14" x14ac:dyDescent="0.2">
      <c r="A25" s="159" t="str">
        <f>B1</f>
        <v>drying of spruce wood chips</v>
      </c>
      <c r="B25" s="159">
        <f>'spruce (parameters)'!C12</f>
        <v>1.726951347827488</v>
      </c>
      <c r="D25" s="159" t="s">
        <v>5</v>
      </c>
      <c r="E25" s="159" t="s">
        <v>10</v>
      </c>
      <c r="F25" s="159" t="s">
        <v>15</v>
      </c>
      <c r="G25" s="159" t="s">
        <v>155</v>
      </c>
      <c r="H25" s="159" t="str">
        <f>"biochar yield rate "&amp;TEXT('spruce (parameters)'!B68,"0.00")&amp;
", allocation rate of "&amp;TEXT('spruce (parameters)'!E68,"0.00")</f>
        <v>biochar yield rate 0.28, allocation rate of 0.48</v>
      </c>
      <c r="I25" s="159">
        <v>2</v>
      </c>
      <c r="J25" s="159">
        <f>'Uncertainty table'!R19</f>
        <v>0.54635742586103875</v>
      </c>
      <c r="K25" s="159">
        <f>'Uncertainty table'!S19</f>
        <v>0.18232155679395459</v>
      </c>
    </row>
    <row r="26" spans="1:14" x14ac:dyDescent="0.2">
      <c r="A26" s="159" t="s">
        <v>16</v>
      </c>
      <c r="B26" s="159">
        <f>'spruce (parameters)'!C30</f>
        <v>0.37896508201951046</v>
      </c>
      <c r="D26" s="159" t="s">
        <v>17</v>
      </c>
      <c r="E26" s="159" t="s">
        <v>18</v>
      </c>
      <c r="F26" s="159" t="s">
        <v>15</v>
      </c>
      <c r="G26" s="159" t="s">
        <v>19</v>
      </c>
      <c r="H26" s="159" t="str">
        <f>"total heat for producing "&amp;TEXT('spruce (parameters)'!C9,"0.00")&amp;
" tonnes of biochar is "&amp;TEXT('spruce (parameters)'!C26,"0.00")&amp;
" GJ (pre-allocation), allocation rate of "&amp;TEXT('spruce (parameters)'!E68,"0.00")</f>
        <v>total heat for producing 1681.40 tonnes of biochar is 1316.65 GJ (pre-allocation), allocation rate of 0.48</v>
      </c>
      <c r="I26" s="159">
        <v>2</v>
      </c>
      <c r="J26" s="159">
        <f>'Uncertainty table'!R20</f>
        <v>-0.97031142644903656</v>
      </c>
      <c r="K26" s="159">
        <f>'Uncertainty table'!S20</f>
        <v>0.18232155679395459</v>
      </c>
    </row>
    <row r="27" spans="1:14" x14ac:dyDescent="0.2">
      <c r="A27" s="159" t="s">
        <v>22</v>
      </c>
      <c r="B27" s="163">
        <f>'spruce (parameters)'!C31</f>
        <v>2.1873917575467767E-2</v>
      </c>
      <c r="D27" s="159" t="s">
        <v>5</v>
      </c>
      <c r="E27" s="159" t="s">
        <v>23</v>
      </c>
      <c r="F27" s="159" t="s">
        <v>15</v>
      </c>
      <c r="G27" s="159" t="s">
        <v>24</v>
      </c>
      <c r="H27" s="159" t="str">
        <f>"total electricity for producing "&amp;TEXT('spruce (parameters)'!C9,"0.00")&amp;
" tonnes of biochar is "&amp;TEXT('spruce (parameters)'!C25,"0.00")&amp;
" GJ (pre-allocation), allocation rate of "&amp;TEXT('spruce (parameters)'!E68,"0.00")</f>
        <v>total electricity for producing 1681.40 tonnes of biochar is 273.59 GJ (pre-allocation), allocation rate of 0.48</v>
      </c>
      <c r="I27" s="159">
        <v>2</v>
      </c>
      <c r="J27" s="159">
        <f>'Uncertainty table'!R21</f>
        <v>-3.8224611337171135</v>
      </c>
      <c r="K27" s="159">
        <f>'Uncertainty table'!S21</f>
        <v>0.18232155679395459</v>
      </c>
    </row>
    <row r="28" spans="1:14" x14ac:dyDescent="0.2">
      <c r="A28" s="159" t="s">
        <v>25</v>
      </c>
      <c r="B28" s="159">
        <f>'spruce (parameters)'!C51</f>
        <v>8.6347567391374397E-9</v>
      </c>
      <c r="D28" s="159" t="s">
        <v>26</v>
      </c>
      <c r="E28" s="159" t="s">
        <v>9</v>
      </c>
      <c r="F28" s="159" t="s">
        <v>15</v>
      </c>
      <c r="G28" s="159" t="s">
        <v>124</v>
      </c>
      <c r="H28" s="159" t="str">
        <f>"lifetime of "&amp;TEXT('spruce (parameters)'!C46,"0")&amp;
" years, plant capacity of "&amp;TEXT('spruce (parameters)'!C47,"0")&amp;
" tonnes, allocation rate of "&amp;TEXT('spruce (parameters)'!E68,"0.00")&amp;
", biochar yield rate of "&amp;TEXT('spruce (parameters)'!B68,"0.00")&amp;
", max amount of biochar produced throughout its lifetime "&amp;TEXT('spruce (parameters)'!C48,"0.00")&amp; " tonnes "</f>
        <v xml:space="preserve">lifetime of 20 years, plant capacity of 10000 tonnes, allocation rate of 0.48, biochar yield rate of 0.28, max amount of biochar produced throughout its lifetime 56046.53 tonnes </v>
      </c>
    </row>
    <row r="29" spans="1:14" x14ac:dyDescent="0.2">
      <c r="A29" s="159" t="s">
        <v>31</v>
      </c>
      <c r="B29" s="159">
        <f>'spruce (parameters)'!C18</f>
        <v>0.5693823757789449</v>
      </c>
      <c r="C29" s="159" t="s">
        <v>32</v>
      </c>
      <c r="E29" s="159" t="s">
        <v>10</v>
      </c>
      <c r="F29" s="159" t="s">
        <v>33</v>
      </c>
      <c r="I29" s="159">
        <v>2</v>
      </c>
      <c r="J29" s="159">
        <f>'Uncertainty table'!R22</f>
        <v>-0.56320371686126969</v>
      </c>
      <c r="K29" s="159">
        <f>'Uncertainty table'!S22</f>
        <v>0.18232155679395459</v>
      </c>
    </row>
    <row r="32" spans="1:14" x14ac:dyDescent="0.2">
      <c r="A32" s="158" t="s">
        <v>2</v>
      </c>
      <c r="B32" s="158" t="s">
        <v>154</v>
      </c>
    </row>
    <row r="33" spans="1:15" x14ac:dyDescent="0.2">
      <c r="A33" s="159" t="s">
        <v>3</v>
      </c>
      <c r="B33" s="159" t="s">
        <v>27</v>
      </c>
    </row>
    <row r="34" spans="1:15" x14ac:dyDescent="0.2">
      <c r="A34" s="159" t="s">
        <v>4</v>
      </c>
      <c r="B34" s="159" t="s">
        <v>5</v>
      </c>
    </row>
    <row r="35" spans="1:15" x14ac:dyDescent="0.2">
      <c r="A35" s="159" t="s">
        <v>6</v>
      </c>
      <c r="B35" s="159" t="s">
        <v>28</v>
      </c>
    </row>
    <row r="36" spans="1:15" x14ac:dyDescent="0.2">
      <c r="A36" s="159" t="s">
        <v>7</v>
      </c>
      <c r="B36" s="159" t="s">
        <v>8</v>
      </c>
    </row>
    <row r="37" spans="1:15" x14ac:dyDescent="0.2">
      <c r="A37" s="159" t="s">
        <v>9</v>
      </c>
      <c r="B37" s="159" t="s">
        <v>10</v>
      </c>
    </row>
    <row r="38" spans="1:15" x14ac:dyDescent="0.2">
      <c r="A38" s="158" t="s">
        <v>11</v>
      </c>
    </row>
    <row r="39" spans="1:15" x14ac:dyDescent="0.2">
      <c r="A39" s="159" t="s">
        <v>12</v>
      </c>
      <c r="B39" s="159" t="s">
        <v>13</v>
      </c>
      <c r="C39" s="159" t="s">
        <v>29</v>
      </c>
      <c r="D39" s="159" t="s">
        <v>4</v>
      </c>
      <c r="E39" s="159" t="s">
        <v>9</v>
      </c>
      <c r="F39" s="159" t="s">
        <v>7</v>
      </c>
      <c r="G39" s="159" t="s">
        <v>6</v>
      </c>
      <c r="H39" s="159" t="s">
        <v>3</v>
      </c>
      <c r="I39" s="159" t="s">
        <v>266</v>
      </c>
      <c r="J39" s="159" t="s">
        <v>269</v>
      </c>
      <c r="K39" s="159" t="s">
        <v>270</v>
      </c>
      <c r="L39" s="159" t="s">
        <v>271</v>
      </c>
      <c r="M39" s="159" t="s">
        <v>272</v>
      </c>
      <c r="N39" s="159" t="s">
        <v>267</v>
      </c>
      <c r="O39" s="164" t="s">
        <v>345</v>
      </c>
    </row>
    <row r="40" spans="1:15" x14ac:dyDescent="0.2">
      <c r="A40" s="159" t="str">
        <f>B32</f>
        <v>carbon dioxide, captured and stored, by spruce biochar application on mineral soil</v>
      </c>
      <c r="B40" s="159">
        <v>1</v>
      </c>
      <c r="D40" s="159" t="s">
        <v>5</v>
      </c>
      <c r="E40" s="159" t="s">
        <v>10</v>
      </c>
      <c r="F40" s="159" t="s">
        <v>14</v>
      </c>
      <c r="G40" s="159" t="str">
        <f>B35</f>
        <v>carbon dioxide, captured</v>
      </c>
    </row>
    <row r="41" spans="1:15" x14ac:dyDescent="0.2">
      <c r="A41" s="159" t="str">
        <f>B16</f>
        <v>biochar production, from spruce pyrolysis</v>
      </c>
      <c r="B41" s="159">
        <f>'spruce (parameters)'!C22</f>
        <v>0.53973745786944305</v>
      </c>
      <c r="D41" s="159" t="s">
        <v>5</v>
      </c>
      <c r="E41" s="159" t="s">
        <v>10</v>
      </c>
      <c r="F41" s="159" t="s">
        <v>15</v>
      </c>
      <c r="G41" s="159" t="s">
        <v>1</v>
      </c>
      <c r="H41" s="159" t="str">
        <f>"1 kilogram of biochar stores "&amp;TEXT('spruce (parameters)'!C21,"0.000")&amp;
" kg of CO2, and "&amp;TEXT('spruce (parameters)'!C20,"0.000")&amp;
" of the carbon content is assumed stable. Carbon content: "&amp;TEXT('spruce (parameters)'!C17,"0.000")&amp;
" kg C/kg biochar."</f>
        <v>1 kilogram of biochar stores 1.853 kg of CO2, and 0.727 of the carbon content is assumed stable. Carbon content: 2.548 kg C/kg biochar.</v>
      </c>
      <c r="I41" s="159">
        <v>2</v>
      </c>
      <c r="J41" s="159">
        <f>'Uncertainty table'!R23</f>
        <v>-0.61667329510191504</v>
      </c>
      <c r="K41" s="159">
        <f>'Uncertainty table'!S23</f>
        <v>0.18232155679395459</v>
      </c>
    </row>
    <row r="42" spans="1:15" x14ac:dyDescent="0.2">
      <c r="A42" s="159" t="s">
        <v>166</v>
      </c>
      <c r="B42" s="159">
        <v>0.1</v>
      </c>
      <c r="D42" s="159" t="s">
        <v>5</v>
      </c>
      <c r="E42" s="159" t="s">
        <v>20</v>
      </c>
      <c r="F42" s="159" t="s">
        <v>15</v>
      </c>
      <c r="G42" s="159" t="s">
        <v>167</v>
      </c>
      <c r="H42" s="159" t="s">
        <v>30</v>
      </c>
    </row>
    <row r="43" spans="1:15" x14ac:dyDescent="0.2">
      <c r="A43" s="159" t="s">
        <v>168</v>
      </c>
      <c r="B43" s="159">
        <v>5.0000000000000001E-3</v>
      </c>
      <c r="D43" s="159" t="s">
        <v>26</v>
      </c>
      <c r="E43" s="159" t="s">
        <v>20</v>
      </c>
      <c r="F43" s="159" t="s">
        <v>15</v>
      </c>
      <c r="G43" s="159" t="s">
        <v>169</v>
      </c>
    </row>
    <row r="44" spans="1:15" x14ac:dyDescent="0.2">
      <c r="A44" s="159" t="s">
        <v>31</v>
      </c>
      <c r="B44" s="159">
        <f>'spruce (parameters)'!C23</f>
        <v>0.37513751375137522</v>
      </c>
      <c r="C44" s="159" t="s">
        <v>32</v>
      </c>
      <c r="E44" s="159" t="s">
        <v>10</v>
      </c>
      <c r="F44" s="159" t="s">
        <v>33</v>
      </c>
      <c r="H44" s="159" t="s">
        <v>118</v>
      </c>
      <c r="I44" s="159">
        <v>2</v>
      </c>
      <c r="J44" s="159">
        <f>'Uncertainty table'!R24</f>
        <v>-0.98046132070711878</v>
      </c>
      <c r="K44" s="159">
        <f>'Uncertainty table'!S24</f>
        <v>0.18232155679395459</v>
      </c>
    </row>
    <row r="45" spans="1:15" x14ac:dyDescent="0.2">
      <c r="A45" s="159" t="s">
        <v>250</v>
      </c>
      <c r="B45" s="166">
        <f>-B41*'Uncertainty table'!E71</f>
        <v>-1.0262722234631839E-5</v>
      </c>
      <c r="C45" s="159" t="s">
        <v>251</v>
      </c>
      <c r="E45" s="159" t="s">
        <v>10</v>
      </c>
      <c r="F45" s="159" t="s">
        <v>33</v>
      </c>
      <c r="I45" s="159">
        <v>2</v>
      </c>
      <c r="J45" s="166">
        <f>'Uncertainty table'!R71</f>
        <v>-10.870319981618522</v>
      </c>
      <c r="K45" s="166">
        <f>'Uncertainty table'!S71</f>
        <v>0.54630170658938892</v>
      </c>
      <c r="M45" s="159" t="str">
        <f>'Uncertainty table'!U25</f>
        <v/>
      </c>
      <c r="N45" s="159" t="str">
        <f>'Uncertainty table'!V25</f>
        <v/>
      </c>
      <c r="O45" s="159"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birch</vt:lpstr>
      <vt:lpstr>birch (parameters)</vt:lpstr>
      <vt:lpstr>oak</vt:lpstr>
      <vt:lpstr>oak (parameters)</vt:lpstr>
      <vt:lpstr>rice_husk</vt:lpstr>
      <vt:lpstr>rice_husk (parameters)</vt:lpstr>
      <vt:lpstr>rice_straw</vt:lpstr>
      <vt:lpstr>rice_straw (parameters)</vt:lpstr>
      <vt:lpstr>spruce</vt:lpstr>
      <vt:lpstr>spruce (parameters)</vt:lpstr>
      <vt:lpstr>willow</vt:lpstr>
      <vt:lpstr>willow (parameters)</vt:lpstr>
      <vt:lpstr>Uncertainty table</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Romain Sacchi</cp:lastModifiedBy>
  <cp:revision/>
  <dcterms:created xsi:type="dcterms:W3CDTF">2024-12-11T11:52:18Z</dcterms:created>
  <dcterms:modified xsi:type="dcterms:W3CDTF">2025-10-11T16:17:12Z</dcterms:modified>
  <cp:category/>
  <cp:contentStatus/>
</cp:coreProperties>
</file>