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AE5DD7C5-3B0B-415B-A4B5-825920127BB4}" xr6:coauthVersionLast="47" xr6:coauthVersionMax="47" xr10:uidLastSave="{00000000-0000-0000-0000-000000000000}"/>
  <bookViews>
    <workbookView xWindow="-5415" yWindow="-21720" windowWidth="38640" windowHeight="21120" xr2:uid="{00000000-000D-0000-FFFF-FFFF00000000}"/>
  </bookViews>
  <sheets>
    <sheet name="Li-ion_Battery_EOL" sheetId="4" r:id="rId1"/>
  </sheets>
  <definedNames>
    <definedName name="btbl4fnb" localSheetId="0">'Li-ion_Battery_EOL'!#REF!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2" i="4" l="1"/>
  <c r="B125" i="4" l="1"/>
  <c r="B124" i="4"/>
  <c r="B131" i="4"/>
  <c r="B163" i="4"/>
  <c r="G226" i="4"/>
  <c r="D226" i="4"/>
  <c r="C226" i="4"/>
  <c r="A226" i="4"/>
  <c r="G210" i="4"/>
  <c r="D210" i="4"/>
  <c r="C210" i="4"/>
  <c r="A210" i="4"/>
  <c r="G196" i="4"/>
  <c r="D196" i="4"/>
  <c r="C196" i="4"/>
  <c r="A196" i="4"/>
  <c r="B182" i="4"/>
  <c r="G179" i="4"/>
  <c r="D179" i="4"/>
  <c r="C179" i="4"/>
  <c r="A179" i="4"/>
  <c r="B167" i="4"/>
  <c r="B166" i="4"/>
  <c r="B165" i="4"/>
  <c r="B164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8" i="4"/>
  <c r="B147" i="4"/>
  <c r="B146" i="4"/>
  <c r="B145" i="4"/>
  <c r="B144" i="4"/>
  <c r="G143" i="4"/>
  <c r="D143" i="4"/>
  <c r="C143" i="4"/>
  <c r="A143" i="4"/>
  <c r="B130" i="4"/>
  <c r="B129" i="4"/>
  <c r="B128" i="4"/>
  <c r="B127" i="4"/>
  <c r="B126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G95" i="4"/>
  <c r="D95" i="4"/>
  <c r="C95" i="4"/>
  <c r="A95" i="4"/>
  <c r="C83" i="4"/>
  <c r="B83" i="4"/>
  <c r="A83" i="4"/>
  <c r="C71" i="4"/>
  <c r="B71" i="4"/>
  <c r="A71" i="4"/>
  <c r="C59" i="4"/>
  <c r="B59" i="4"/>
  <c r="A59" i="4"/>
  <c r="C47" i="4"/>
  <c r="B47" i="4"/>
  <c r="A47" i="4"/>
  <c r="C35" i="4"/>
  <c r="B35" i="4"/>
  <c r="A35" i="4"/>
  <c r="C23" i="4"/>
  <c r="B23" i="4"/>
  <c r="A23" i="4"/>
  <c r="C11" i="4"/>
  <c r="B11" i="4"/>
  <c r="A11" i="4"/>
</calcChain>
</file>

<file path=xl/sharedStrings.xml><?xml version="1.0" encoding="utf-8"?>
<sst xmlns="http://schemas.openxmlformats.org/spreadsheetml/2006/main" count="870" uniqueCount="170">
  <si>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</si>
  <si>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</si>
  <si>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</si>
  <si>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</si>
  <si>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</si>
  <si>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</si>
  <si>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</si>
  <si>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</si>
  <si>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</si>
  <si>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</si>
  <si>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</si>
  <si>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</si>
  <si>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</si>
  <si>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</si>
  <si>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</si>
  <si>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</si>
  <si>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</si>
  <si>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</si>
  <si>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</si>
  <si>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</si>
  <si>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</si>
  <si>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</si>
  <si>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</si>
  <si>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</si>
  <si>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</si>
  <si>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</si>
  <si>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</si>
  <si>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</si>
  <si>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</si>
  <si>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sodium hydroxide, without water, in 50% solution state</t>
  </si>
  <si>
    <t>GLO</t>
  </si>
  <si>
    <t>market for sulfuric acid</t>
  </si>
  <si>
    <t>sulfuric acid</t>
  </si>
  <si>
    <t>water, deionised</t>
  </si>
  <si>
    <t>market for water, deionised</t>
  </si>
  <si>
    <t>Europe without Switzerland</t>
  </si>
  <si>
    <t>heat, district or industrial, natural gas</t>
  </si>
  <si>
    <t>treatment of wastewater, average, wastewater treatment</t>
  </si>
  <si>
    <t>wastewater, average</t>
  </si>
  <si>
    <t>treatment of used Li-ion battery, hydrometallurgical treatment, new</t>
  </si>
  <si>
    <t>100% recovery rate is assumed according to Hanna (2025)</t>
  </si>
  <si>
    <t>Hanna et al. (2025). Life Cycle Assessment of Lithium-Ion Battery Recycling: Evaluating the Impact of Recycling Methods and Location</t>
  </si>
  <si>
    <t>manganese sulfate</t>
  </si>
  <si>
    <t>cobalt sulfate</t>
  </si>
  <si>
    <t xml:space="preserve">                      </t>
  </si>
  <si>
    <t>70% recovery rate is assumed according to Hanna (2025)</t>
  </si>
  <si>
    <t>lithium carbonate</t>
  </si>
  <si>
    <t>69% recovery rate is assumed according to Hanna (2025)</t>
  </si>
  <si>
    <t>nickel sulfate</t>
  </si>
  <si>
    <t>treatment of used Li-ion battery, pyrometallurgical treatment, new</t>
  </si>
  <si>
    <t>56% recovery rate is assumed according to Hanna (2025)</t>
  </si>
  <si>
    <t>LCI data from Table S7 according to Hanna et al. (2025)</t>
  </si>
  <si>
    <t>used Li-ion battery</t>
  </si>
  <si>
    <t xml:space="preserve">scaled up from 1 ton of used 1-ton NMC LIBP </t>
  </si>
  <si>
    <t>39kg/ton NMC, for dismantling and discharging</t>
  </si>
  <si>
    <t>market for sodium chloride, powder</t>
  </si>
  <si>
    <t>sodium chloride, powder</t>
  </si>
  <si>
    <t>4kg/ton NMC, for dismantling and discharging</t>
  </si>
  <si>
    <t>1.03m3 = 1030kg/ton battery, for crushing and drying</t>
  </si>
  <si>
    <t>135.46kWh/ton, for crushing and drying</t>
  </si>
  <si>
    <t>market for N-methyl-2-pyrrolidone</t>
  </si>
  <si>
    <t>N-methyl-2-pyrrolidone</t>
  </si>
  <si>
    <t>7.68kWh/ton, for stripping</t>
  </si>
  <si>
    <t>29.53kWh/ton, for black mass filtering</t>
  </si>
  <si>
    <t>666.38kg/ton, for black mass leaching</t>
  </si>
  <si>
    <t>market for hydrogen peroxide, without water, in 50% solution state</t>
  </si>
  <si>
    <t>hydrogen peroxide, without water, in 50% solution state</t>
  </si>
  <si>
    <t>40.8kg/ton, for black mass leaching</t>
  </si>
  <si>
    <t>3776kg/ton battery, for black mass leaching</t>
  </si>
  <si>
    <t>17.72 + 10kWh/ton, for black mass leaching and filtration</t>
  </si>
  <si>
    <t>market for tap water</t>
  </si>
  <si>
    <t>tap water</t>
  </si>
  <si>
    <t>605.04kg/ton battery, for flotation</t>
  </si>
  <si>
    <t>37.60kWh/ton battery, for flotation</t>
  </si>
  <si>
    <t>7.602kWh/ton battery, for Mn precipitation via extraction</t>
  </si>
  <si>
    <t>soda ash, light, crystalline, heptahydrate, to generic market for neutralising agent</t>
  </si>
  <si>
    <t>neutralising agent, sodium hydroxide-equivalent</t>
  </si>
  <si>
    <t>122kg/ton battery, for Mn precipitation via extraction</t>
  </si>
  <si>
    <t>organic solution, with cyanex272</t>
  </si>
  <si>
    <t>organic solvent</t>
  </si>
  <si>
    <t>225L with 95% solvent recovery / ton battery, for Co precipitation via extraction</t>
  </si>
  <si>
    <t>9.056kWh/ton battery, for Co crystallization</t>
  </si>
  <si>
    <t>38.89kWh/ton battery, for Reaction and Workup--&gt; 200kg CoSO4</t>
  </si>
  <si>
    <t>steam production, in chemical industry</t>
  </si>
  <si>
    <t>steam, in chemical industry</t>
  </si>
  <si>
    <t>240kg/ton battery, for Reaction and Workup --&gt; 200kg CoSO4</t>
  </si>
  <si>
    <t>215L with 95% solvent recovery / ton battery, for Ni precipitation via extraction</t>
  </si>
  <si>
    <t>4.67kWh/ton battery, for Ni crystallization</t>
  </si>
  <si>
    <t>38.31kWh/ton battery, for Reaction and Workup--&gt; 197kg NiSO4</t>
  </si>
  <si>
    <t>236.4kg/ton battery, for Reaction and Workup --&gt; 197kg NiSO4</t>
  </si>
  <si>
    <t>market for sodium sulfide</t>
  </si>
  <si>
    <t>sodium sulfide</t>
  </si>
  <si>
    <t>4.05kg/ton battery for CuS extraction --&gt; 90% copper recovery</t>
  </si>
  <si>
    <t>0.37kWh/ton battery, for CuS extraction via filtration</t>
  </si>
  <si>
    <t>market for sodium hydroxide, without water, in 50% solution state</t>
  </si>
  <si>
    <t>15.95kg / ton battery, for Al/Fe extraction</t>
  </si>
  <si>
    <t>0.676kWh/ton battery, for Al/Fe precipitation</t>
  </si>
  <si>
    <t>0.77kWh/ton battery, for Al/Fe S/L separation --&gt; 15.55kg Aluminium hydroxide filtered</t>
  </si>
  <si>
    <t>27.88kWh/ton battery, for sodium sulfate crystallization</t>
  </si>
  <si>
    <t>27.87kWh/ton battery, for soldium sulfate S/L separation --&gt; 460kg sodium sulfate filtered</t>
  </si>
  <si>
    <t>market for hydrated lime, loose</t>
  </si>
  <si>
    <t>hydrated lime, loose</t>
  </si>
  <si>
    <t>184.82kg/ton battery for gypsum extraction</t>
  </si>
  <si>
    <t>12.83kWh/ton battery, for gypsum precipitation</t>
  </si>
  <si>
    <t>21.37kWh/ton battery, for gypsum filtration --&gt; 430kg gypsum filtered</t>
  </si>
  <si>
    <t>221.41kg/ton battery, for lithium carbonate isolation</t>
  </si>
  <si>
    <t>6.956kWh/ton battery, for lithium carbonate precipitation</t>
  </si>
  <si>
    <t>7.67kWh/ton battery, for lithium carbonate S/L separation --&gt; 154.36kg crude LiCO3 filtered</t>
  </si>
  <si>
    <t>3821.12kg/ton battery --&gt; 3821.12E-3 m3</t>
  </si>
  <si>
    <t>LCI data from Table S16 according to Hanna et al. (2025)</t>
  </si>
  <si>
    <t>market for limestone, unprocessed</t>
  </si>
  <si>
    <t>limestone, unprocessed</t>
  </si>
  <si>
    <t>160kg/ton NMC, for Preheating, Pyrolysis &amp; Smelting</t>
  </si>
  <si>
    <t>market for silica sand</t>
  </si>
  <si>
    <t>silica sand</t>
  </si>
  <si>
    <t>40kg/ton NMC, for Preheating, Pyrolysis &amp; Smelting</t>
  </si>
  <si>
    <t>440kWh/ton battery, for Preheating, Pyrolysis &amp; Smelting</t>
  </si>
  <si>
    <t>market for oxygen, liquid</t>
  </si>
  <si>
    <t>oxygen, liquid</t>
  </si>
  <si>
    <t>149.856kg/ton battery for Preheating, Pyrolysis &amp; Smelting</t>
  </si>
  <si>
    <t>Carbon dioxide, in air</t>
  </si>
  <si>
    <t>natural resource::in air</t>
  </si>
  <si>
    <t>biosphere</t>
  </si>
  <si>
    <t xml:space="preserve">graphite (190kg) is completely burned </t>
  </si>
  <si>
    <t>offgas cleaning, pyrolysis</t>
  </si>
  <si>
    <t>offgas cleaning</t>
  </si>
  <si>
    <t>305.5kg/ton, for leaching and Cu precipitation</t>
  </si>
  <si>
    <t>412kg/ton, for leaching and Cu precipitation</t>
  </si>
  <si>
    <t>1944kg/ton for leaching and Cu precipitation</t>
  </si>
  <si>
    <t>21.955kWh/ton battery, for leaching</t>
  </si>
  <si>
    <t>22.09kWh/ton battery, for filtration --&gt; 72.08 × 0.998*0.95 = 68.34kg Cu filtered and 6.02*1*0.95 = 5.72kg Fe filtered</t>
  </si>
  <si>
    <t>155.65L with 95% solvent recovery / ton battery, for Co precipitation via extraction</t>
  </si>
  <si>
    <t>9.02kWh/ton battery, for Co crystallization --&gt; 78.23 kg Co crsytallized with 0.98 recovery rate</t>
  </si>
  <si>
    <t>40.83kWh/ton battery, for Reaction and Workup--&gt; 209.98kg CoSO4</t>
  </si>
  <si>
    <t>251.98kg/ton battery, for Reaction and Workup --&gt; 209.98kg CoSO4</t>
  </si>
  <si>
    <t>145.15L with 95% solvent recovery / ton battery, for Ni precipitation via extraction</t>
  </si>
  <si>
    <t>40.27kWh/ton battery, for Reaction and Workup--&gt; 207.11kg NiSO4</t>
  </si>
  <si>
    <t>248.53kg/ton battery, for Reaction and Workup --&gt; 207.11kg NiSO4</t>
  </si>
  <si>
    <t>10L/kg lithium</t>
  </si>
  <si>
    <t>market for carbon dioxide, liquid</t>
  </si>
  <si>
    <t>carbon dioxide, liquid</t>
  </si>
  <si>
    <t>72.35kg/ton CO2</t>
  </si>
  <si>
    <t>32.18kWh/ton battery, for filtration --&gt; 70% Lithium covered from flue dust with 108kg/ton</t>
  </si>
  <si>
    <t>LCI data from Table S20 according to Hanna et al. (2025)</t>
  </si>
  <si>
    <t>market group for hard coal</t>
  </si>
  <si>
    <t>hard coal</t>
  </si>
  <si>
    <t>crude coal</t>
  </si>
  <si>
    <t>heat production, natural gas, at industrial furnace low-NOx &gt;100kW</t>
  </si>
  <si>
    <t>Steam</t>
  </si>
  <si>
    <t>treatment of hard coal ash, municipal incineration FAE</t>
  </si>
  <si>
    <t>hard coal ash</t>
  </si>
  <si>
    <t>LCI data from Table S8 according to Hanna et al. (2025)</t>
  </si>
  <si>
    <t>5% modifier is neglected</t>
  </si>
  <si>
    <t>cyanex272 production</t>
  </si>
  <si>
    <t>cyanex272</t>
  </si>
  <si>
    <t>150ml</t>
  </si>
  <si>
    <t>market for naphtha</t>
  </si>
  <si>
    <t>naphtha</t>
  </si>
  <si>
    <t>800 ml</t>
  </si>
  <si>
    <t>LCI data from Table S9 according to Hanna et al. (2025)</t>
  </si>
  <si>
    <t>market for 3-methyl-1-butanol</t>
  </si>
  <si>
    <t>3-methyl-1-butanol</t>
  </si>
  <si>
    <t>sodium hypophosphite production</t>
  </si>
  <si>
    <t>sodium hypophosphite</t>
  </si>
  <si>
    <t>Phosphine</t>
  </si>
  <si>
    <t>water</t>
  </si>
  <si>
    <t>LCI data from Table S10 according to Hanna et al. (2025)</t>
  </si>
  <si>
    <t>phosphorus production, white, liquid</t>
  </si>
  <si>
    <t>phosphorus, white, liquid</t>
  </si>
  <si>
    <t>megajoule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</si>
</sst>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1" fillId="0" borderId="0" xfId="1"/>
    <xf numFmtId="0" fontId="2" fillId="2" borderId="0" xfId="1" applyFont="1" applyFill="1"/>
    <xf numFmtId="0" fontId="1" fillId="2" borderId="0" xfId="1" applyFill="1"/>
    <xf numFmtId="11" fontId="1" fillId="2" borderId="0" xfId="1" applyNumberFormat="1" applyFill="1"/>
    <xf numFmtId="0" fontId="2" fillId="3" borderId="0" xfId="1" applyFont="1" applyFill="1"/>
    <xf numFmtId="0" fontId="1" fillId="3" borderId="0" xfId="1" applyFill="1"/>
    <xf numFmtId="0" fontId="1" fillId="2" borderId="0" xfId="1" applyFill="1" applyAlignment="1">
      <alignment wrapText="1"/>
    </xf>
    <xf numFmtId="0" fontId="1" fillId="3" borderId="0" xfId="1" applyFill="1" applyAlignment="1">
      <alignment wrapText="1"/>
    </xf>
    <xf numFmtId="0" fontId="1" fillId="0" borderId="0" xfId="1" applyAlignment="1">
      <alignment wrapText="1"/>
    </xf>
    <xf numFmtId="0" fontId="2" fillId="4" borderId="0" xfId="1" applyFont="1" applyFill="1"/>
    <xf numFmtId="0" fontId="1" fillId="4" borderId="0" xfId="1" applyFill="1"/>
    <xf numFmtId="0" fontId="0" fillId="4" borderId="0" xfId="0" applyFill="1"/>
    <xf numFmtId="0" fontId="1" fillId="4" borderId="0" xfId="1" applyFill="1" applyAlignment="1">
      <alignment wrapText="1"/>
    </xf>
    <xf numFmtId="11" fontId="1" fillId="4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1" fontId="1" fillId="0" borderId="0" xfId="1" applyNumberFormat="1"/>
    <xf numFmtId="2" fontId="1" fillId="2" borderId="0" xfId="1" applyNumberFormat="1" applyFill="1"/>
    <xf numFmtId="0" fontId="0" fillId="2" borderId="0" xfId="0" applyFill="1"/>
    <xf numFmtId="11" fontId="1" fillId="0" borderId="0" xfId="1" applyNumberForma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0D84-DB86-47BC-8417-75C9225549F9}">
  <dimension ref="A1:R230"/>
  <sheetViews>
    <sheetView tabSelected="1" topLeftCell="A149" zoomScale="56" zoomScaleNormal="45" workbookViewId="0">
      <selection activeCell="E23" sqref="E23"/>
    </sheetView>
  </sheetViews>
  <sheetFormatPr defaultRowHeight="15" x14ac:dyDescent="0.25"/>
  <cols>
    <col min="1" max="1" width="48.5703125" customWidth="1"/>
    <col min="2" max="2" width="19.5703125" customWidth="1"/>
    <col min="3" max="3" width="29.85546875" bestFit="1" customWidth="1"/>
    <col min="4" max="4" width="13.140625" bestFit="1" customWidth="1"/>
    <col min="5" max="5" width="24.85546875" bestFit="1" customWidth="1"/>
    <col min="6" max="6" width="15" bestFit="1" customWidth="1"/>
    <col min="7" max="7" width="68.7109375" bestFit="1" customWidth="1"/>
    <col min="8" max="8" width="137" customWidth="1"/>
    <col min="9" max="9" width="8.140625" bestFit="1" customWidth="1"/>
    <col min="10" max="10" width="15.85546875" bestFit="1" customWidth="1"/>
    <col min="11" max="11" width="3.42578125" bestFit="1" customWidth="1"/>
    <col min="18" max="18" width="65.140625" customWidth="1"/>
  </cols>
  <sheetData>
    <row r="1" spans="1:18" s="2" customFormat="1" ht="15.75" x14ac:dyDescent="0.25">
      <c r="A1" s="6" t="s">
        <v>0</v>
      </c>
      <c r="B1" s="6" t="s">
        <v>39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"/>
    </row>
    <row r="2" spans="1:18" s="2" customFormat="1" ht="15.75" x14ac:dyDescent="0.25">
      <c r="A2" s="7" t="s">
        <v>3</v>
      </c>
      <c r="B2" s="7" t="s">
        <v>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8" s="2" customFormat="1" ht="15.75" x14ac:dyDescent="0.25">
      <c r="A3" s="7" t="s">
        <v>1</v>
      </c>
      <c r="B3" s="7" t="s">
        <v>27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8" s="2" customFormat="1" ht="15.75" x14ac:dyDescent="0.25">
      <c r="A4" s="7" t="s">
        <v>2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R4" s="1"/>
    </row>
    <row r="5" spans="1:18" s="2" customFormat="1" ht="15.75" x14ac:dyDescent="0.25">
      <c r="A5" s="7" t="s">
        <v>4</v>
      </c>
      <c r="B5" s="7" t="s">
        <v>41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8" s="2" customFormat="1" ht="15.75" x14ac:dyDescent="0.25">
      <c r="A6" s="7" t="s">
        <v>5</v>
      </c>
      <c r="B6" s="7" t="s">
        <v>42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8" s="2" customFormat="1" ht="15.75" x14ac:dyDescent="0.25">
      <c r="A7" s="7" t="s">
        <v>6</v>
      </c>
      <c r="B7" s="7" t="s">
        <v>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8" s="2" customFormat="1" ht="15.75" x14ac:dyDescent="0.25">
      <c r="A8" s="7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8" s="2" customFormat="1" ht="15.75" x14ac:dyDescent="0.25">
      <c r="A9" s="6" t="s">
        <v>10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8" s="2" customFormat="1" ht="15.75" x14ac:dyDescent="0.25">
      <c r="A10" s="6" t="s">
        <v>11</v>
      </c>
      <c r="B10" s="6" t="s">
        <v>12</v>
      </c>
      <c r="C10" s="6" t="s">
        <v>1</v>
      </c>
      <c r="D10" s="6" t="s">
        <v>8</v>
      </c>
      <c r="E10" s="6" t="s">
        <v>13</v>
      </c>
      <c r="F10" s="6" t="s">
        <v>6</v>
      </c>
      <c r="G10" s="6" t="s">
        <v>5</v>
      </c>
      <c r="H10" s="6" t="s">
        <v>3</v>
      </c>
      <c r="I10" s="6" t="s">
        <v>18</v>
      </c>
      <c r="J10" s="6" t="s">
        <v>19</v>
      </c>
      <c r="K10" s="6" t="s">
        <v>20</v>
      </c>
      <c r="L10" s="6" t="s">
        <v>21</v>
      </c>
      <c r="M10" s="6" t="s">
        <v>22</v>
      </c>
      <c r="N10" s="6" t="s">
        <v>23</v>
      </c>
      <c r="O10" s="6" t="s">
        <v>24</v>
      </c>
    </row>
    <row r="11" spans="1:18" ht="31.5" x14ac:dyDescent="0.25">
      <c r="A11" s="9" t="str">
        <f>B1</f>
        <v>treatment of used Li-ion battery, hydrometallurgical treatment, new</v>
      </c>
      <c r="B11" s="7">
        <f>160000/160000</f>
        <v>1</v>
      </c>
      <c r="C11" s="7" t="str">
        <f>B3</f>
        <v>RER</v>
      </c>
      <c r="D11" s="7" t="s">
        <v>9</v>
      </c>
      <c r="E11" s="7"/>
      <c r="F11" s="7" t="s">
        <v>14</v>
      </c>
      <c r="G11" s="7" t="s">
        <v>42</v>
      </c>
      <c r="H11" s="7"/>
      <c r="I11" s="7"/>
      <c r="J11" s="7"/>
      <c r="K11" s="7"/>
      <c r="L11" s="7"/>
      <c r="M11" s="7"/>
      <c r="N11" s="7"/>
      <c r="O11" s="7"/>
    </row>
    <row r="13" spans="1:18" s="2" customFormat="1" ht="15.75" x14ac:dyDescent="0.25">
      <c r="A13" s="6" t="s">
        <v>0</v>
      </c>
      <c r="B13" s="6" t="s">
        <v>39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"/>
      <c r="R13" s="10"/>
    </row>
    <row r="14" spans="1:18" s="2" customFormat="1" ht="15.75" x14ac:dyDescent="0.25">
      <c r="A14" s="7" t="s">
        <v>3</v>
      </c>
      <c r="B14" s="7" t="s">
        <v>40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8" s="2" customFormat="1" ht="15.75" x14ac:dyDescent="0.25">
      <c r="A15" s="7" t="s">
        <v>1</v>
      </c>
      <c r="B15" s="7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8" s="2" customFormat="1" ht="15.75" x14ac:dyDescent="0.25">
      <c r="A16" s="7" t="s">
        <v>2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R16" s="1"/>
    </row>
    <row r="17" spans="1:18" s="2" customFormat="1" ht="15.75" x14ac:dyDescent="0.25">
      <c r="A17" s="7" t="s">
        <v>4</v>
      </c>
      <c r="B17" s="7" t="s">
        <v>41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8" s="2" customFormat="1" ht="15.75" x14ac:dyDescent="0.25">
      <c r="A18" s="7" t="s">
        <v>5</v>
      </c>
      <c r="B18" s="7" t="s">
        <v>43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8" s="2" customFormat="1" ht="15.75" x14ac:dyDescent="0.25">
      <c r="A19" s="7" t="s">
        <v>6</v>
      </c>
      <c r="B19" s="7" t="s">
        <v>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8" s="2" customFormat="1" ht="15.75" x14ac:dyDescent="0.25">
      <c r="A20" s="7" t="s">
        <v>8</v>
      </c>
      <c r="B20" s="7" t="s">
        <v>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8" s="2" customFormat="1" ht="15.75" x14ac:dyDescent="0.25">
      <c r="A21" s="6" t="s">
        <v>10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8" s="2" customFormat="1" ht="15.75" x14ac:dyDescent="0.25">
      <c r="A22" s="6" t="s">
        <v>11</v>
      </c>
      <c r="B22" s="6" t="s">
        <v>12</v>
      </c>
      <c r="C22" s="6" t="s">
        <v>1</v>
      </c>
      <c r="D22" s="6" t="s">
        <v>8</v>
      </c>
      <c r="E22" s="6" t="s">
        <v>13</v>
      </c>
      <c r="F22" s="6" t="s">
        <v>6</v>
      </c>
      <c r="G22" s="6" t="s">
        <v>5</v>
      </c>
      <c r="H22" s="6" t="s">
        <v>3</v>
      </c>
      <c r="I22" s="6" t="s">
        <v>18</v>
      </c>
      <c r="J22" s="6" t="s">
        <v>19</v>
      </c>
      <c r="K22" s="6" t="s">
        <v>20</v>
      </c>
      <c r="L22" s="6" t="s">
        <v>21</v>
      </c>
      <c r="M22" s="6" t="s">
        <v>22</v>
      </c>
      <c r="N22" s="6" t="s">
        <v>23</v>
      </c>
      <c r="O22" s="6" t="s">
        <v>24</v>
      </c>
    </row>
    <row r="23" spans="1:18" ht="31.5" x14ac:dyDescent="0.25">
      <c r="A23" s="9" t="str">
        <f>B13</f>
        <v>treatment of used Li-ion battery, hydrometallurgical treatment, new</v>
      </c>
      <c r="B23" s="7">
        <f>160000/160000</f>
        <v>1</v>
      </c>
      <c r="C23" s="7" t="str">
        <f>B15</f>
        <v>RER</v>
      </c>
      <c r="D23" s="7" t="s">
        <v>9</v>
      </c>
      <c r="E23" s="7"/>
      <c r="F23" s="7" t="s">
        <v>14</v>
      </c>
      <c r="G23" s="7" t="s">
        <v>43</v>
      </c>
      <c r="H23" s="7"/>
      <c r="I23" s="7"/>
      <c r="J23" s="7"/>
      <c r="K23" s="7"/>
      <c r="L23" s="7"/>
      <c r="M23" s="7"/>
      <c r="N23" s="7"/>
      <c r="O23" s="7"/>
    </row>
    <row r="25" spans="1:18" ht="15.75" x14ac:dyDescent="0.25">
      <c r="A25" s="6" t="s">
        <v>0</v>
      </c>
      <c r="B25" s="6" t="s">
        <v>39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"/>
      <c r="Q25" s="2"/>
      <c r="R25" t="s">
        <v>44</v>
      </c>
    </row>
    <row r="26" spans="1:18" s="2" customFormat="1" ht="15.75" x14ac:dyDescent="0.25">
      <c r="A26" s="7" t="s">
        <v>3</v>
      </c>
      <c r="B26" s="7" t="s">
        <v>45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"/>
    </row>
    <row r="27" spans="1:18" s="2" customFormat="1" ht="15.75" x14ac:dyDescent="0.25">
      <c r="A27" s="7" t="s">
        <v>1</v>
      </c>
      <c r="B27" s="7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"/>
    </row>
    <row r="28" spans="1:18" s="2" customFormat="1" ht="15.75" x14ac:dyDescent="0.25">
      <c r="A28" s="7" t="s">
        <v>2</v>
      </c>
      <c r="B28" s="7">
        <v>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"/>
    </row>
    <row r="29" spans="1:18" s="2" customFormat="1" ht="15.75" x14ac:dyDescent="0.25">
      <c r="A29" s="7" t="s">
        <v>4</v>
      </c>
      <c r="B29" s="7" t="s">
        <v>41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"/>
    </row>
    <row r="30" spans="1:18" s="2" customFormat="1" ht="15.75" x14ac:dyDescent="0.25">
      <c r="A30" s="7" t="s">
        <v>5</v>
      </c>
      <c r="B30" s="7" t="s">
        <v>46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"/>
    </row>
    <row r="31" spans="1:18" s="2" customFormat="1" ht="15.75" x14ac:dyDescent="0.25">
      <c r="A31" s="7" t="s">
        <v>6</v>
      </c>
      <c r="B31" s="7" t="s">
        <v>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/>
      <c r="Q31"/>
    </row>
    <row r="32" spans="1:18" s="2" customFormat="1" ht="15.75" x14ac:dyDescent="0.25">
      <c r="A32" s="7" t="s">
        <v>8</v>
      </c>
      <c r="B32" s="7" t="s">
        <v>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/>
      <c r="Q32"/>
    </row>
    <row r="33" spans="1:17" s="2" customFormat="1" ht="15.75" x14ac:dyDescent="0.25">
      <c r="A33" s="6" t="s">
        <v>10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/>
      <c r="Q33"/>
    </row>
    <row r="34" spans="1:17" ht="15.75" x14ac:dyDescent="0.25">
      <c r="A34" s="6" t="s">
        <v>11</v>
      </c>
      <c r="B34" s="6" t="s">
        <v>12</v>
      </c>
      <c r="C34" s="6" t="s">
        <v>1</v>
      </c>
      <c r="D34" s="6" t="s">
        <v>8</v>
      </c>
      <c r="E34" s="6" t="s">
        <v>13</v>
      </c>
      <c r="F34" s="6" t="s">
        <v>6</v>
      </c>
      <c r="G34" s="6" t="s">
        <v>5</v>
      </c>
      <c r="H34" s="6" t="s">
        <v>3</v>
      </c>
      <c r="I34" s="6" t="s">
        <v>18</v>
      </c>
      <c r="J34" s="6" t="s">
        <v>19</v>
      </c>
      <c r="K34" s="6" t="s">
        <v>20</v>
      </c>
      <c r="L34" s="6" t="s">
        <v>21</v>
      </c>
      <c r="M34" s="6" t="s">
        <v>22</v>
      </c>
      <c r="N34" s="6" t="s">
        <v>23</v>
      </c>
      <c r="O34" s="6" t="s">
        <v>24</v>
      </c>
    </row>
    <row r="35" spans="1:17" ht="31.5" x14ac:dyDescent="0.25">
      <c r="A35" s="9" t="str">
        <f>B25</f>
        <v>treatment of used Li-ion battery, hydrometallurgical treatment, new</v>
      </c>
      <c r="B35" s="7">
        <f>160000/160000</f>
        <v>1</v>
      </c>
      <c r="C35" s="7" t="str">
        <f>B27</f>
        <v>RER</v>
      </c>
      <c r="D35" s="7" t="s">
        <v>9</v>
      </c>
      <c r="E35" s="7"/>
      <c r="F35" s="7" t="s">
        <v>14</v>
      </c>
      <c r="G35" s="7" t="s">
        <v>46</v>
      </c>
      <c r="H35" s="7"/>
      <c r="I35" s="7"/>
      <c r="J35" s="7"/>
      <c r="K35" s="7"/>
      <c r="L35" s="7"/>
      <c r="M35" s="7"/>
      <c r="N35" s="7"/>
      <c r="O35" s="7"/>
      <c r="P35" s="1"/>
      <c r="Q35" s="2"/>
    </row>
    <row r="36" spans="1:17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  <c r="Q36" s="2"/>
    </row>
    <row r="37" spans="1:17" ht="15.75" x14ac:dyDescent="0.25">
      <c r="A37" s="6" t="s">
        <v>0</v>
      </c>
      <c r="B37" s="6" t="s">
        <v>39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"/>
      <c r="Q37" s="2"/>
    </row>
    <row r="38" spans="1:17" s="2" customFormat="1" ht="15.75" x14ac:dyDescent="0.25">
      <c r="A38" s="7" t="s">
        <v>3</v>
      </c>
      <c r="B38" s="7" t="s">
        <v>47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"/>
    </row>
    <row r="39" spans="1:17" s="2" customFormat="1" ht="15.75" x14ac:dyDescent="0.25">
      <c r="A39" s="7" t="s">
        <v>1</v>
      </c>
      <c r="B39" s="7" t="s">
        <v>27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"/>
    </row>
    <row r="40" spans="1:17" s="2" customFormat="1" ht="15.75" x14ac:dyDescent="0.25">
      <c r="A40" s="7" t="s">
        <v>2</v>
      </c>
      <c r="B40" s="7">
        <v>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"/>
    </row>
    <row r="41" spans="1:17" s="2" customFormat="1" ht="15.75" x14ac:dyDescent="0.25">
      <c r="A41" s="7" t="s">
        <v>4</v>
      </c>
      <c r="B41" s="7" t="s">
        <v>41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"/>
    </row>
    <row r="42" spans="1:17" s="2" customFormat="1" ht="15.75" x14ac:dyDescent="0.25">
      <c r="A42" s="7" t="s">
        <v>5</v>
      </c>
      <c r="B42" s="7" t="s">
        <v>48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"/>
    </row>
    <row r="43" spans="1:17" s="2" customFormat="1" ht="15.75" x14ac:dyDescent="0.25">
      <c r="A43" s="7" t="s">
        <v>6</v>
      </c>
      <c r="B43" s="7" t="s">
        <v>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/>
      <c r="Q43"/>
    </row>
    <row r="44" spans="1:17" s="2" customFormat="1" ht="15.75" x14ac:dyDescent="0.25">
      <c r="A44" s="7" t="s">
        <v>8</v>
      </c>
      <c r="B44" s="7" t="s">
        <v>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/>
      <c r="Q44"/>
    </row>
    <row r="45" spans="1:17" s="2" customFormat="1" ht="15.75" x14ac:dyDescent="0.25">
      <c r="A45" s="6" t="s">
        <v>10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/>
      <c r="Q45"/>
    </row>
    <row r="46" spans="1:17" ht="15.75" x14ac:dyDescent="0.25">
      <c r="A46" s="6" t="s">
        <v>11</v>
      </c>
      <c r="B46" s="6" t="s">
        <v>12</v>
      </c>
      <c r="C46" s="6" t="s">
        <v>1</v>
      </c>
      <c r="D46" s="6" t="s">
        <v>8</v>
      </c>
      <c r="E46" s="6" t="s">
        <v>13</v>
      </c>
      <c r="F46" s="6" t="s">
        <v>6</v>
      </c>
      <c r="G46" s="6" t="s">
        <v>5</v>
      </c>
      <c r="H46" s="6" t="s">
        <v>3</v>
      </c>
      <c r="I46" s="6" t="s">
        <v>18</v>
      </c>
      <c r="J46" s="6" t="s">
        <v>19</v>
      </c>
      <c r="K46" s="6" t="s">
        <v>20</v>
      </c>
      <c r="L46" s="6" t="s">
        <v>21</v>
      </c>
      <c r="M46" s="6" t="s">
        <v>22</v>
      </c>
      <c r="N46" s="6" t="s">
        <v>23</v>
      </c>
      <c r="O46" s="6" t="s">
        <v>24</v>
      </c>
    </row>
    <row r="47" spans="1:17" ht="31.5" x14ac:dyDescent="0.25">
      <c r="A47" s="9" t="str">
        <f>B37</f>
        <v>treatment of used Li-ion battery, hydrometallurgical treatment, new</v>
      </c>
      <c r="B47" s="7">
        <f>160000/160000</f>
        <v>1</v>
      </c>
      <c r="C47" s="7" t="str">
        <f>B39</f>
        <v>RER</v>
      </c>
      <c r="D47" s="7" t="s">
        <v>9</v>
      </c>
      <c r="E47" s="7"/>
      <c r="F47" s="7" t="s">
        <v>14</v>
      </c>
      <c r="G47" s="7" t="s">
        <v>48</v>
      </c>
      <c r="H47" s="7"/>
      <c r="I47" s="7"/>
      <c r="J47" s="7"/>
      <c r="K47" s="7"/>
      <c r="L47" s="7"/>
      <c r="M47" s="7"/>
      <c r="N47" s="7"/>
      <c r="O47" s="7"/>
      <c r="P47" s="1"/>
      <c r="Q47" s="2"/>
    </row>
    <row r="48" spans="1:17" ht="15.75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  <c r="Q48" s="2"/>
    </row>
    <row r="49" spans="1:18" s="2" customFormat="1" ht="15.75" x14ac:dyDescent="0.25">
      <c r="A49" s="6" t="s">
        <v>0</v>
      </c>
      <c r="B49" s="6" t="s">
        <v>49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"/>
      <c r="R49" s="10"/>
    </row>
    <row r="50" spans="1:18" s="2" customFormat="1" ht="15.75" x14ac:dyDescent="0.25">
      <c r="A50" s="7" t="s">
        <v>3</v>
      </c>
      <c r="B50" s="7" t="s">
        <v>40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8" s="2" customFormat="1" ht="15.75" x14ac:dyDescent="0.25">
      <c r="A51" s="7" t="s">
        <v>1</v>
      </c>
      <c r="B51" s="7" t="s">
        <v>27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8" s="2" customFormat="1" ht="15.75" x14ac:dyDescent="0.25">
      <c r="A52" s="7" t="s">
        <v>2</v>
      </c>
      <c r="B52" s="7">
        <v>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R52" s="1"/>
    </row>
    <row r="53" spans="1:18" s="2" customFormat="1" ht="15.75" x14ac:dyDescent="0.25">
      <c r="A53" s="7" t="s">
        <v>4</v>
      </c>
      <c r="B53" s="7" t="s">
        <v>41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8" s="2" customFormat="1" ht="15.75" x14ac:dyDescent="0.25">
      <c r="A54" s="7" t="s">
        <v>5</v>
      </c>
      <c r="B54" s="7" t="s">
        <v>43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8" s="2" customFormat="1" ht="15.75" x14ac:dyDescent="0.25">
      <c r="A55" s="7" t="s">
        <v>6</v>
      </c>
      <c r="B55" s="7" t="s">
        <v>7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8" s="2" customFormat="1" ht="15.75" x14ac:dyDescent="0.25">
      <c r="A56" s="7" t="s">
        <v>8</v>
      </c>
      <c r="B56" s="7" t="s">
        <v>9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8" s="2" customFormat="1" ht="15.75" x14ac:dyDescent="0.25">
      <c r="A57" s="6" t="s">
        <v>10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8" s="2" customFormat="1" ht="15.75" x14ac:dyDescent="0.25">
      <c r="A58" s="6" t="s">
        <v>11</v>
      </c>
      <c r="B58" s="6" t="s">
        <v>12</v>
      </c>
      <c r="C58" s="6" t="s">
        <v>1</v>
      </c>
      <c r="D58" s="6" t="s">
        <v>8</v>
      </c>
      <c r="E58" s="6" t="s">
        <v>13</v>
      </c>
      <c r="F58" s="6" t="s">
        <v>6</v>
      </c>
      <c r="G58" s="6" t="s">
        <v>5</v>
      </c>
      <c r="H58" s="6" t="s">
        <v>3</v>
      </c>
      <c r="I58" s="6" t="s">
        <v>18</v>
      </c>
      <c r="J58" s="6" t="s">
        <v>19</v>
      </c>
      <c r="K58" s="6" t="s">
        <v>20</v>
      </c>
      <c r="L58" s="6" t="s">
        <v>21</v>
      </c>
      <c r="M58" s="6" t="s">
        <v>22</v>
      </c>
      <c r="N58" s="6" t="s">
        <v>23</v>
      </c>
      <c r="O58" s="6" t="s">
        <v>24</v>
      </c>
    </row>
    <row r="59" spans="1:18" ht="31.5" x14ac:dyDescent="0.25">
      <c r="A59" s="9" t="str">
        <f>B49</f>
        <v>treatment of used Li-ion battery, pyrometallurgical treatment, new</v>
      </c>
      <c r="B59" s="7">
        <f>160000/160000</f>
        <v>1</v>
      </c>
      <c r="C59" s="7" t="str">
        <f>B51</f>
        <v>RER</v>
      </c>
      <c r="D59" s="7" t="s">
        <v>9</v>
      </c>
      <c r="E59" s="7"/>
      <c r="F59" s="7" t="s">
        <v>14</v>
      </c>
      <c r="G59" s="7" t="s">
        <v>43</v>
      </c>
      <c r="H59" s="7"/>
      <c r="I59" s="7"/>
      <c r="J59" s="7"/>
      <c r="K59" s="7"/>
      <c r="L59" s="7"/>
      <c r="M59" s="7"/>
      <c r="N59" s="7"/>
      <c r="O59" s="7"/>
    </row>
    <row r="61" spans="1:18" ht="15.75" x14ac:dyDescent="0.25">
      <c r="A61" s="6" t="s">
        <v>0</v>
      </c>
      <c r="B61" s="6" t="s">
        <v>49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1"/>
      <c r="Q61" s="2"/>
      <c r="R61" t="s">
        <v>44</v>
      </c>
    </row>
    <row r="62" spans="1:18" s="2" customFormat="1" ht="15.75" x14ac:dyDescent="0.25">
      <c r="A62" s="7" t="s">
        <v>3</v>
      </c>
      <c r="B62" s="7" t="s">
        <v>50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"/>
    </row>
    <row r="63" spans="1:18" s="2" customFormat="1" ht="15.75" x14ac:dyDescent="0.25">
      <c r="A63" s="7" t="s">
        <v>1</v>
      </c>
      <c r="B63" s="7" t="s">
        <v>27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1"/>
    </row>
    <row r="64" spans="1:18" s="2" customFormat="1" ht="15.75" x14ac:dyDescent="0.25">
      <c r="A64" s="7" t="s">
        <v>2</v>
      </c>
      <c r="B64" s="7">
        <v>1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1"/>
    </row>
    <row r="65" spans="1:17" s="2" customFormat="1" ht="15.75" x14ac:dyDescent="0.25">
      <c r="A65" s="7" t="s">
        <v>4</v>
      </c>
      <c r="B65" s="7" t="s">
        <v>41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1"/>
    </row>
    <row r="66" spans="1:17" s="2" customFormat="1" ht="15.75" x14ac:dyDescent="0.25">
      <c r="A66" s="7" t="s">
        <v>5</v>
      </c>
      <c r="B66" s="7" t="s">
        <v>46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1"/>
    </row>
    <row r="67" spans="1:17" s="2" customFormat="1" ht="15.75" x14ac:dyDescent="0.25">
      <c r="A67" s="7" t="s">
        <v>6</v>
      </c>
      <c r="B67" s="7" t="s">
        <v>7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/>
      <c r="Q67"/>
    </row>
    <row r="68" spans="1:17" s="2" customFormat="1" ht="15.75" x14ac:dyDescent="0.25">
      <c r="A68" s="7" t="s">
        <v>8</v>
      </c>
      <c r="B68" s="7" t="s">
        <v>9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/>
      <c r="Q68"/>
    </row>
    <row r="69" spans="1:17" s="2" customFormat="1" ht="15.75" x14ac:dyDescent="0.25">
      <c r="A69" s="6" t="s">
        <v>10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/>
      <c r="Q69"/>
    </row>
    <row r="70" spans="1:17" ht="15.75" x14ac:dyDescent="0.25">
      <c r="A70" s="6" t="s">
        <v>11</v>
      </c>
      <c r="B70" s="6" t="s">
        <v>12</v>
      </c>
      <c r="C70" s="6" t="s">
        <v>1</v>
      </c>
      <c r="D70" s="6" t="s">
        <v>8</v>
      </c>
      <c r="E70" s="6" t="s">
        <v>13</v>
      </c>
      <c r="F70" s="6" t="s">
        <v>6</v>
      </c>
      <c r="G70" s="6" t="s">
        <v>5</v>
      </c>
      <c r="H70" s="6" t="s">
        <v>3</v>
      </c>
      <c r="I70" s="6" t="s">
        <v>18</v>
      </c>
      <c r="J70" s="6" t="s">
        <v>19</v>
      </c>
      <c r="K70" s="6" t="s">
        <v>20</v>
      </c>
      <c r="L70" s="6" t="s">
        <v>21</v>
      </c>
      <c r="M70" s="6" t="s">
        <v>22</v>
      </c>
      <c r="N70" s="6" t="s">
        <v>23</v>
      </c>
      <c r="O70" s="6" t="s">
        <v>24</v>
      </c>
    </row>
    <row r="71" spans="1:17" ht="31.5" x14ac:dyDescent="0.25">
      <c r="A71" s="9" t="str">
        <f>B61</f>
        <v>treatment of used Li-ion battery, pyrometallurgical treatment, new</v>
      </c>
      <c r="B71" s="7">
        <f>160000/160000</f>
        <v>1</v>
      </c>
      <c r="C71" s="7" t="str">
        <f>B63</f>
        <v>RER</v>
      </c>
      <c r="D71" s="7" t="s">
        <v>9</v>
      </c>
      <c r="E71" s="7"/>
      <c r="F71" s="7" t="s">
        <v>14</v>
      </c>
      <c r="G71" s="7" t="s">
        <v>46</v>
      </c>
      <c r="H71" s="7"/>
      <c r="I71" s="7"/>
      <c r="J71" s="7"/>
      <c r="K71" s="7"/>
      <c r="L71" s="7"/>
      <c r="M71" s="7"/>
      <c r="N71" s="7"/>
      <c r="O71" s="7"/>
      <c r="P71" s="1"/>
      <c r="Q71" s="2"/>
    </row>
    <row r="72" spans="1:17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  <c r="Q72" s="2"/>
    </row>
    <row r="73" spans="1:17" ht="15.75" x14ac:dyDescent="0.25">
      <c r="A73" s="6" t="s">
        <v>0</v>
      </c>
      <c r="B73" s="6" t="s">
        <v>49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"/>
      <c r="Q73" s="2"/>
    </row>
    <row r="74" spans="1:17" s="2" customFormat="1" ht="15.75" x14ac:dyDescent="0.25">
      <c r="A74" s="7" t="s">
        <v>3</v>
      </c>
      <c r="B74" s="7" t="s">
        <v>47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1"/>
    </row>
    <row r="75" spans="1:17" s="2" customFormat="1" ht="15.75" x14ac:dyDescent="0.25">
      <c r="A75" s="7" t="s">
        <v>1</v>
      </c>
      <c r="B75" s="7" t="s">
        <v>27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1"/>
    </row>
    <row r="76" spans="1:17" s="2" customFormat="1" ht="15.75" x14ac:dyDescent="0.25">
      <c r="A76" s="7" t="s">
        <v>2</v>
      </c>
      <c r="B76" s="7">
        <v>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1"/>
    </row>
    <row r="77" spans="1:17" s="2" customFormat="1" ht="15.75" x14ac:dyDescent="0.25">
      <c r="A77" s="7" t="s">
        <v>4</v>
      </c>
      <c r="B77" s="7" t="s">
        <v>41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1"/>
    </row>
    <row r="78" spans="1:17" s="2" customFormat="1" ht="15.75" x14ac:dyDescent="0.25">
      <c r="A78" s="7" t="s">
        <v>5</v>
      </c>
      <c r="B78" s="7" t="s">
        <v>48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1"/>
    </row>
    <row r="79" spans="1:17" s="2" customFormat="1" ht="15.75" x14ac:dyDescent="0.25">
      <c r="A79" s="7" t="s">
        <v>6</v>
      </c>
      <c r="B79" s="7" t="s">
        <v>7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/>
      <c r="Q79"/>
    </row>
    <row r="80" spans="1:17" s="2" customFormat="1" ht="15.75" x14ac:dyDescent="0.25">
      <c r="A80" s="7" t="s">
        <v>8</v>
      </c>
      <c r="B80" s="7" t="s">
        <v>9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/>
      <c r="Q80"/>
    </row>
    <row r="81" spans="1:17" s="2" customFormat="1" ht="15.75" x14ac:dyDescent="0.25">
      <c r="A81" s="6" t="s">
        <v>10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/>
      <c r="Q81"/>
    </row>
    <row r="82" spans="1:17" ht="15.75" x14ac:dyDescent="0.25">
      <c r="A82" s="6" t="s">
        <v>11</v>
      </c>
      <c r="B82" s="6" t="s">
        <v>12</v>
      </c>
      <c r="C82" s="6" t="s">
        <v>1</v>
      </c>
      <c r="D82" s="6" t="s">
        <v>8</v>
      </c>
      <c r="E82" s="6" t="s">
        <v>13</v>
      </c>
      <c r="F82" s="6" t="s">
        <v>6</v>
      </c>
      <c r="G82" s="6" t="s">
        <v>5</v>
      </c>
      <c r="H82" s="6" t="s">
        <v>3</v>
      </c>
      <c r="I82" s="6" t="s">
        <v>18</v>
      </c>
      <c r="J82" s="6" t="s">
        <v>19</v>
      </c>
      <c r="K82" s="6" t="s">
        <v>20</v>
      </c>
      <c r="L82" s="6" t="s">
        <v>21</v>
      </c>
      <c r="M82" s="6" t="s">
        <v>22</v>
      </c>
      <c r="N82" s="6" t="s">
        <v>23</v>
      </c>
      <c r="O82" s="6" t="s">
        <v>24</v>
      </c>
    </row>
    <row r="83" spans="1:17" ht="31.5" x14ac:dyDescent="0.25">
      <c r="A83" s="9" t="str">
        <f>B73</f>
        <v>treatment of used Li-ion battery, pyrometallurgical treatment, new</v>
      </c>
      <c r="B83" s="7">
        <f>160000/160000</f>
        <v>1</v>
      </c>
      <c r="C83" s="7" t="str">
        <f>B75</f>
        <v>RER</v>
      </c>
      <c r="D83" s="7" t="s">
        <v>9</v>
      </c>
      <c r="E83" s="7"/>
      <c r="F83" s="7" t="s">
        <v>14</v>
      </c>
      <c r="G83" s="7" t="s">
        <v>48</v>
      </c>
      <c r="H83" s="7"/>
      <c r="I83" s="7"/>
      <c r="J83" s="7"/>
      <c r="K83" s="7"/>
      <c r="L83" s="7"/>
      <c r="M83" s="7"/>
      <c r="N83" s="7"/>
      <c r="O83" s="7"/>
      <c r="P83" s="1"/>
      <c r="Q83" s="2"/>
    </row>
    <row r="84" spans="1:17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  <c r="Q84" s="2"/>
    </row>
    <row r="85" spans="1:17" s="13" customFormat="1" ht="15.75" x14ac:dyDescent="0.25">
      <c r="A85" s="11" t="s">
        <v>0</v>
      </c>
      <c r="B85" s="11" t="s">
        <v>39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1"/>
      <c r="Q85" s="12"/>
    </row>
    <row r="86" spans="1:17" s="13" customFormat="1" ht="15.75" x14ac:dyDescent="0.25">
      <c r="A86" s="12" t="s">
        <v>3</v>
      </c>
      <c r="B86" s="12" t="s">
        <v>51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1"/>
      <c r="Q86" s="12"/>
    </row>
    <row r="87" spans="1:17" s="12" customFormat="1" ht="15.75" x14ac:dyDescent="0.25">
      <c r="A87" s="12" t="s">
        <v>1</v>
      </c>
      <c r="B87" s="12" t="s">
        <v>27</v>
      </c>
      <c r="P87" s="11"/>
    </row>
    <row r="88" spans="1:17" s="12" customFormat="1" ht="15.75" x14ac:dyDescent="0.25">
      <c r="A88" s="12" t="s">
        <v>2</v>
      </c>
      <c r="B88" s="12">
        <v>-1</v>
      </c>
      <c r="P88" s="13"/>
      <c r="Q88" s="13"/>
    </row>
    <row r="89" spans="1:17" s="12" customFormat="1" ht="15.75" x14ac:dyDescent="0.25">
      <c r="A89" s="12" t="s">
        <v>4</v>
      </c>
      <c r="B89" s="12" t="s">
        <v>41</v>
      </c>
      <c r="P89" s="13"/>
      <c r="Q89" s="13"/>
    </row>
    <row r="90" spans="1:17" s="12" customFormat="1" ht="15.75" x14ac:dyDescent="0.25">
      <c r="A90" s="12" t="s">
        <v>5</v>
      </c>
      <c r="B90" s="12" t="s">
        <v>52</v>
      </c>
      <c r="P90" s="13"/>
      <c r="Q90" s="13"/>
    </row>
    <row r="91" spans="1:17" s="13" customFormat="1" ht="15.75" x14ac:dyDescent="0.25">
      <c r="A91" s="12" t="s">
        <v>6</v>
      </c>
      <c r="B91" s="12" t="s">
        <v>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7" s="12" customFormat="1" ht="15.75" x14ac:dyDescent="0.25">
      <c r="A92" s="12" t="s">
        <v>8</v>
      </c>
      <c r="B92" s="12" t="s">
        <v>9</v>
      </c>
      <c r="P92" s="13"/>
      <c r="Q92" s="13"/>
    </row>
    <row r="93" spans="1:17" s="12" customFormat="1" ht="15.75" x14ac:dyDescent="0.25">
      <c r="A93" s="11" t="s">
        <v>10</v>
      </c>
      <c r="P93" s="13"/>
      <c r="Q93" s="13"/>
    </row>
    <row r="94" spans="1:17" s="12" customFormat="1" ht="15.75" x14ac:dyDescent="0.25">
      <c r="A94" s="11" t="s">
        <v>11</v>
      </c>
      <c r="B94" s="11" t="s">
        <v>12</v>
      </c>
      <c r="C94" s="11" t="s">
        <v>1</v>
      </c>
      <c r="D94" s="11" t="s">
        <v>8</v>
      </c>
      <c r="E94" s="11" t="s">
        <v>13</v>
      </c>
      <c r="F94" s="11" t="s">
        <v>6</v>
      </c>
      <c r="G94" s="11" t="s">
        <v>5</v>
      </c>
      <c r="H94" s="11" t="s">
        <v>3</v>
      </c>
      <c r="I94" s="11" t="s">
        <v>18</v>
      </c>
      <c r="J94" s="11" t="s">
        <v>19</v>
      </c>
      <c r="K94" s="11" t="s">
        <v>20</v>
      </c>
      <c r="L94" s="11" t="s">
        <v>21</v>
      </c>
      <c r="M94" s="11" t="s">
        <v>22</v>
      </c>
      <c r="N94" s="11" t="s">
        <v>23</v>
      </c>
      <c r="O94" s="11" t="s">
        <v>24</v>
      </c>
      <c r="P94" s="13"/>
      <c r="Q94" s="13"/>
    </row>
    <row r="95" spans="1:17" s="13" customFormat="1" ht="31.5" x14ac:dyDescent="0.25">
      <c r="A95" s="14" t="str">
        <f>B85</f>
        <v>treatment of used Li-ion battery, hydrometallurgical treatment, new</v>
      </c>
      <c r="B95" s="12">
        <v>-1</v>
      </c>
      <c r="C95" s="12" t="str">
        <f>B87</f>
        <v>RER</v>
      </c>
      <c r="D95" s="12" t="str">
        <f>B92</f>
        <v>kilogram</v>
      </c>
      <c r="E95" s="12"/>
      <c r="F95" s="12" t="s">
        <v>14</v>
      </c>
      <c r="G95" s="12" t="str">
        <f>B90</f>
        <v>used Li-ion battery</v>
      </c>
      <c r="H95" s="14" t="s">
        <v>53</v>
      </c>
      <c r="I95" s="12"/>
      <c r="J95" s="12"/>
      <c r="K95" s="12"/>
      <c r="L95" s="12"/>
      <c r="M95" s="12"/>
      <c r="N95" s="12"/>
      <c r="O95" s="12"/>
    </row>
    <row r="96" spans="1:17" s="13" customFormat="1" ht="15.75" x14ac:dyDescent="0.25">
      <c r="A96" s="14" t="s">
        <v>34</v>
      </c>
      <c r="B96" s="15">
        <f>39/1000</f>
        <v>3.9E-2</v>
      </c>
      <c r="C96" s="12" t="s">
        <v>16</v>
      </c>
      <c r="D96" s="12" t="s">
        <v>9</v>
      </c>
      <c r="E96" s="12"/>
      <c r="F96" s="12" t="s">
        <v>15</v>
      </c>
      <c r="G96" s="12" t="s">
        <v>33</v>
      </c>
      <c r="H96" s="12" t="s">
        <v>54</v>
      </c>
      <c r="I96" s="12"/>
      <c r="J96" s="12"/>
      <c r="K96" s="12"/>
      <c r="L96" s="12"/>
      <c r="M96" s="12"/>
      <c r="N96" s="12"/>
      <c r="O96" s="12"/>
      <c r="P96" s="11"/>
      <c r="Q96" s="12"/>
    </row>
    <row r="97" spans="1:17" s="13" customFormat="1" ht="15.75" x14ac:dyDescent="0.25">
      <c r="A97" s="14" t="s">
        <v>55</v>
      </c>
      <c r="B97" s="16">
        <f>4/1000</f>
        <v>4.0000000000000001E-3</v>
      </c>
      <c r="C97" s="12" t="s">
        <v>30</v>
      </c>
      <c r="D97" s="12" t="s">
        <v>9</v>
      </c>
      <c r="E97" s="12"/>
      <c r="F97" s="12" t="s">
        <v>15</v>
      </c>
      <c r="G97" s="12" t="s">
        <v>56</v>
      </c>
      <c r="H97" s="12" t="s">
        <v>57</v>
      </c>
      <c r="I97" s="12"/>
      <c r="J97" s="12"/>
      <c r="K97" s="12"/>
      <c r="L97" s="12"/>
      <c r="M97" s="12"/>
      <c r="N97" s="12"/>
      <c r="O97" s="12"/>
      <c r="P97" s="11"/>
      <c r="Q97" s="12"/>
    </row>
    <row r="98" spans="1:17" s="13" customFormat="1" ht="15.75" x14ac:dyDescent="0.25">
      <c r="A98" s="14" t="s">
        <v>34</v>
      </c>
      <c r="B98" s="15">
        <f>1.03*1000/1000</f>
        <v>1.03</v>
      </c>
      <c r="C98" s="12" t="s">
        <v>16</v>
      </c>
      <c r="D98" s="12" t="s">
        <v>9</v>
      </c>
      <c r="E98" s="12"/>
      <c r="F98" s="12" t="s">
        <v>15</v>
      </c>
      <c r="G98" s="12" t="s">
        <v>33</v>
      </c>
      <c r="H98" s="12" t="s">
        <v>58</v>
      </c>
      <c r="I98" s="12"/>
      <c r="J98" s="12"/>
      <c r="K98" s="12"/>
      <c r="L98" s="12"/>
      <c r="M98" s="12"/>
      <c r="N98" s="12"/>
      <c r="O98" s="12"/>
      <c r="P98" s="11"/>
      <c r="Q98" s="12"/>
    </row>
    <row r="99" spans="1:17" s="13" customFormat="1" ht="15.75" x14ac:dyDescent="0.25">
      <c r="A99" s="14" t="s">
        <v>25</v>
      </c>
      <c r="B99" s="17">
        <f>135.46/1000</f>
        <v>0.13546</v>
      </c>
      <c r="C99" s="12" t="s">
        <v>16</v>
      </c>
      <c r="D99" s="12" t="s">
        <v>17</v>
      </c>
      <c r="E99" s="12"/>
      <c r="F99" s="12" t="s">
        <v>15</v>
      </c>
      <c r="G99" s="12" t="s">
        <v>26</v>
      </c>
      <c r="H99" s="12" t="s">
        <v>59</v>
      </c>
      <c r="I99" s="12"/>
      <c r="J99" s="12"/>
      <c r="K99" s="12"/>
      <c r="L99" s="12"/>
      <c r="M99" s="12"/>
      <c r="N99" s="12"/>
      <c r="O99" s="12"/>
      <c r="P99" s="11"/>
      <c r="Q99" s="12"/>
    </row>
    <row r="100" spans="1:17" s="13" customFormat="1" ht="15.75" x14ac:dyDescent="0.25">
      <c r="A100" s="14" t="s">
        <v>60</v>
      </c>
      <c r="B100" s="17">
        <f>7.68/1000</f>
        <v>7.6799999999999993E-3</v>
      </c>
      <c r="C100" s="12" t="s">
        <v>30</v>
      </c>
      <c r="D100" s="12" t="s">
        <v>9</v>
      </c>
      <c r="E100" s="12"/>
      <c r="F100" s="12" t="s">
        <v>15</v>
      </c>
      <c r="G100" s="12" t="s">
        <v>61</v>
      </c>
      <c r="H100" s="12" t="s">
        <v>62</v>
      </c>
      <c r="I100" s="12"/>
      <c r="J100" s="12"/>
      <c r="K100" s="12"/>
      <c r="L100" s="12"/>
      <c r="M100" s="12"/>
      <c r="N100" s="12"/>
      <c r="O100" s="12"/>
      <c r="P100" s="11"/>
      <c r="Q100" s="12"/>
    </row>
    <row r="101" spans="1:17" s="13" customFormat="1" ht="15.75" x14ac:dyDescent="0.25">
      <c r="A101" s="14" t="s">
        <v>25</v>
      </c>
      <c r="B101" s="17">
        <f>29.53/1000</f>
        <v>2.9530000000000001E-2</v>
      </c>
      <c r="C101" s="12" t="s">
        <v>16</v>
      </c>
      <c r="D101" s="12" t="s">
        <v>17</v>
      </c>
      <c r="E101" s="12"/>
      <c r="F101" s="12" t="s">
        <v>15</v>
      </c>
      <c r="G101" s="12" t="s">
        <v>26</v>
      </c>
      <c r="H101" s="12" t="s">
        <v>63</v>
      </c>
      <c r="I101" s="12"/>
      <c r="J101" s="12"/>
      <c r="K101" s="12"/>
      <c r="L101" s="12"/>
      <c r="M101" s="12"/>
      <c r="N101" s="12"/>
      <c r="O101" s="12"/>
      <c r="P101" s="11"/>
      <c r="Q101" s="12"/>
    </row>
    <row r="102" spans="1:17" s="13" customFormat="1" ht="15.75" x14ac:dyDescent="0.25">
      <c r="A102" s="14" t="s">
        <v>31</v>
      </c>
      <c r="B102" s="17">
        <f>666.38/1000</f>
        <v>0.66637999999999997</v>
      </c>
      <c r="C102" s="12" t="s">
        <v>27</v>
      </c>
      <c r="D102" s="12" t="s">
        <v>9</v>
      </c>
      <c r="E102" s="12"/>
      <c r="F102" s="12" t="s">
        <v>15</v>
      </c>
      <c r="G102" s="12" t="s">
        <v>32</v>
      </c>
      <c r="H102" s="12" t="s">
        <v>64</v>
      </c>
      <c r="I102" s="12"/>
      <c r="J102" s="12"/>
      <c r="K102" s="12"/>
      <c r="L102" s="12"/>
      <c r="M102" s="12"/>
      <c r="N102" s="12"/>
      <c r="O102" s="12"/>
      <c r="P102" s="11"/>
      <c r="Q102" s="12"/>
    </row>
    <row r="103" spans="1:17" s="13" customFormat="1" ht="31.5" x14ac:dyDescent="0.25">
      <c r="A103" s="14" t="s">
        <v>65</v>
      </c>
      <c r="B103" s="17">
        <f>40.8/1000</f>
        <v>4.0799999999999996E-2</v>
      </c>
      <c r="C103" s="12" t="s">
        <v>27</v>
      </c>
      <c r="D103" s="12" t="s">
        <v>9</v>
      </c>
      <c r="E103" s="12"/>
      <c r="F103" s="12" t="s">
        <v>15</v>
      </c>
      <c r="G103" s="12" t="s">
        <v>66</v>
      </c>
      <c r="H103" s="12" t="s">
        <v>67</v>
      </c>
      <c r="I103" s="12"/>
      <c r="J103" s="12"/>
      <c r="K103" s="12"/>
      <c r="L103" s="12"/>
      <c r="M103" s="12"/>
      <c r="N103" s="12"/>
      <c r="O103" s="12"/>
      <c r="P103" s="11"/>
      <c r="Q103" s="12"/>
    </row>
    <row r="104" spans="1:17" s="13" customFormat="1" ht="15.75" x14ac:dyDescent="0.25">
      <c r="A104" s="14" t="s">
        <v>34</v>
      </c>
      <c r="B104" s="15">
        <f>3776/1000</f>
        <v>3.7759999999999998</v>
      </c>
      <c r="C104" s="12" t="s">
        <v>16</v>
      </c>
      <c r="D104" s="12" t="s">
        <v>9</v>
      </c>
      <c r="E104" s="12"/>
      <c r="F104" s="12" t="s">
        <v>15</v>
      </c>
      <c r="G104" s="12" t="s">
        <v>33</v>
      </c>
      <c r="H104" s="12" t="s">
        <v>68</v>
      </c>
      <c r="I104" s="12"/>
      <c r="J104" s="12"/>
      <c r="K104" s="12"/>
      <c r="L104" s="12"/>
      <c r="M104" s="12"/>
      <c r="N104" s="12"/>
      <c r="O104" s="12"/>
      <c r="P104" s="11"/>
      <c r="Q104" s="12"/>
    </row>
    <row r="105" spans="1:17" s="13" customFormat="1" ht="15.75" x14ac:dyDescent="0.25">
      <c r="A105" s="14" t="s">
        <v>25</v>
      </c>
      <c r="B105" s="17">
        <f>27.72/1000</f>
        <v>2.7719999999999998E-2</v>
      </c>
      <c r="C105" s="12" t="s">
        <v>16</v>
      </c>
      <c r="D105" s="12" t="s">
        <v>17</v>
      </c>
      <c r="E105" s="12"/>
      <c r="F105" s="12" t="s">
        <v>15</v>
      </c>
      <c r="G105" s="12" t="s">
        <v>26</v>
      </c>
      <c r="H105" s="12" t="s">
        <v>69</v>
      </c>
      <c r="I105" s="12"/>
      <c r="J105" s="12"/>
      <c r="K105" s="12"/>
      <c r="L105" s="12"/>
      <c r="M105" s="12"/>
      <c r="N105" s="12"/>
      <c r="O105" s="12"/>
      <c r="P105" s="11"/>
      <c r="Q105" s="12"/>
    </row>
    <row r="106" spans="1:17" s="13" customFormat="1" ht="15.75" x14ac:dyDescent="0.25">
      <c r="A106" s="14" t="s">
        <v>70</v>
      </c>
      <c r="B106" s="15">
        <f>605.04/1000</f>
        <v>0.60503999999999991</v>
      </c>
      <c r="C106" s="12" t="s">
        <v>16</v>
      </c>
      <c r="D106" s="12" t="s">
        <v>9</v>
      </c>
      <c r="E106" s="12"/>
      <c r="F106" s="12" t="s">
        <v>15</v>
      </c>
      <c r="G106" s="12" t="s">
        <v>71</v>
      </c>
      <c r="H106" s="12" t="s">
        <v>72</v>
      </c>
      <c r="I106" s="12"/>
      <c r="J106" s="12"/>
      <c r="K106" s="12"/>
      <c r="L106" s="12"/>
      <c r="M106" s="12"/>
      <c r="N106" s="12"/>
      <c r="O106" s="12"/>
      <c r="P106" s="11"/>
      <c r="Q106" s="12"/>
    </row>
    <row r="107" spans="1:17" s="13" customFormat="1" ht="15.75" x14ac:dyDescent="0.25">
      <c r="A107" s="14" t="s">
        <v>25</v>
      </c>
      <c r="B107" s="17">
        <f>37.6/1000</f>
        <v>3.7600000000000001E-2</v>
      </c>
      <c r="C107" s="12" t="s">
        <v>16</v>
      </c>
      <c r="D107" s="12" t="s">
        <v>17</v>
      </c>
      <c r="E107" s="12"/>
      <c r="F107" s="12" t="s">
        <v>15</v>
      </c>
      <c r="G107" s="12" t="s">
        <v>26</v>
      </c>
      <c r="H107" s="12" t="s">
        <v>73</v>
      </c>
      <c r="I107" s="12"/>
      <c r="J107" s="12"/>
      <c r="K107" s="12"/>
      <c r="L107" s="12"/>
      <c r="M107" s="12"/>
      <c r="N107" s="12"/>
      <c r="O107" s="12"/>
      <c r="P107" s="11"/>
      <c r="Q107" s="12"/>
    </row>
    <row r="108" spans="1:17" s="13" customFormat="1" ht="15.75" x14ac:dyDescent="0.25">
      <c r="A108" s="14" t="s">
        <v>25</v>
      </c>
      <c r="B108" s="15">
        <f>7.602/1000</f>
        <v>7.6020000000000003E-3</v>
      </c>
      <c r="C108" s="12" t="s">
        <v>16</v>
      </c>
      <c r="D108" s="12" t="s">
        <v>17</v>
      </c>
      <c r="E108" s="12"/>
      <c r="F108" s="12" t="s">
        <v>15</v>
      </c>
      <c r="G108" s="12" t="s">
        <v>26</v>
      </c>
      <c r="H108" s="12" t="s">
        <v>74</v>
      </c>
      <c r="I108" s="12"/>
      <c r="J108" s="12"/>
      <c r="K108" s="12"/>
      <c r="L108" s="12"/>
      <c r="M108" s="12"/>
      <c r="N108" s="12"/>
      <c r="O108" s="12"/>
      <c r="P108" s="11"/>
      <c r="Q108" s="12"/>
    </row>
    <row r="109" spans="1:17" s="13" customFormat="1" ht="31.5" x14ac:dyDescent="0.25">
      <c r="A109" s="14" t="s">
        <v>75</v>
      </c>
      <c r="B109" s="15">
        <f>122/1000</f>
        <v>0.122</v>
      </c>
      <c r="C109" s="12" t="s">
        <v>27</v>
      </c>
      <c r="D109" s="12" t="s">
        <v>9</v>
      </c>
      <c r="E109" s="12"/>
      <c r="F109" s="12" t="s">
        <v>15</v>
      </c>
      <c r="G109" s="12" t="s">
        <v>76</v>
      </c>
      <c r="H109" s="12" t="s">
        <v>77</v>
      </c>
      <c r="I109" s="12"/>
      <c r="J109" s="12"/>
      <c r="K109" s="12"/>
      <c r="L109" s="12"/>
      <c r="M109" s="12"/>
      <c r="N109" s="12"/>
      <c r="O109" s="12"/>
      <c r="P109" s="11"/>
      <c r="Q109" s="12"/>
    </row>
    <row r="110" spans="1:17" s="13" customFormat="1" ht="15.75" x14ac:dyDescent="0.25">
      <c r="A110" s="14" t="s">
        <v>78</v>
      </c>
      <c r="B110" s="15">
        <f>0.000225</f>
        <v>2.2499999999999999E-4</v>
      </c>
      <c r="C110" s="12" t="s">
        <v>27</v>
      </c>
      <c r="D110" s="12" t="s">
        <v>28</v>
      </c>
      <c r="E110" s="12"/>
      <c r="F110" s="12" t="s">
        <v>15</v>
      </c>
      <c r="G110" s="12" t="s">
        <v>79</v>
      </c>
      <c r="H110" s="12" t="s">
        <v>80</v>
      </c>
      <c r="I110" s="12"/>
      <c r="J110" s="12"/>
      <c r="K110" s="12"/>
      <c r="L110" s="12"/>
      <c r="M110" s="12"/>
      <c r="N110" s="12"/>
      <c r="O110" s="12"/>
      <c r="P110" s="11"/>
      <c r="Q110" s="12"/>
    </row>
    <row r="111" spans="1:17" s="13" customFormat="1" ht="15.75" x14ac:dyDescent="0.25">
      <c r="A111" s="14" t="s">
        <v>25</v>
      </c>
      <c r="B111" s="15">
        <f>9.056/1000</f>
        <v>9.0559999999999998E-3</v>
      </c>
      <c r="C111" s="12" t="s">
        <v>16</v>
      </c>
      <c r="D111" s="12" t="s">
        <v>17</v>
      </c>
      <c r="E111" s="12"/>
      <c r="F111" s="12" t="s">
        <v>15</v>
      </c>
      <c r="G111" s="12" t="s">
        <v>26</v>
      </c>
      <c r="H111" s="12" t="s">
        <v>81</v>
      </c>
      <c r="I111" s="12"/>
      <c r="J111" s="12"/>
      <c r="K111" s="12"/>
      <c r="L111" s="12"/>
      <c r="M111" s="12"/>
      <c r="N111" s="12"/>
      <c r="O111" s="12"/>
      <c r="P111" s="11"/>
      <c r="Q111" s="12"/>
    </row>
    <row r="112" spans="1:17" s="13" customFormat="1" ht="15.75" x14ac:dyDescent="0.25">
      <c r="A112" s="14" t="s">
        <v>25</v>
      </c>
      <c r="B112" s="15">
        <f>38.89/1000</f>
        <v>3.8890000000000001E-2</v>
      </c>
      <c r="C112" s="12" t="s">
        <v>16</v>
      </c>
      <c r="D112" s="12" t="s">
        <v>17</v>
      </c>
      <c r="E112" s="12"/>
      <c r="F112" s="12" t="s">
        <v>15</v>
      </c>
      <c r="G112" s="12" t="s">
        <v>26</v>
      </c>
      <c r="H112" s="12" t="s">
        <v>82</v>
      </c>
      <c r="I112" s="12"/>
      <c r="J112" s="12"/>
      <c r="K112" s="12"/>
      <c r="L112" s="12"/>
      <c r="M112" s="12"/>
      <c r="N112" s="12"/>
      <c r="O112" s="12"/>
      <c r="P112" s="11"/>
      <c r="Q112" s="12"/>
    </row>
    <row r="113" spans="1:17" s="13" customFormat="1" ht="15.75" x14ac:dyDescent="0.25">
      <c r="A113" s="14" t="s">
        <v>83</v>
      </c>
      <c r="B113" s="15">
        <f>240/1000</f>
        <v>0.24</v>
      </c>
      <c r="C113" s="12" t="s">
        <v>27</v>
      </c>
      <c r="D113" s="12" t="s">
        <v>9</v>
      </c>
      <c r="E113" s="12"/>
      <c r="F113" s="12" t="s">
        <v>15</v>
      </c>
      <c r="G113" s="12" t="s">
        <v>84</v>
      </c>
      <c r="H113" s="12" t="s">
        <v>85</v>
      </c>
      <c r="I113" s="12"/>
      <c r="J113" s="12"/>
      <c r="K113" s="12"/>
      <c r="L113" s="12"/>
      <c r="M113" s="12"/>
      <c r="N113" s="12"/>
      <c r="O113" s="12"/>
      <c r="P113" s="11"/>
      <c r="Q113" s="12"/>
    </row>
    <row r="114" spans="1:17" s="13" customFormat="1" ht="15.75" x14ac:dyDescent="0.25">
      <c r="A114" s="14" t="s">
        <v>78</v>
      </c>
      <c r="B114" s="15">
        <f>0.000215</f>
        <v>2.1499999999999999E-4</v>
      </c>
      <c r="C114" s="12" t="s">
        <v>27</v>
      </c>
      <c r="D114" s="12" t="s">
        <v>28</v>
      </c>
      <c r="E114" s="12"/>
      <c r="F114" s="12" t="s">
        <v>15</v>
      </c>
      <c r="G114" s="12" t="s">
        <v>79</v>
      </c>
      <c r="H114" s="12" t="s">
        <v>86</v>
      </c>
      <c r="I114" s="12"/>
      <c r="J114" s="12"/>
      <c r="K114" s="12"/>
      <c r="L114" s="12"/>
      <c r="M114" s="12"/>
      <c r="N114" s="12"/>
      <c r="O114" s="12"/>
      <c r="P114" s="11"/>
      <c r="Q114" s="12"/>
    </row>
    <row r="115" spans="1:17" s="13" customFormat="1" ht="15.75" x14ac:dyDescent="0.25">
      <c r="A115" s="14" t="s">
        <v>25</v>
      </c>
      <c r="B115" s="15">
        <f>4.67/1000</f>
        <v>4.6699999999999997E-3</v>
      </c>
      <c r="C115" s="12" t="s">
        <v>16</v>
      </c>
      <c r="D115" s="12" t="s">
        <v>17</v>
      </c>
      <c r="E115" s="12"/>
      <c r="F115" s="12" t="s">
        <v>15</v>
      </c>
      <c r="G115" s="12" t="s">
        <v>26</v>
      </c>
      <c r="H115" s="12" t="s">
        <v>87</v>
      </c>
      <c r="I115" s="12"/>
      <c r="J115" s="12"/>
      <c r="K115" s="12"/>
      <c r="L115" s="12"/>
      <c r="M115" s="12"/>
      <c r="N115" s="12"/>
      <c r="O115" s="12"/>
      <c r="P115" s="11"/>
      <c r="Q115" s="12"/>
    </row>
    <row r="116" spans="1:17" s="13" customFormat="1" ht="15.75" x14ac:dyDescent="0.25">
      <c r="A116" s="14" t="s">
        <v>25</v>
      </c>
      <c r="B116" s="15">
        <f>38.31/1000</f>
        <v>3.8310000000000004E-2</v>
      </c>
      <c r="C116" s="12" t="s">
        <v>16</v>
      </c>
      <c r="D116" s="12" t="s">
        <v>17</v>
      </c>
      <c r="E116" s="12"/>
      <c r="F116" s="12" t="s">
        <v>15</v>
      </c>
      <c r="G116" s="12" t="s">
        <v>26</v>
      </c>
      <c r="H116" s="12" t="s">
        <v>88</v>
      </c>
      <c r="I116" s="12"/>
      <c r="J116" s="12"/>
      <c r="K116" s="12"/>
      <c r="L116" s="12"/>
      <c r="M116" s="12"/>
      <c r="N116" s="12"/>
      <c r="O116" s="12"/>
      <c r="P116" s="11"/>
      <c r="Q116" s="12"/>
    </row>
    <row r="117" spans="1:17" s="13" customFormat="1" ht="15.75" x14ac:dyDescent="0.25">
      <c r="A117" s="14" t="s">
        <v>83</v>
      </c>
      <c r="B117" s="15">
        <f>236.4/1000</f>
        <v>0.2364</v>
      </c>
      <c r="C117" s="12" t="s">
        <v>27</v>
      </c>
      <c r="D117" s="12" t="s">
        <v>9</v>
      </c>
      <c r="E117" s="12"/>
      <c r="F117" s="12" t="s">
        <v>15</v>
      </c>
      <c r="G117" s="12" t="s">
        <v>84</v>
      </c>
      <c r="H117" s="12" t="s">
        <v>89</v>
      </c>
      <c r="I117" s="12"/>
      <c r="J117" s="12"/>
      <c r="K117" s="12"/>
      <c r="L117" s="12"/>
      <c r="M117" s="12"/>
      <c r="N117" s="12"/>
      <c r="O117" s="12"/>
      <c r="P117" s="11"/>
      <c r="Q117" s="12"/>
    </row>
    <row r="118" spans="1:17" s="13" customFormat="1" ht="15.75" x14ac:dyDescent="0.25">
      <c r="A118" s="14" t="s">
        <v>90</v>
      </c>
      <c r="B118" s="15">
        <f>4.05/1000</f>
        <v>4.0499999999999998E-3</v>
      </c>
      <c r="C118" s="12" t="s">
        <v>30</v>
      </c>
      <c r="D118" s="12" t="s">
        <v>9</v>
      </c>
      <c r="E118" s="12"/>
      <c r="F118" s="12" t="s">
        <v>15</v>
      </c>
      <c r="G118" s="12" t="s">
        <v>91</v>
      </c>
      <c r="H118" s="12" t="s">
        <v>92</v>
      </c>
      <c r="I118" s="12"/>
      <c r="J118" s="12"/>
      <c r="K118" s="12"/>
      <c r="L118" s="12"/>
      <c r="M118" s="12"/>
      <c r="N118" s="12"/>
      <c r="O118" s="12"/>
      <c r="P118" s="11"/>
      <c r="Q118" s="12"/>
    </row>
    <row r="119" spans="1:17" s="13" customFormat="1" ht="15.75" x14ac:dyDescent="0.25">
      <c r="A119" s="14" t="s">
        <v>25</v>
      </c>
      <c r="B119" s="15">
        <f>0.37/1000</f>
        <v>3.6999999999999999E-4</v>
      </c>
      <c r="C119" s="12" t="s">
        <v>16</v>
      </c>
      <c r="D119" s="12" t="s">
        <v>17</v>
      </c>
      <c r="E119" s="12"/>
      <c r="F119" s="12" t="s">
        <v>15</v>
      </c>
      <c r="G119" s="12" t="s">
        <v>26</v>
      </c>
      <c r="H119" s="12" t="s">
        <v>93</v>
      </c>
      <c r="I119" s="12"/>
      <c r="J119" s="12"/>
      <c r="K119" s="12"/>
      <c r="L119" s="12"/>
      <c r="M119" s="12"/>
      <c r="N119" s="12"/>
      <c r="O119" s="12"/>
      <c r="P119" s="11"/>
      <c r="Q119" s="12"/>
    </row>
    <row r="120" spans="1:17" s="13" customFormat="1" ht="31.5" x14ac:dyDescent="0.25">
      <c r="A120" s="14" t="s">
        <v>94</v>
      </c>
      <c r="B120" s="15">
        <f>15.95/1000</f>
        <v>1.5949999999999999E-2</v>
      </c>
      <c r="C120" s="12" t="s">
        <v>27</v>
      </c>
      <c r="D120" s="12" t="s">
        <v>9</v>
      </c>
      <c r="E120" s="12"/>
      <c r="F120" s="12" t="s">
        <v>15</v>
      </c>
      <c r="G120" s="12" t="s">
        <v>29</v>
      </c>
      <c r="H120" s="12" t="s">
        <v>95</v>
      </c>
      <c r="I120" s="12"/>
      <c r="J120" s="12"/>
      <c r="K120" s="12"/>
      <c r="L120" s="12"/>
      <c r="M120" s="12"/>
      <c r="N120" s="12"/>
      <c r="O120" s="12"/>
      <c r="P120" s="11"/>
      <c r="Q120" s="12"/>
    </row>
    <row r="121" spans="1:17" s="13" customFormat="1" ht="15.75" x14ac:dyDescent="0.25">
      <c r="A121" s="14" t="s">
        <v>25</v>
      </c>
      <c r="B121" s="15">
        <f>0.676/1000</f>
        <v>6.7600000000000006E-4</v>
      </c>
      <c r="C121" s="12" t="s">
        <v>16</v>
      </c>
      <c r="D121" s="12" t="s">
        <v>17</v>
      </c>
      <c r="E121" s="12"/>
      <c r="F121" s="12" t="s">
        <v>15</v>
      </c>
      <c r="G121" s="12" t="s">
        <v>26</v>
      </c>
      <c r="H121" s="12" t="s">
        <v>96</v>
      </c>
      <c r="I121" s="12"/>
      <c r="J121" s="12"/>
      <c r="K121" s="12"/>
      <c r="L121" s="12"/>
      <c r="M121" s="12"/>
      <c r="N121" s="12"/>
      <c r="O121" s="12"/>
      <c r="P121" s="11"/>
      <c r="Q121" s="12"/>
    </row>
    <row r="122" spans="1:17" s="13" customFormat="1" ht="15.75" x14ac:dyDescent="0.25">
      <c r="A122" s="14" t="s">
        <v>25</v>
      </c>
      <c r="B122" s="15">
        <f>0.77/1000</f>
        <v>7.7000000000000007E-4</v>
      </c>
      <c r="C122" s="12" t="s">
        <v>16</v>
      </c>
      <c r="D122" s="12" t="s">
        <v>17</v>
      </c>
      <c r="E122" s="12"/>
      <c r="F122" s="12" t="s">
        <v>15</v>
      </c>
      <c r="G122" s="12" t="s">
        <v>26</v>
      </c>
      <c r="H122" s="12" t="s">
        <v>97</v>
      </c>
      <c r="I122" s="12"/>
      <c r="J122" s="12"/>
      <c r="K122" s="12"/>
      <c r="L122" s="12"/>
      <c r="M122" s="12"/>
      <c r="N122" s="12"/>
      <c r="O122" s="12"/>
      <c r="P122" s="11"/>
      <c r="Q122" s="12"/>
    </row>
    <row r="123" spans="1:17" s="13" customFormat="1" ht="15.75" x14ac:dyDescent="0.25">
      <c r="A123" s="14" t="s">
        <v>25</v>
      </c>
      <c r="B123" s="15">
        <f>27.88/1000</f>
        <v>2.7879999999999999E-2</v>
      </c>
      <c r="C123" s="12" t="s">
        <v>16</v>
      </c>
      <c r="D123" s="12" t="s">
        <v>17</v>
      </c>
      <c r="E123" s="12"/>
      <c r="F123" s="12" t="s">
        <v>15</v>
      </c>
      <c r="G123" s="12" t="s">
        <v>26</v>
      </c>
      <c r="H123" s="12" t="s">
        <v>98</v>
      </c>
      <c r="I123" s="12"/>
      <c r="J123" s="12"/>
      <c r="K123" s="12"/>
      <c r="L123" s="12"/>
      <c r="M123" s="12"/>
      <c r="N123" s="12"/>
      <c r="O123" s="12"/>
      <c r="P123" s="11"/>
      <c r="Q123" s="12"/>
    </row>
    <row r="124" spans="1:17" s="13" customFormat="1" ht="15.75" x14ac:dyDescent="0.25">
      <c r="A124" s="14" t="s">
        <v>25</v>
      </c>
      <c r="B124" s="15">
        <f>22.87/1000</f>
        <v>2.2870000000000001E-2</v>
      </c>
      <c r="C124" s="12" t="s">
        <v>16</v>
      </c>
      <c r="D124" s="12" t="s">
        <v>17</v>
      </c>
      <c r="E124" s="12"/>
      <c r="F124" s="12" t="s">
        <v>15</v>
      </c>
      <c r="G124" s="12" t="s">
        <v>26</v>
      </c>
      <c r="H124" s="12" t="s">
        <v>99</v>
      </c>
      <c r="I124" s="12"/>
      <c r="J124" s="12"/>
      <c r="K124" s="12"/>
      <c r="L124" s="12"/>
      <c r="M124" s="12"/>
      <c r="N124" s="12"/>
      <c r="O124" s="12"/>
      <c r="P124" s="11"/>
      <c r="Q124" s="12"/>
    </row>
    <row r="125" spans="1:17" s="13" customFormat="1" ht="15.75" x14ac:dyDescent="0.25">
      <c r="A125" s="14" t="s">
        <v>100</v>
      </c>
      <c r="B125" s="17">
        <f>184.82/1000</f>
        <v>0.18481999999999998</v>
      </c>
      <c r="C125" s="12" t="s">
        <v>16</v>
      </c>
      <c r="D125" s="12" t="s">
        <v>9</v>
      </c>
      <c r="E125" s="12"/>
      <c r="F125" s="12" t="s">
        <v>15</v>
      </c>
      <c r="G125" s="12" t="s">
        <v>101</v>
      </c>
      <c r="H125" s="12" t="s">
        <v>102</v>
      </c>
      <c r="I125" s="12"/>
      <c r="J125" s="12"/>
      <c r="K125" s="12"/>
      <c r="L125" s="12"/>
      <c r="M125" s="12"/>
      <c r="N125" s="12"/>
      <c r="O125" s="12"/>
    </row>
    <row r="126" spans="1:17" s="13" customFormat="1" ht="15.75" x14ac:dyDescent="0.25">
      <c r="A126" s="14" t="s">
        <v>25</v>
      </c>
      <c r="B126" s="15">
        <f>12.83/1000</f>
        <v>1.2829999999999999E-2</v>
      </c>
      <c r="C126" s="12" t="s">
        <v>16</v>
      </c>
      <c r="D126" s="12" t="s">
        <v>17</v>
      </c>
      <c r="E126" s="12"/>
      <c r="F126" s="12" t="s">
        <v>15</v>
      </c>
      <c r="G126" s="12" t="s">
        <v>26</v>
      </c>
      <c r="H126" s="12" t="s">
        <v>103</v>
      </c>
      <c r="I126" s="12"/>
      <c r="J126" s="12"/>
      <c r="K126" s="12"/>
      <c r="L126" s="12"/>
      <c r="M126" s="12"/>
      <c r="N126" s="12"/>
      <c r="O126" s="12"/>
      <c r="P126" s="11"/>
      <c r="Q126" s="12"/>
    </row>
    <row r="127" spans="1:17" s="13" customFormat="1" ht="15.75" x14ac:dyDescent="0.25">
      <c r="A127" s="14" t="s">
        <v>25</v>
      </c>
      <c r="B127" s="15">
        <f>21.37/1000</f>
        <v>2.137E-2</v>
      </c>
      <c r="C127" s="12" t="s">
        <v>16</v>
      </c>
      <c r="D127" s="12" t="s">
        <v>17</v>
      </c>
      <c r="E127" s="12"/>
      <c r="F127" s="12" t="s">
        <v>15</v>
      </c>
      <c r="G127" s="12" t="s">
        <v>26</v>
      </c>
      <c r="H127" s="12" t="s">
        <v>104</v>
      </c>
      <c r="I127" s="12"/>
      <c r="J127" s="12"/>
      <c r="K127" s="12"/>
      <c r="L127" s="12"/>
      <c r="M127" s="12"/>
      <c r="N127" s="12"/>
      <c r="O127" s="12"/>
      <c r="P127" s="11"/>
      <c r="Q127" s="12"/>
    </row>
    <row r="128" spans="1:17" s="13" customFormat="1" ht="31.5" x14ac:dyDescent="0.25">
      <c r="A128" s="14" t="s">
        <v>75</v>
      </c>
      <c r="B128" s="15">
        <f>221.41/1000</f>
        <v>0.22141</v>
      </c>
      <c r="C128" s="12" t="s">
        <v>27</v>
      </c>
      <c r="D128" s="12" t="s">
        <v>9</v>
      </c>
      <c r="E128" s="12"/>
      <c r="F128" s="12" t="s">
        <v>15</v>
      </c>
      <c r="G128" s="12" t="s">
        <v>76</v>
      </c>
      <c r="H128" s="12" t="s">
        <v>105</v>
      </c>
      <c r="I128" s="12"/>
      <c r="J128" s="12"/>
      <c r="K128" s="12"/>
      <c r="L128" s="12"/>
      <c r="M128" s="12"/>
      <c r="N128" s="12"/>
      <c r="O128" s="12"/>
      <c r="P128" s="11"/>
      <c r="Q128" s="12"/>
    </row>
    <row r="129" spans="1:17" s="13" customFormat="1" ht="15.75" x14ac:dyDescent="0.25">
      <c r="A129" s="14" t="s">
        <v>25</v>
      </c>
      <c r="B129" s="15">
        <f>6.956/1000</f>
        <v>6.9560000000000004E-3</v>
      </c>
      <c r="C129" s="12" t="s">
        <v>16</v>
      </c>
      <c r="D129" s="12" t="s">
        <v>17</v>
      </c>
      <c r="E129" s="12"/>
      <c r="F129" s="12" t="s">
        <v>15</v>
      </c>
      <c r="G129" s="12" t="s">
        <v>26</v>
      </c>
      <c r="H129" s="12" t="s">
        <v>106</v>
      </c>
      <c r="I129" s="12"/>
      <c r="J129" s="12"/>
      <c r="K129" s="12"/>
      <c r="L129" s="12"/>
      <c r="M129" s="12"/>
      <c r="N129" s="12"/>
      <c r="O129" s="12"/>
      <c r="P129" s="11"/>
      <c r="Q129" s="12"/>
    </row>
    <row r="130" spans="1:17" s="13" customFormat="1" ht="15.75" x14ac:dyDescent="0.25">
      <c r="A130" s="14" t="s">
        <v>25</v>
      </c>
      <c r="B130" s="15">
        <f>7.67/1000</f>
        <v>7.6699999999999997E-3</v>
      </c>
      <c r="C130" s="12" t="s">
        <v>16</v>
      </c>
      <c r="D130" s="12" t="s">
        <v>17</v>
      </c>
      <c r="E130" s="12"/>
      <c r="F130" s="12" t="s">
        <v>15</v>
      </c>
      <c r="G130" s="12" t="s">
        <v>26</v>
      </c>
      <c r="H130" s="12" t="s">
        <v>107</v>
      </c>
      <c r="I130" s="12"/>
      <c r="J130" s="12"/>
      <c r="K130" s="12"/>
      <c r="L130" s="12"/>
      <c r="M130" s="12"/>
      <c r="N130" s="12"/>
      <c r="O130" s="12"/>
      <c r="P130" s="11"/>
      <c r="Q130" s="12"/>
    </row>
    <row r="131" spans="1:17" s="13" customFormat="1" ht="31.5" x14ac:dyDescent="0.25">
      <c r="A131" s="14" t="s">
        <v>37</v>
      </c>
      <c r="B131" s="15">
        <f>-0.00382112</f>
        <v>-3.8211199999999999E-3</v>
      </c>
      <c r="C131" s="12" t="s">
        <v>16</v>
      </c>
      <c r="D131" s="12" t="s">
        <v>28</v>
      </c>
      <c r="E131" s="12"/>
      <c r="F131" s="12" t="s">
        <v>15</v>
      </c>
      <c r="G131" s="12" t="s">
        <v>38</v>
      </c>
      <c r="H131" s="12" t="s">
        <v>108</v>
      </c>
      <c r="I131" s="12"/>
      <c r="J131" s="12"/>
      <c r="K131" s="12"/>
      <c r="L131" s="12"/>
      <c r="M131" s="12"/>
      <c r="N131" s="12"/>
      <c r="O131" s="12"/>
      <c r="P131" s="11"/>
      <c r="Q131" s="12"/>
    </row>
    <row r="133" spans="1:17" s="13" customFormat="1" ht="15.75" x14ac:dyDescent="0.25">
      <c r="A133" s="11" t="s">
        <v>0</v>
      </c>
      <c r="B133" s="11" t="s">
        <v>49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1"/>
      <c r="Q133" s="12"/>
    </row>
    <row r="134" spans="1:17" s="13" customFormat="1" ht="15.75" x14ac:dyDescent="0.25">
      <c r="A134" s="12" t="s">
        <v>3</v>
      </c>
      <c r="B134" s="12" t="s">
        <v>109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1"/>
      <c r="Q134" s="12"/>
    </row>
    <row r="135" spans="1:17" s="12" customFormat="1" ht="15.75" x14ac:dyDescent="0.25">
      <c r="A135" s="12" t="s">
        <v>1</v>
      </c>
      <c r="B135" s="12" t="s">
        <v>27</v>
      </c>
      <c r="P135" s="11"/>
    </row>
    <row r="136" spans="1:17" s="12" customFormat="1" ht="15.75" x14ac:dyDescent="0.25">
      <c r="A136" s="12" t="s">
        <v>2</v>
      </c>
      <c r="B136" s="12">
        <v>-1</v>
      </c>
      <c r="P136" s="13"/>
      <c r="Q136" s="13"/>
    </row>
    <row r="137" spans="1:17" s="12" customFormat="1" ht="15.75" x14ac:dyDescent="0.25">
      <c r="A137" s="12" t="s">
        <v>4</v>
      </c>
      <c r="B137" s="12" t="s">
        <v>41</v>
      </c>
      <c r="P137" s="13"/>
      <c r="Q137" s="13"/>
    </row>
    <row r="138" spans="1:17" s="12" customFormat="1" ht="15.75" x14ac:dyDescent="0.25">
      <c r="A138" s="12" t="s">
        <v>5</v>
      </c>
      <c r="B138" s="12" t="s">
        <v>52</v>
      </c>
      <c r="P138" s="13"/>
      <c r="Q138" s="13"/>
    </row>
    <row r="139" spans="1:17" s="13" customFormat="1" ht="15.75" x14ac:dyDescent="0.25">
      <c r="A139" s="12" t="s">
        <v>6</v>
      </c>
      <c r="B139" s="12" t="s">
        <v>7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7" s="12" customFormat="1" ht="15.75" x14ac:dyDescent="0.25">
      <c r="A140" s="12" t="s">
        <v>8</v>
      </c>
      <c r="B140" s="12" t="s">
        <v>9</v>
      </c>
      <c r="P140" s="13"/>
      <c r="Q140" s="13"/>
    </row>
    <row r="141" spans="1:17" s="12" customFormat="1" ht="15.75" x14ac:dyDescent="0.25">
      <c r="A141" s="11" t="s">
        <v>10</v>
      </c>
      <c r="P141" s="13"/>
      <c r="Q141" s="13"/>
    </row>
    <row r="142" spans="1:17" s="12" customFormat="1" ht="15.75" x14ac:dyDescent="0.25">
      <c r="A142" s="11" t="s">
        <v>11</v>
      </c>
      <c r="B142" s="11" t="s">
        <v>12</v>
      </c>
      <c r="C142" s="11" t="s">
        <v>1</v>
      </c>
      <c r="D142" s="11" t="s">
        <v>8</v>
      </c>
      <c r="E142" s="11" t="s">
        <v>13</v>
      </c>
      <c r="F142" s="11" t="s">
        <v>6</v>
      </c>
      <c r="G142" s="11" t="s">
        <v>5</v>
      </c>
      <c r="H142" s="11" t="s">
        <v>3</v>
      </c>
      <c r="I142" s="11" t="s">
        <v>18</v>
      </c>
      <c r="J142" s="11" t="s">
        <v>19</v>
      </c>
      <c r="K142" s="11" t="s">
        <v>20</v>
      </c>
      <c r="L142" s="11" t="s">
        <v>21</v>
      </c>
      <c r="M142" s="11" t="s">
        <v>22</v>
      </c>
      <c r="N142" s="11" t="s">
        <v>23</v>
      </c>
      <c r="O142" s="11" t="s">
        <v>24</v>
      </c>
      <c r="P142" s="13"/>
      <c r="Q142" s="13"/>
    </row>
    <row r="143" spans="1:17" s="13" customFormat="1" ht="31.5" x14ac:dyDescent="0.25">
      <c r="A143" s="14" t="str">
        <f>B133</f>
        <v>treatment of used Li-ion battery, pyrometallurgical treatment, new</v>
      </c>
      <c r="B143" s="12">
        <v>-1</v>
      </c>
      <c r="C143" s="12" t="str">
        <f>B135</f>
        <v>RER</v>
      </c>
      <c r="D143" s="12" t="str">
        <f>B140</f>
        <v>kilogram</v>
      </c>
      <c r="E143" s="12"/>
      <c r="F143" s="12" t="s">
        <v>14</v>
      </c>
      <c r="G143" s="12" t="str">
        <f>B138</f>
        <v>used Li-ion battery</v>
      </c>
      <c r="H143" s="14" t="s">
        <v>53</v>
      </c>
      <c r="I143" s="12"/>
      <c r="J143" s="12"/>
      <c r="K143" s="12"/>
      <c r="L143" s="12"/>
      <c r="M143" s="12"/>
      <c r="N143" s="12"/>
      <c r="O143" s="12"/>
    </row>
    <row r="144" spans="1:17" s="13" customFormat="1" ht="15.75" x14ac:dyDescent="0.25">
      <c r="A144" s="14" t="s">
        <v>110</v>
      </c>
      <c r="B144" s="15">
        <f>160/1000</f>
        <v>0.16</v>
      </c>
      <c r="C144" s="12" t="s">
        <v>16</v>
      </c>
      <c r="D144" s="12" t="s">
        <v>9</v>
      </c>
      <c r="E144" s="12"/>
      <c r="F144" s="12" t="s">
        <v>15</v>
      </c>
      <c r="G144" s="12" t="s">
        <v>111</v>
      </c>
      <c r="H144" s="12" t="s">
        <v>112</v>
      </c>
      <c r="I144" s="12"/>
      <c r="J144" s="12"/>
      <c r="K144" s="12"/>
      <c r="L144" s="12"/>
      <c r="M144" s="12"/>
      <c r="N144" s="12"/>
      <c r="O144" s="12"/>
      <c r="P144" s="11"/>
      <c r="Q144" s="12"/>
    </row>
    <row r="145" spans="1:17" s="13" customFormat="1" ht="15.75" x14ac:dyDescent="0.25">
      <c r="A145" s="14" t="s">
        <v>113</v>
      </c>
      <c r="B145" s="15">
        <f>40/1000</f>
        <v>0.04</v>
      </c>
      <c r="C145" s="12" t="s">
        <v>30</v>
      </c>
      <c r="D145" s="12" t="s">
        <v>9</v>
      </c>
      <c r="E145" s="12"/>
      <c r="F145" s="12" t="s">
        <v>15</v>
      </c>
      <c r="G145" s="12" t="s">
        <v>114</v>
      </c>
      <c r="H145" s="12" t="s">
        <v>115</v>
      </c>
      <c r="I145" s="12"/>
      <c r="J145" s="12"/>
      <c r="K145" s="12"/>
      <c r="L145" s="12"/>
      <c r="M145" s="12"/>
      <c r="N145" s="12"/>
      <c r="O145" s="12"/>
      <c r="P145" s="11"/>
      <c r="Q145" s="12"/>
    </row>
    <row r="146" spans="1:17" s="13" customFormat="1" ht="15.75" x14ac:dyDescent="0.25">
      <c r="A146" s="14" t="s">
        <v>25</v>
      </c>
      <c r="B146" s="15">
        <f>440/1000</f>
        <v>0.44</v>
      </c>
      <c r="C146" s="12" t="s">
        <v>16</v>
      </c>
      <c r="D146" s="12" t="s">
        <v>17</v>
      </c>
      <c r="E146" s="12"/>
      <c r="F146" s="12" t="s">
        <v>15</v>
      </c>
      <c r="G146" s="12" t="s">
        <v>26</v>
      </c>
      <c r="H146" s="12" t="s">
        <v>116</v>
      </c>
      <c r="I146" s="12"/>
      <c r="J146" s="12"/>
      <c r="K146" s="12"/>
      <c r="L146" s="12"/>
      <c r="M146" s="12"/>
      <c r="N146" s="12"/>
      <c r="O146" s="12"/>
      <c r="P146" s="11"/>
      <c r="Q146" s="12"/>
    </row>
    <row r="147" spans="1:17" s="13" customFormat="1" ht="15.75" x14ac:dyDescent="0.25">
      <c r="A147" s="14" t="s">
        <v>117</v>
      </c>
      <c r="B147" s="15">
        <f>149.86/1000</f>
        <v>0.14986000000000002</v>
      </c>
      <c r="C147" s="12" t="s">
        <v>27</v>
      </c>
      <c r="D147" s="12" t="s">
        <v>9</v>
      </c>
      <c r="E147" s="12"/>
      <c r="F147" s="12" t="s">
        <v>15</v>
      </c>
      <c r="G147" s="12" t="s">
        <v>118</v>
      </c>
      <c r="H147" s="12" t="s">
        <v>119</v>
      </c>
      <c r="I147" s="12"/>
      <c r="J147" s="12"/>
      <c r="K147" s="12"/>
      <c r="L147" s="12"/>
      <c r="M147" s="12"/>
      <c r="N147" s="12"/>
      <c r="O147" s="12"/>
      <c r="P147" s="11"/>
      <c r="Q147" s="12"/>
    </row>
    <row r="148" spans="1:17" s="13" customFormat="1" ht="15.75" x14ac:dyDescent="0.25">
      <c r="A148" s="14" t="s">
        <v>120</v>
      </c>
      <c r="B148" s="15">
        <f>709/1000</f>
        <v>0.70899999999999996</v>
      </c>
      <c r="C148" s="12"/>
      <c r="D148" s="12" t="s">
        <v>9</v>
      </c>
      <c r="E148" s="12" t="s">
        <v>121</v>
      </c>
      <c r="F148" s="12" t="s">
        <v>122</v>
      </c>
      <c r="G148" s="12"/>
      <c r="H148" s="12" t="s">
        <v>123</v>
      </c>
      <c r="I148" s="12"/>
      <c r="J148" s="12"/>
      <c r="K148" s="12"/>
      <c r="L148" s="12"/>
      <c r="M148" s="12"/>
      <c r="N148" s="12"/>
      <c r="O148" s="12"/>
      <c r="P148" s="11"/>
      <c r="Q148" s="12"/>
    </row>
    <row r="149" spans="1:17" s="13" customFormat="1" ht="15.75" x14ac:dyDescent="0.25">
      <c r="A149" s="14" t="s">
        <v>124</v>
      </c>
      <c r="B149" s="15">
        <v>1E-3</v>
      </c>
      <c r="C149" s="12" t="s">
        <v>27</v>
      </c>
      <c r="D149" s="12" t="s">
        <v>8</v>
      </c>
      <c r="E149" s="12"/>
      <c r="F149" s="12" t="s">
        <v>15</v>
      </c>
      <c r="G149" s="14" t="s">
        <v>125</v>
      </c>
      <c r="H149" s="14" t="s">
        <v>53</v>
      </c>
      <c r="I149" s="12"/>
      <c r="J149" s="12"/>
      <c r="K149" s="12"/>
      <c r="L149" s="12"/>
      <c r="M149" s="12"/>
      <c r="N149" s="12"/>
      <c r="O149" s="12"/>
      <c r="P149" s="11"/>
      <c r="Q149" s="12"/>
    </row>
    <row r="150" spans="1:17" s="13" customFormat="1" ht="31.5" x14ac:dyDescent="0.25">
      <c r="A150" s="14" t="s">
        <v>65</v>
      </c>
      <c r="B150" s="17">
        <f>305.5/1000</f>
        <v>0.30549999999999999</v>
      </c>
      <c r="C150" s="12" t="s">
        <v>27</v>
      </c>
      <c r="D150" s="12" t="s">
        <v>9</v>
      </c>
      <c r="E150" s="12"/>
      <c r="F150" s="12" t="s">
        <v>15</v>
      </c>
      <c r="G150" s="12" t="s">
        <v>66</v>
      </c>
      <c r="H150" s="12" t="s">
        <v>126</v>
      </c>
      <c r="I150" s="12"/>
      <c r="J150" s="12"/>
      <c r="K150" s="12"/>
      <c r="L150" s="12"/>
      <c r="M150" s="12"/>
      <c r="N150" s="12"/>
      <c r="O150" s="12"/>
      <c r="P150" s="11"/>
      <c r="Q150" s="12"/>
    </row>
    <row r="151" spans="1:17" s="13" customFormat="1" ht="15.75" x14ac:dyDescent="0.25">
      <c r="A151" s="14" t="s">
        <v>31</v>
      </c>
      <c r="B151" s="17">
        <f>412/1000</f>
        <v>0.41199999999999998</v>
      </c>
      <c r="C151" s="12" t="s">
        <v>27</v>
      </c>
      <c r="D151" s="12" t="s">
        <v>9</v>
      </c>
      <c r="E151" s="12"/>
      <c r="F151" s="12" t="s">
        <v>15</v>
      </c>
      <c r="G151" s="14" t="s">
        <v>32</v>
      </c>
      <c r="H151" s="12" t="s">
        <v>127</v>
      </c>
      <c r="I151" s="12"/>
      <c r="J151" s="12"/>
      <c r="K151" s="12"/>
      <c r="L151" s="12"/>
      <c r="M151" s="12"/>
      <c r="N151" s="12"/>
      <c r="O151" s="12"/>
      <c r="P151" s="11"/>
      <c r="Q151" s="12"/>
    </row>
    <row r="152" spans="1:17" s="13" customFormat="1" ht="15.75" x14ac:dyDescent="0.25">
      <c r="A152" s="14" t="s">
        <v>70</v>
      </c>
      <c r="B152" s="15">
        <f>1944/1000</f>
        <v>1.944</v>
      </c>
      <c r="C152" s="12" t="s">
        <v>16</v>
      </c>
      <c r="D152" s="12" t="s">
        <v>9</v>
      </c>
      <c r="E152" s="12"/>
      <c r="F152" s="12" t="s">
        <v>15</v>
      </c>
      <c r="G152" s="14" t="s">
        <v>71</v>
      </c>
      <c r="H152" s="14" t="s">
        <v>128</v>
      </c>
      <c r="I152" s="12"/>
      <c r="J152" s="12"/>
      <c r="K152" s="12"/>
      <c r="L152" s="12"/>
      <c r="M152" s="12"/>
      <c r="N152" s="12"/>
      <c r="O152" s="12"/>
      <c r="P152" s="11"/>
      <c r="Q152" s="12"/>
    </row>
    <row r="153" spans="1:17" s="13" customFormat="1" ht="15.75" x14ac:dyDescent="0.25">
      <c r="A153" s="14" t="s">
        <v>25</v>
      </c>
      <c r="B153" s="15">
        <f>21.955/1000</f>
        <v>2.1954999999999999E-2</v>
      </c>
      <c r="C153" s="12" t="s">
        <v>16</v>
      </c>
      <c r="D153" s="12" t="s">
        <v>17</v>
      </c>
      <c r="E153" s="12"/>
      <c r="F153" s="12" t="s">
        <v>15</v>
      </c>
      <c r="G153" s="12" t="s">
        <v>26</v>
      </c>
      <c r="H153" s="12" t="s">
        <v>129</v>
      </c>
      <c r="I153" s="12"/>
      <c r="J153" s="12"/>
      <c r="K153" s="12"/>
      <c r="L153" s="12"/>
      <c r="M153" s="12"/>
      <c r="N153" s="12"/>
      <c r="O153" s="12"/>
      <c r="P153" s="11"/>
      <c r="Q153" s="12"/>
    </row>
    <row r="154" spans="1:17" s="13" customFormat="1" ht="15.75" x14ac:dyDescent="0.25">
      <c r="A154" s="14" t="s">
        <v>25</v>
      </c>
      <c r="B154" s="15">
        <f>22.09/1000</f>
        <v>2.2089999999999999E-2</v>
      </c>
      <c r="C154" s="12" t="s">
        <v>16</v>
      </c>
      <c r="D154" s="12" t="s">
        <v>17</v>
      </c>
      <c r="E154" s="12"/>
      <c r="F154" s="12" t="s">
        <v>15</v>
      </c>
      <c r="G154" s="12" t="s">
        <v>26</v>
      </c>
      <c r="H154" s="12" t="s">
        <v>130</v>
      </c>
      <c r="I154" s="12"/>
      <c r="J154" s="12"/>
      <c r="K154" s="12"/>
      <c r="L154" s="12"/>
      <c r="M154" s="12"/>
      <c r="N154" s="12"/>
      <c r="O154" s="12"/>
      <c r="P154" s="11"/>
      <c r="Q154" s="12"/>
    </row>
    <row r="155" spans="1:17" s="13" customFormat="1" ht="15.75" x14ac:dyDescent="0.25">
      <c r="A155" s="14" t="s">
        <v>78</v>
      </c>
      <c r="B155" s="15">
        <f>0.00015565</f>
        <v>1.5564999999999999E-4</v>
      </c>
      <c r="C155" s="12" t="s">
        <v>27</v>
      </c>
      <c r="D155" s="12" t="s">
        <v>28</v>
      </c>
      <c r="E155" s="12"/>
      <c r="F155" s="12" t="s">
        <v>15</v>
      </c>
      <c r="G155" s="12" t="s">
        <v>79</v>
      </c>
      <c r="H155" s="12" t="s">
        <v>131</v>
      </c>
      <c r="I155" s="12"/>
      <c r="J155" s="12"/>
      <c r="K155" s="12"/>
      <c r="L155" s="12"/>
      <c r="M155" s="12"/>
      <c r="N155" s="12"/>
      <c r="O155" s="12"/>
      <c r="P155" s="11"/>
      <c r="Q155" s="12"/>
    </row>
    <row r="156" spans="1:17" s="13" customFormat="1" ht="15.75" x14ac:dyDescent="0.25">
      <c r="A156" s="14" t="s">
        <v>25</v>
      </c>
      <c r="B156" s="15">
        <f>9.02/1000</f>
        <v>9.0200000000000002E-3</v>
      </c>
      <c r="C156" s="12" t="s">
        <v>16</v>
      </c>
      <c r="D156" s="12" t="s">
        <v>17</v>
      </c>
      <c r="E156" s="12"/>
      <c r="F156" s="12" t="s">
        <v>15</v>
      </c>
      <c r="G156" s="12" t="s">
        <v>26</v>
      </c>
      <c r="H156" s="12" t="s">
        <v>132</v>
      </c>
      <c r="I156" s="12"/>
      <c r="J156" s="12"/>
      <c r="K156" s="12"/>
      <c r="L156" s="12"/>
      <c r="M156" s="12"/>
      <c r="N156" s="12"/>
      <c r="O156" s="12"/>
      <c r="P156" s="11"/>
      <c r="Q156" s="12"/>
    </row>
    <row r="157" spans="1:17" s="13" customFormat="1" ht="15.75" x14ac:dyDescent="0.25">
      <c r="A157" s="14" t="s">
        <v>25</v>
      </c>
      <c r="B157" s="15">
        <f>40.83/1000</f>
        <v>4.0829999999999998E-2</v>
      </c>
      <c r="C157" s="12" t="s">
        <v>16</v>
      </c>
      <c r="D157" s="12" t="s">
        <v>17</v>
      </c>
      <c r="E157" s="12"/>
      <c r="F157" s="12" t="s">
        <v>15</v>
      </c>
      <c r="G157" s="12" t="s">
        <v>26</v>
      </c>
      <c r="H157" s="12" t="s">
        <v>133</v>
      </c>
      <c r="I157" s="12"/>
      <c r="J157" s="12"/>
      <c r="K157" s="12"/>
      <c r="L157" s="12"/>
      <c r="M157" s="12"/>
      <c r="N157" s="12"/>
      <c r="O157" s="12"/>
      <c r="P157" s="11"/>
      <c r="Q157" s="12"/>
    </row>
    <row r="158" spans="1:17" s="13" customFormat="1" ht="15.75" x14ac:dyDescent="0.25">
      <c r="A158" s="14" t="s">
        <v>83</v>
      </c>
      <c r="B158" s="15">
        <f>251.98/1000</f>
        <v>0.25197999999999998</v>
      </c>
      <c r="C158" s="12" t="s">
        <v>27</v>
      </c>
      <c r="D158" s="12" t="s">
        <v>9</v>
      </c>
      <c r="E158" s="12"/>
      <c r="F158" s="12" t="s">
        <v>15</v>
      </c>
      <c r="G158" s="12" t="s">
        <v>84</v>
      </c>
      <c r="H158" s="12" t="s">
        <v>134</v>
      </c>
      <c r="I158" s="12"/>
      <c r="J158" s="12"/>
      <c r="K158" s="12"/>
      <c r="L158" s="12"/>
      <c r="M158" s="12"/>
      <c r="N158" s="12"/>
      <c r="O158" s="12"/>
      <c r="P158" s="11"/>
      <c r="Q158" s="12"/>
    </row>
    <row r="159" spans="1:17" s="13" customFormat="1" ht="15.75" x14ac:dyDescent="0.25">
      <c r="A159" s="14" t="s">
        <v>78</v>
      </c>
      <c r="B159" s="15">
        <f>0.00014515</f>
        <v>1.4515E-4</v>
      </c>
      <c r="C159" s="12" t="s">
        <v>27</v>
      </c>
      <c r="D159" s="12" t="s">
        <v>28</v>
      </c>
      <c r="E159" s="12"/>
      <c r="F159" s="12" t="s">
        <v>15</v>
      </c>
      <c r="G159" s="12" t="s">
        <v>79</v>
      </c>
      <c r="H159" s="12" t="s">
        <v>135</v>
      </c>
      <c r="I159" s="12"/>
      <c r="J159" s="12"/>
      <c r="K159" s="12"/>
      <c r="L159" s="12"/>
      <c r="M159" s="12"/>
      <c r="N159" s="12"/>
      <c r="O159" s="12"/>
      <c r="P159" s="11"/>
      <c r="Q159" s="12"/>
    </row>
    <row r="160" spans="1:17" s="13" customFormat="1" ht="15.75" x14ac:dyDescent="0.25">
      <c r="A160" s="14" t="s">
        <v>25</v>
      </c>
      <c r="B160" s="15">
        <f>4.67/1000</f>
        <v>4.6699999999999997E-3</v>
      </c>
      <c r="C160" s="12" t="s">
        <v>16</v>
      </c>
      <c r="D160" s="12" t="s">
        <v>17</v>
      </c>
      <c r="E160" s="12"/>
      <c r="F160" s="12" t="s">
        <v>15</v>
      </c>
      <c r="G160" s="12" t="s">
        <v>26</v>
      </c>
      <c r="H160" s="12" t="s">
        <v>87</v>
      </c>
      <c r="I160" s="12"/>
      <c r="J160" s="12"/>
      <c r="K160" s="12"/>
      <c r="L160" s="12"/>
      <c r="M160" s="12"/>
      <c r="N160" s="12"/>
      <c r="O160" s="12"/>
      <c r="P160" s="11"/>
      <c r="Q160" s="12"/>
    </row>
    <row r="161" spans="1:17" s="13" customFormat="1" ht="15.75" x14ac:dyDescent="0.25">
      <c r="A161" s="14" t="s">
        <v>25</v>
      </c>
      <c r="B161" s="15">
        <f>40.27/1000</f>
        <v>4.027E-2</v>
      </c>
      <c r="C161" s="12" t="s">
        <v>16</v>
      </c>
      <c r="D161" s="12" t="s">
        <v>17</v>
      </c>
      <c r="E161" s="12"/>
      <c r="F161" s="12" t="s">
        <v>15</v>
      </c>
      <c r="G161" s="12" t="s">
        <v>26</v>
      </c>
      <c r="H161" s="12" t="s">
        <v>136</v>
      </c>
      <c r="I161" s="12"/>
      <c r="J161" s="12"/>
      <c r="K161" s="12"/>
      <c r="L161" s="12"/>
      <c r="M161" s="12"/>
      <c r="N161" s="12"/>
      <c r="O161" s="12"/>
      <c r="P161" s="11"/>
      <c r="Q161" s="12"/>
    </row>
    <row r="162" spans="1:17" s="13" customFormat="1" ht="15.75" x14ac:dyDescent="0.25">
      <c r="A162" s="14" t="s">
        <v>83</v>
      </c>
      <c r="B162" s="15">
        <f>248.53/1000</f>
        <v>0.24853</v>
      </c>
      <c r="C162" s="12" t="s">
        <v>27</v>
      </c>
      <c r="D162" s="12" t="s">
        <v>9</v>
      </c>
      <c r="E162" s="12"/>
      <c r="F162" s="12" t="s">
        <v>15</v>
      </c>
      <c r="G162" s="12" t="s">
        <v>84</v>
      </c>
      <c r="H162" s="12" t="s">
        <v>137</v>
      </c>
      <c r="I162" s="12"/>
      <c r="J162" s="12"/>
      <c r="K162" s="12"/>
      <c r="L162" s="12"/>
      <c r="M162" s="12"/>
      <c r="N162" s="12"/>
      <c r="O162" s="12"/>
      <c r="P162" s="11"/>
      <c r="Q162" s="12"/>
    </row>
    <row r="163" spans="1:17" s="13" customFormat="1" ht="31.5" x14ac:dyDescent="0.25">
      <c r="A163" s="14" t="s">
        <v>37</v>
      </c>
      <c r="B163" s="15">
        <f>-0.422/1000</f>
        <v>-4.2200000000000001E-4</v>
      </c>
      <c r="C163" s="12" t="s">
        <v>16</v>
      </c>
      <c r="D163" s="12" t="s">
        <v>28</v>
      </c>
      <c r="E163" s="12"/>
      <c r="F163" s="12" t="s">
        <v>15</v>
      </c>
      <c r="G163" s="12" t="s">
        <v>38</v>
      </c>
      <c r="H163" s="12" t="s">
        <v>108</v>
      </c>
      <c r="I163" s="12"/>
      <c r="J163" s="12"/>
      <c r="K163" s="12"/>
      <c r="L163" s="12"/>
      <c r="M163" s="12"/>
      <c r="N163" s="12"/>
      <c r="O163" s="12"/>
      <c r="P163" s="11"/>
      <c r="Q163" s="12"/>
    </row>
    <row r="164" spans="1:17" s="13" customFormat="1" ht="15.75" x14ac:dyDescent="0.25">
      <c r="A164" s="14" t="s">
        <v>34</v>
      </c>
      <c r="B164" s="15">
        <f>1080/1000</f>
        <v>1.08</v>
      </c>
      <c r="C164" s="12" t="s">
        <v>16</v>
      </c>
      <c r="D164" s="12" t="s">
        <v>9</v>
      </c>
      <c r="E164" s="12"/>
      <c r="F164" s="12" t="s">
        <v>15</v>
      </c>
      <c r="G164" s="12" t="s">
        <v>33</v>
      </c>
      <c r="H164" s="12" t="s">
        <v>138</v>
      </c>
      <c r="I164" s="12"/>
      <c r="J164" s="12"/>
      <c r="K164" s="12"/>
      <c r="L164" s="12"/>
      <c r="M164" s="12"/>
      <c r="N164" s="12"/>
      <c r="O164" s="12"/>
      <c r="P164" s="11"/>
      <c r="Q164" s="12"/>
    </row>
    <row r="165" spans="1:17" s="13" customFormat="1" ht="15.75" x14ac:dyDescent="0.25">
      <c r="A165" s="14" t="s">
        <v>139</v>
      </c>
      <c r="B165" s="15">
        <f>72.35/1000</f>
        <v>7.2349999999999998E-2</v>
      </c>
      <c r="C165" s="12" t="s">
        <v>27</v>
      </c>
      <c r="D165" s="12" t="s">
        <v>9</v>
      </c>
      <c r="E165" s="12"/>
      <c r="F165" s="12" t="s">
        <v>15</v>
      </c>
      <c r="G165" s="14" t="s">
        <v>140</v>
      </c>
      <c r="H165" s="14" t="s">
        <v>141</v>
      </c>
      <c r="I165" s="12"/>
      <c r="J165" s="12"/>
      <c r="K165" s="12"/>
      <c r="L165" s="12"/>
      <c r="M165" s="12"/>
      <c r="N165" s="12"/>
      <c r="O165" s="12"/>
      <c r="P165" s="11"/>
      <c r="Q165" s="12"/>
    </row>
    <row r="166" spans="1:17" s="13" customFormat="1" ht="15.75" x14ac:dyDescent="0.25">
      <c r="A166" s="14" t="s">
        <v>25</v>
      </c>
      <c r="B166" s="15">
        <f>32.18/1000</f>
        <v>3.218E-2</v>
      </c>
      <c r="C166" s="12" t="s">
        <v>16</v>
      </c>
      <c r="D166" s="12" t="s">
        <v>17</v>
      </c>
      <c r="E166" s="12"/>
      <c r="F166" s="12" t="s">
        <v>15</v>
      </c>
      <c r="G166" s="12" t="s">
        <v>26</v>
      </c>
      <c r="H166" s="12" t="s">
        <v>142</v>
      </c>
      <c r="I166" s="12"/>
      <c r="J166" s="12"/>
      <c r="K166" s="12"/>
      <c r="L166" s="12"/>
      <c r="M166" s="12"/>
      <c r="N166" s="12"/>
      <c r="O166" s="12"/>
      <c r="P166" s="11"/>
      <c r="Q166" s="12"/>
    </row>
    <row r="167" spans="1:17" s="13" customFormat="1" ht="15.75" x14ac:dyDescent="0.25">
      <c r="A167" s="14" t="s">
        <v>120</v>
      </c>
      <c r="B167" s="15">
        <f>65.77/1000</f>
        <v>6.5769999999999995E-2</v>
      </c>
      <c r="C167" s="12"/>
      <c r="D167" s="12" t="s">
        <v>9</v>
      </c>
      <c r="E167" s="12" t="s">
        <v>121</v>
      </c>
      <c r="F167" s="12" t="s">
        <v>122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1"/>
      <c r="Q167" s="12"/>
    </row>
    <row r="168" spans="1:17" ht="15.75" x14ac:dyDescent="0.25">
      <c r="A168" s="10"/>
      <c r="B168" s="18"/>
      <c r="C168" s="2"/>
      <c r="D168" s="2"/>
      <c r="E168" s="2"/>
      <c r="F168" s="2"/>
      <c r="G168" s="10"/>
      <c r="H168" s="2"/>
      <c r="I168" s="2"/>
      <c r="J168" s="2"/>
      <c r="K168" s="2"/>
      <c r="L168" s="2"/>
      <c r="M168" s="2"/>
      <c r="N168" s="2"/>
      <c r="O168" s="2"/>
      <c r="P168" s="1"/>
      <c r="Q168" s="2"/>
    </row>
    <row r="169" spans="1:17" ht="15.75" x14ac:dyDescent="0.25">
      <c r="A169" s="3" t="s">
        <v>0</v>
      </c>
      <c r="B169" s="3" t="s">
        <v>124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7" ht="15.75" x14ac:dyDescent="0.25">
      <c r="A170" s="4" t="s">
        <v>3</v>
      </c>
      <c r="B170" s="4" t="s">
        <v>143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7" ht="15.75" x14ac:dyDescent="0.25">
      <c r="A171" s="4" t="s">
        <v>1</v>
      </c>
      <c r="B171" s="4" t="s">
        <v>27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7" ht="15.75" x14ac:dyDescent="0.25">
      <c r="A172" s="4" t="s">
        <v>2</v>
      </c>
      <c r="B172" s="4">
        <v>1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7" ht="15.75" x14ac:dyDescent="0.25">
      <c r="A173" s="4" t="s">
        <v>4</v>
      </c>
      <c r="B173" s="4" t="s">
        <v>41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7" ht="15.75" x14ac:dyDescent="0.25">
      <c r="A174" s="4" t="s">
        <v>5</v>
      </c>
      <c r="B174" s="4" t="s">
        <v>125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7" ht="15.75" x14ac:dyDescent="0.25">
      <c r="A175" s="4" t="s">
        <v>6</v>
      </c>
      <c r="B175" s="4" t="s">
        <v>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7" ht="15.75" x14ac:dyDescent="0.25">
      <c r="A176" s="4" t="s">
        <v>8</v>
      </c>
      <c r="B176" s="4" t="s">
        <v>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7" ht="15.75" x14ac:dyDescent="0.25">
      <c r="A177" s="3" t="s">
        <v>10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7" ht="15.75" x14ac:dyDescent="0.25">
      <c r="A178" s="3" t="s">
        <v>11</v>
      </c>
      <c r="B178" s="3" t="s">
        <v>12</v>
      </c>
      <c r="C178" s="3" t="s">
        <v>1</v>
      </c>
      <c r="D178" s="3" t="s">
        <v>8</v>
      </c>
      <c r="E178" s="3" t="s">
        <v>13</v>
      </c>
      <c r="F178" s="3" t="s">
        <v>6</v>
      </c>
      <c r="G178" s="3" t="s">
        <v>5</v>
      </c>
      <c r="H178" s="3" t="s">
        <v>3</v>
      </c>
      <c r="I178" s="3" t="s">
        <v>18</v>
      </c>
      <c r="J178" s="3" t="s">
        <v>19</v>
      </c>
      <c r="K178" s="3" t="s">
        <v>20</v>
      </c>
      <c r="L178" s="3" t="s">
        <v>21</v>
      </c>
      <c r="M178" s="3" t="s">
        <v>22</v>
      </c>
      <c r="N178" s="3" t="s">
        <v>23</v>
      </c>
      <c r="O178" s="3" t="s">
        <v>24</v>
      </c>
    </row>
    <row r="179" spans="1:17" ht="15.75" x14ac:dyDescent="0.25">
      <c r="A179" s="4" t="str">
        <f>B169</f>
        <v>offgas cleaning, pyrolysis</v>
      </c>
      <c r="B179" s="4">
        <v>1</v>
      </c>
      <c r="C179" s="4" t="str">
        <f>B171</f>
        <v>RER</v>
      </c>
      <c r="D179" s="4" t="str">
        <f>B176</f>
        <v>unit</v>
      </c>
      <c r="E179" s="4"/>
      <c r="F179" s="4" t="s">
        <v>14</v>
      </c>
      <c r="G179" s="4" t="str">
        <f>B174</f>
        <v>offgas cleaning</v>
      </c>
      <c r="H179" s="4"/>
      <c r="I179" s="4"/>
      <c r="J179" s="4"/>
      <c r="K179" s="4"/>
      <c r="L179" s="4"/>
      <c r="M179" s="4"/>
      <c r="N179" s="4"/>
      <c r="O179" s="4"/>
    </row>
    <row r="180" spans="1:17" ht="15.75" x14ac:dyDescent="0.25">
      <c r="A180" s="8" t="s">
        <v>144</v>
      </c>
      <c r="B180" s="19">
        <v>10.050000000000001</v>
      </c>
      <c r="C180" s="4" t="s">
        <v>30</v>
      </c>
      <c r="D180" s="4" t="s">
        <v>9</v>
      </c>
      <c r="E180" s="4"/>
      <c r="F180" s="4" t="s">
        <v>15</v>
      </c>
      <c r="G180" s="4" t="s">
        <v>145</v>
      </c>
      <c r="H180" s="4" t="s">
        <v>146</v>
      </c>
      <c r="I180" s="4"/>
      <c r="J180" s="4"/>
      <c r="K180" s="4"/>
      <c r="L180" s="4"/>
      <c r="M180" s="4"/>
      <c r="N180" s="4"/>
      <c r="O180" s="4"/>
    </row>
    <row r="181" spans="1:17" ht="15.75" x14ac:dyDescent="0.25">
      <c r="A181" s="8" t="s">
        <v>70</v>
      </c>
      <c r="B181" s="19">
        <v>41.54</v>
      </c>
      <c r="C181" s="4" t="s">
        <v>16</v>
      </c>
      <c r="D181" s="4" t="s">
        <v>9</v>
      </c>
      <c r="E181" s="4"/>
      <c r="F181" s="4" t="s">
        <v>15</v>
      </c>
      <c r="G181" s="4" t="s">
        <v>71</v>
      </c>
      <c r="H181" s="4"/>
      <c r="I181" s="4"/>
      <c r="J181" s="4"/>
      <c r="K181" s="4"/>
      <c r="L181" s="4"/>
      <c r="M181" s="4"/>
      <c r="N181" s="4"/>
      <c r="O181" s="4"/>
      <c r="P181" s="1"/>
      <c r="Q181" s="2"/>
    </row>
    <row r="182" spans="1:17" s="20" customFormat="1" ht="15.75" x14ac:dyDescent="0.25">
      <c r="A182" s="8" t="s">
        <v>25</v>
      </c>
      <c r="B182" s="5">
        <f>1.84</f>
        <v>1.84</v>
      </c>
      <c r="C182" s="4" t="s">
        <v>16</v>
      </c>
      <c r="D182" s="4" t="s">
        <v>17</v>
      </c>
      <c r="E182" s="4"/>
      <c r="F182" s="4" t="s">
        <v>15</v>
      </c>
      <c r="G182" s="4" t="s">
        <v>26</v>
      </c>
      <c r="H182" s="4"/>
      <c r="I182" s="4"/>
      <c r="J182" s="4"/>
      <c r="K182" s="4"/>
      <c r="L182" s="4"/>
      <c r="M182" s="4"/>
      <c r="N182" s="4"/>
      <c r="O182" s="4"/>
      <c r="P182" s="3"/>
      <c r="Q182" s="4"/>
    </row>
    <row r="183" spans="1:17" s="20" customFormat="1" ht="31.5" x14ac:dyDescent="0.25">
      <c r="A183" s="8" t="s">
        <v>147</v>
      </c>
      <c r="B183" s="5">
        <v>44.56</v>
      </c>
      <c r="C183" s="4" t="s">
        <v>35</v>
      </c>
      <c r="D183" s="4" t="s">
        <v>169</v>
      </c>
      <c r="E183" s="4"/>
      <c r="F183" s="4" t="s">
        <v>15</v>
      </c>
      <c r="G183" s="4" t="s">
        <v>36</v>
      </c>
      <c r="H183" s="4" t="s">
        <v>148</v>
      </c>
      <c r="I183" s="4"/>
      <c r="J183" s="4"/>
      <c r="K183" s="4"/>
      <c r="L183" s="4"/>
      <c r="M183" s="4"/>
      <c r="N183" s="4"/>
      <c r="O183" s="4"/>
      <c r="P183" s="3"/>
      <c r="Q183" s="4"/>
    </row>
    <row r="184" spans="1:17" s="20" customFormat="1" ht="31.5" x14ac:dyDescent="0.25">
      <c r="A184" s="8" t="s">
        <v>149</v>
      </c>
      <c r="B184" s="5">
        <v>-0.6</v>
      </c>
      <c r="C184" s="4" t="s">
        <v>16</v>
      </c>
      <c r="D184" s="4" t="s">
        <v>9</v>
      </c>
      <c r="E184" s="4"/>
      <c r="F184" s="4" t="s">
        <v>15</v>
      </c>
      <c r="G184" s="4" t="s">
        <v>150</v>
      </c>
      <c r="H184" s="4"/>
      <c r="I184" s="4"/>
      <c r="J184" s="4"/>
      <c r="K184" s="4"/>
      <c r="L184" s="4"/>
      <c r="M184" s="4"/>
      <c r="N184" s="4"/>
      <c r="O184" s="4"/>
      <c r="P184" s="3"/>
      <c r="Q184" s="4"/>
    </row>
    <row r="185" spans="1:17" ht="15.75" x14ac:dyDescent="0.25">
      <c r="A185" s="21"/>
      <c r="B185" s="18"/>
      <c r="C185" s="2"/>
      <c r="D185" s="2"/>
      <c r="E185" s="2"/>
      <c r="F185" s="2"/>
      <c r="G185" s="10"/>
      <c r="H185" s="2"/>
      <c r="I185" s="2"/>
      <c r="J185" s="2"/>
      <c r="K185" s="2"/>
      <c r="L185" s="2"/>
      <c r="M185" s="2"/>
      <c r="N185" s="2"/>
      <c r="O185" s="2"/>
    </row>
    <row r="186" spans="1:17" ht="15.75" x14ac:dyDescent="0.25">
      <c r="A186" s="3" t="s">
        <v>0</v>
      </c>
      <c r="B186" s="3" t="s">
        <v>78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7" ht="15.75" x14ac:dyDescent="0.25">
      <c r="A187" s="4" t="s">
        <v>3</v>
      </c>
      <c r="B187" s="4" t="s">
        <v>151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7" ht="15.75" x14ac:dyDescent="0.25">
      <c r="A188" s="4" t="s">
        <v>1</v>
      </c>
      <c r="B188" s="4" t="s">
        <v>27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7" ht="15.75" x14ac:dyDescent="0.25">
      <c r="A189" s="4" t="s">
        <v>2</v>
      </c>
      <c r="B189" s="4">
        <v>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7" ht="15.75" x14ac:dyDescent="0.25">
      <c r="A190" s="4" t="s">
        <v>4</v>
      </c>
      <c r="B190" s="4" t="s">
        <v>41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7" ht="15.75" x14ac:dyDescent="0.25">
      <c r="A191" s="4" t="s">
        <v>5</v>
      </c>
      <c r="B191" s="4" t="s">
        <v>79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7" ht="15.75" x14ac:dyDescent="0.25">
      <c r="A192" s="4" t="s">
        <v>6</v>
      </c>
      <c r="B192" s="4" t="s">
        <v>7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ht="15.75" x14ac:dyDescent="0.25">
      <c r="A193" s="4" t="s">
        <v>8</v>
      </c>
      <c r="B193" s="4" t="s">
        <v>28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ht="15.75" x14ac:dyDescent="0.25">
      <c r="A194" s="3" t="s">
        <v>10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ht="15.75" x14ac:dyDescent="0.25">
      <c r="A195" s="3" t="s">
        <v>11</v>
      </c>
      <c r="B195" s="3" t="s">
        <v>12</v>
      </c>
      <c r="C195" s="3" t="s">
        <v>1</v>
      </c>
      <c r="D195" s="3" t="s">
        <v>8</v>
      </c>
      <c r="E195" s="3" t="s">
        <v>13</v>
      </c>
      <c r="F195" s="3" t="s">
        <v>6</v>
      </c>
      <c r="G195" s="3" t="s">
        <v>5</v>
      </c>
      <c r="H195" s="3" t="s">
        <v>3</v>
      </c>
      <c r="I195" s="3" t="s">
        <v>18</v>
      </c>
      <c r="J195" s="3" t="s">
        <v>19</v>
      </c>
      <c r="K195" s="3" t="s">
        <v>20</v>
      </c>
      <c r="L195" s="3" t="s">
        <v>21</v>
      </c>
      <c r="M195" s="3" t="s">
        <v>22</v>
      </c>
      <c r="N195" s="3" t="s">
        <v>23</v>
      </c>
      <c r="O195" s="3" t="s">
        <v>24</v>
      </c>
    </row>
    <row r="196" spans="1:15" ht="15.75" x14ac:dyDescent="0.25">
      <c r="A196" s="4" t="str">
        <f>B186</f>
        <v>organic solution, with cyanex272</v>
      </c>
      <c r="B196" s="4">
        <v>1</v>
      </c>
      <c r="C196" s="4" t="str">
        <f>B188</f>
        <v>RER</v>
      </c>
      <c r="D196" s="4" t="str">
        <f>B193</f>
        <v>cubic meter</v>
      </c>
      <c r="E196" s="4"/>
      <c r="F196" s="4" t="s">
        <v>14</v>
      </c>
      <c r="G196" s="4" t="str">
        <f>B191</f>
        <v>organic solvent</v>
      </c>
      <c r="H196" s="4" t="s">
        <v>152</v>
      </c>
      <c r="I196" s="4"/>
      <c r="J196" s="4"/>
      <c r="K196" s="4"/>
      <c r="L196" s="4"/>
      <c r="M196" s="4"/>
      <c r="N196" s="4"/>
      <c r="O196" s="4"/>
    </row>
    <row r="197" spans="1:15" ht="15.75" x14ac:dyDescent="0.25">
      <c r="A197" s="8" t="s">
        <v>153</v>
      </c>
      <c r="B197" s="19">
        <v>150</v>
      </c>
      <c r="C197" s="4" t="s">
        <v>27</v>
      </c>
      <c r="D197" s="4" t="s">
        <v>9</v>
      </c>
      <c r="E197" s="4"/>
      <c r="F197" s="4" t="s">
        <v>15</v>
      </c>
      <c r="G197" s="4" t="s">
        <v>154</v>
      </c>
      <c r="H197" s="4" t="s">
        <v>155</v>
      </c>
      <c r="I197" s="4"/>
      <c r="J197" s="4"/>
      <c r="K197" s="4"/>
      <c r="L197" s="4"/>
      <c r="M197" s="4"/>
      <c r="N197" s="4"/>
      <c r="O197" s="4"/>
    </row>
    <row r="198" spans="1:15" ht="15.75" x14ac:dyDescent="0.25">
      <c r="A198" s="8" t="s">
        <v>156</v>
      </c>
      <c r="B198" s="19">
        <v>800</v>
      </c>
      <c r="C198" s="4" t="s">
        <v>27</v>
      </c>
      <c r="D198" s="4" t="s">
        <v>9</v>
      </c>
      <c r="E198" s="4"/>
      <c r="F198" s="4" t="s">
        <v>15</v>
      </c>
      <c r="G198" s="4" t="s">
        <v>157</v>
      </c>
      <c r="H198" s="4" t="s">
        <v>158</v>
      </c>
      <c r="I198" s="4"/>
      <c r="J198" s="4"/>
      <c r="K198" s="4"/>
      <c r="L198" s="4"/>
      <c r="M198" s="4"/>
      <c r="N198" s="4"/>
      <c r="O198" s="4"/>
    </row>
    <row r="200" spans="1:15" ht="15.75" x14ac:dyDescent="0.25">
      <c r="A200" s="3" t="s">
        <v>0</v>
      </c>
      <c r="B200" s="3" t="s">
        <v>153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5.75" x14ac:dyDescent="0.25">
      <c r="A201" s="4" t="s">
        <v>3</v>
      </c>
      <c r="B201" s="4" t="s">
        <v>159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ht="15.75" x14ac:dyDescent="0.25">
      <c r="A202" s="4" t="s">
        <v>1</v>
      </c>
      <c r="B202" s="4" t="s">
        <v>27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ht="15.75" x14ac:dyDescent="0.25">
      <c r="A203" s="4" t="s">
        <v>2</v>
      </c>
      <c r="B203" s="4">
        <v>1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5.75" x14ac:dyDescent="0.25">
      <c r="A204" s="4" t="s">
        <v>4</v>
      </c>
      <c r="B204" s="4" t="s">
        <v>41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5.75" x14ac:dyDescent="0.25">
      <c r="A205" s="4" t="s">
        <v>5</v>
      </c>
      <c r="B205" s="4" t="s">
        <v>154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ht="15.75" x14ac:dyDescent="0.25">
      <c r="A206" s="4" t="s">
        <v>6</v>
      </c>
      <c r="B206" s="4" t="s">
        <v>7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ht="15.75" x14ac:dyDescent="0.25">
      <c r="A207" s="4" t="s">
        <v>8</v>
      </c>
      <c r="B207" s="4" t="s">
        <v>9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ht="15.75" x14ac:dyDescent="0.25">
      <c r="A208" s="3" t="s">
        <v>10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7" ht="15.75" x14ac:dyDescent="0.25">
      <c r="A209" s="3" t="s">
        <v>11</v>
      </c>
      <c r="B209" s="3" t="s">
        <v>12</v>
      </c>
      <c r="C209" s="3" t="s">
        <v>1</v>
      </c>
      <c r="D209" s="3" t="s">
        <v>8</v>
      </c>
      <c r="E209" s="3" t="s">
        <v>13</v>
      </c>
      <c r="F209" s="3" t="s">
        <v>6</v>
      </c>
      <c r="G209" s="3" t="s">
        <v>5</v>
      </c>
      <c r="H209" s="3" t="s">
        <v>3</v>
      </c>
      <c r="I209" s="3" t="s">
        <v>18</v>
      </c>
      <c r="J209" s="3" t="s">
        <v>19</v>
      </c>
      <c r="K209" s="3" t="s">
        <v>20</v>
      </c>
      <c r="L209" s="3" t="s">
        <v>21</v>
      </c>
      <c r="M209" s="3" t="s">
        <v>22</v>
      </c>
      <c r="N209" s="3" t="s">
        <v>23</v>
      </c>
      <c r="O209" s="3" t="s">
        <v>24</v>
      </c>
    </row>
    <row r="210" spans="1:17" ht="15.75" x14ac:dyDescent="0.25">
      <c r="A210" s="4" t="str">
        <f>B200</f>
        <v>cyanex272 production</v>
      </c>
      <c r="B210" s="4">
        <v>1</v>
      </c>
      <c r="C210" s="4" t="str">
        <f>B202</f>
        <v>RER</v>
      </c>
      <c r="D210" s="4" t="str">
        <f>B207</f>
        <v>kilogram</v>
      </c>
      <c r="E210" s="4"/>
      <c r="F210" s="4" t="s">
        <v>14</v>
      </c>
      <c r="G210" s="4" t="str">
        <f>B205</f>
        <v>cyanex272</v>
      </c>
      <c r="H210" s="4"/>
      <c r="I210" s="4"/>
      <c r="J210" s="4"/>
      <c r="K210" s="4"/>
      <c r="L210" s="4"/>
      <c r="M210" s="4"/>
      <c r="N210" s="4"/>
      <c r="O210" s="4"/>
    </row>
    <row r="211" spans="1:17" ht="15.75" x14ac:dyDescent="0.25">
      <c r="A211" s="8" t="s">
        <v>160</v>
      </c>
      <c r="B211" s="19">
        <v>1.9</v>
      </c>
      <c r="C211" s="4" t="s">
        <v>30</v>
      </c>
      <c r="D211" s="4" t="s">
        <v>9</v>
      </c>
      <c r="E211" s="4"/>
      <c r="F211" s="4" t="s">
        <v>15</v>
      </c>
      <c r="G211" s="4" t="s">
        <v>161</v>
      </c>
      <c r="H211" s="4"/>
      <c r="I211" s="4"/>
      <c r="J211" s="4"/>
      <c r="K211" s="4"/>
      <c r="L211" s="4"/>
      <c r="M211" s="4"/>
      <c r="N211" s="4"/>
      <c r="O211" s="4"/>
    </row>
    <row r="212" spans="1:17" ht="15.75" x14ac:dyDescent="0.25">
      <c r="A212" s="8" t="s">
        <v>162</v>
      </c>
      <c r="B212" s="19">
        <v>0.46</v>
      </c>
      <c r="C212" s="4" t="s">
        <v>27</v>
      </c>
      <c r="D212" s="4" t="s">
        <v>9</v>
      </c>
      <c r="E212" s="4"/>
      <c r="F212" s="4" t="s">
        <v>15</v>
      </c>
      <c r="G212" s="4" t="s">
        <v>163</v>
      </c>
      <c r="H212" s="4"/>
      <c r="I212" s="4"/>
      <c r="J212" s="4"/>
      <c r="K212" s="4"/>
      <c r="L212" s="4"/>
      <c r="M212" s="4"/>
      <c r="N212" s="4"/>
      <c r="O212" s="4"/>
    </row>
    <row r="213" spans="1:17" ht="15.75" x14ac:dyDescent="0.25">
      <c r="A213" s="8" t="s">
        <v>25</v>
      </c>
      <c r="B213" s="19">
        <v>1.36</v>
      </c>
      <c r="C213" s="4" t="s">
        <v>16</v>
      </c>
      <c r="D213" s="4" t="s">
        <v>17</v>
      </c>
      <c r="E213" s="4"/>
      <c r="F213" s="4" t="s">
        <v>15</v>
      </c>
      <c r="G213" s="4" t="s">
        <v>26</v>
      </c>
      <c r="H213" s="4"/>
      <c r="I213" s="4"/>
      <c r="J213" s="4"/>
      <c r="K213" s="4"/>
      <c r="L213" s="4"/>
      <c r="M213" s="4"/>
      <c r="N213" s="4"/>
      <c r="O213" s="4"/>
      <c r="P213" s="1"/>
      <c r="Q213" s="2"/>
    </row>
    <row r="214" spans="1:17" ht="15.75" x14ac:dyDescent="0.25">
      <c r="A214" s="8" t="s">
        <v>164</v>
      </c>
      <c r="B214" s="19">
        <v>0.16</v>
      </c>
      <c r="C214" s="4"/>
      <c r="D214" s="4" t="s">
        <v>9</v>
      </c>
      <c r="E214" s="4" t="s">
        <v>165</v>
      </c>
      <c r="F214" s="4" t="s">
        <v>122</v>
      </c>
      <c r="G214" s="4"/>
      <c r="H214" s="4"/>
      <c r="I214" s="4"/>
      <c r="J214" s="4"/>
      <c r="K214" s="4"/>
      <c r="L214" s="4"/>
      <c r="M214" s="4"/>
      <c r="N214" s="4"/>
      <c r="O214" s="4"/>
      <c r="P214" s="1"/>
      <c r="Q214" s="2"/>
    </row>
    <row r="216" spans="1:17" ht="15.75" x14ac:dyDescent="0.25">
      <c r="A216" s="3" t="s">
        <v>0</v>
      </c>
      <c r="B216" s="3" t="s">
        <v>162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7" ht="15.75" x14ac:dyDescent="0.25">
      <c r="A217" s="4" t="s">
        <v>3</v>
      </c>
      <c r="B217" s="4" t="s">
        <v>166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7" ht="15.75" x14ac:dyDescent="0.25">
      <c r="A218" s="4" t="s">
        <v>1</v>
      </c>
      <c r="B218" s="4" t="s">
        <v>27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7" ht="15.75" x14ac:dyDescent="0.25">
      <c r="A219" s="4" t="s">
        <v>2</v>
      </c>
      <c r="B219" s="4">
        <v>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7" ht="15.75" x14ac:dyDescent="0.25">
      <c r="A220" s="4" t="s">
        <v>4</v>
      </c>
      <c r="B220" s="4" t="s">
        <v>41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7" ht="15.75" x14ac:dyDescent="0.25">
      <c r="A221" s="4" t="s">
        <v>5</v>
      </c>
      <c r="B221" s="4" t="s">
        <v>163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7" ht="15.75" x14ac:dyDescent="0.25">
      <c r="A222" s="4" t="s">
        <v>6</v>
      </c>
      <c r="B222" s="4" t="s">
        <v>7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7" ht="15.75" x14ac:dyDescent="0.25">
      <c r="A223" s="4" t="s">
        <v>8</v>
      </c>
      <c r="B223" s="4" t="s">
        <v>9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7" ht="15.75" x14ac:dyDescent="0.25">
      <c r="A224" s="3" t="s">
        <v>10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7" ht="15.75" x14ac:dyDescent="0.25">
      <c r="A225" s="3" t="s">
        <v>11</v>
      </c>
      <c r="B225" s="3" t="s">
        <v>12</v>
      </c>
      <c r="C225" s="3" t="s">
        <v>1</v>
      </c>
      <c r="D225" s="3" t="s">
        <v>8</v>
      </c>
      <c r="E225" s="3" t="s">
        <v>13</v>
      </c>
      <c r="F225" s="3" t="s">
        <v>6</v>
      </c>
      <c r="G225" s="3" t="s">
        <v>5</v>
      </c>
      <c r="H225" s="3" t="s">
        <v>3</v>
      </c>
      <c r="I225" s="3" t="s">
        <v>18</v>
      </c>
      <c r="J225" s="3" t="s">
        <v>19</v>
      </c>
      <c r="K225" s="3" t="s">
        <v>20</v>
      </c>
      <c r="L225" s="3" t="s">
        <v>21</v>
      </c>
      <c r="M225" s="3" t="s">
        <v>22</v>
      </c>
      <c r="N225" s="3" t="s">
        <v>23</v>
      </c>
      <c r="O225" s="3" t="s">
        <v>24</v>
      </c>
    </row>
    <row r="226" spans="1:17" ht="15.75" x14ac:dyDescent="0.25">
      <c r="A226" s="4" t="str">
        <f>B216</f>
        <v>sodium hypophosphite production</v>
      </c>
      <c r="B226" s="4">
        <v>1</v>
      </c>
      <c r="C226" s="4" t="str">
        <f>B218</f>
        <v>RER</v>
      </c>
      <c r="D226" s="4" t="str">
        <f>B223</f>
        <v>kilogram</v>
      </c>
      <c r="E226" s="4"/>
      <c r="F226" s="4" t="s">
        <v>14</v>
      </c>
      <c r="G226" s="4" t="str">
        <f>B221</f>
        <v>sodium hypophosphite</v>
      </c>
      <c r="H226" s="4"/>
      <c r="I226" s="4"/>
      <c r="J226" s="4"/>
      <c r="K226" s="4"/>
      <c r="L226" s="4"/>
      <c r="M226" s="4"/>
      <c r="N226" s="4"/>
      <c r="O226" s="4"/>
    </row>
    <row r="227" spans="1:17" ht="31.5" x14ac:dyDescent="0.25">
      <c r="A227" s="8" t="s">
        <v>75</v>
      </c>
      <c r="B227" s="19">
        <v>0.75</v>
      </c>
      <c r="C227" s="4" t="s">
        <v>27</v>
      </c>
      <c r="D227" s="4" t="s">
        <v>9</v>
      </c>
      <c r="E227" s="4"/>
      <c r="F227" s="4" t="s">
        <v>15</v>
      </c>
      <c r="G227" s="4" t="s">
        <v>76</v>
      </c>
      <c r="H227" s="4"/>
      <c r="I227" s="4"/>
      <c r="J227" s="4"/>
      <c r="K227" s="4"/>
      <c r="L227" s="4"/>
      <c r="M227" s="4"/>
      <c r="N227" s="4"/>
      <c r="O227" s="4"/>
      <c r="P227" s="1"/>
      <c r="Q227" s="2"/>
    </row>
    <row r="228" spans="1:17" ht="15.75" x14ac:dyDescent="0.25">
      <c r="A228" s="8" t="s">
        <v>100</v>
      </c>
      <c r="B228" s="19">
        <v>0.52</v>
      </c>
      <c r="C228" s="4" t="s">
        <v>16</v>
      </c>
      <c r="D228" s="4" t="s">
        <v>9</v>
      </c>
      <c r="E228" s="4"/>
      <c r="F228" s="4" t="s">
        <v>15</v>
      </c>
      <c r="G228" s="4" t="s">
        <v>101</v>
      </c>
      <c r="H228" s="4"/>
      <c r="I228" s="4"/>
      <c r="J228" s="4"/>
      <c r="K228" s="4"/>
      <c r="L228" s="4"/>
      <c r="M228" s="4"/>
      <c r="N228" s="4"/>
      <c r="O228" s="4"/>
    </row>
    <row r="229" spans="1:17" ht="15.75" x14ac:dyDescent="0.25">
      <c r="A229" s="8" t="s">
        <v>167</v>
      </c>
      <c r="B229" s="19">
        <v>0.56000000000000005</v>
      </c>
      <c r="C229" s="4" t="s">
        <v>27</v>
      </c>
      <c r="D229" s="4" t="s">
        <v>9</v>
      </c>
      <c r="E229" s="4"/>
      <c r="F229" s="4" t="s">
        <v>15</v>
      </c>
      <c r="G229" s="4" t="s">
        <v>168</v>
      </c>
      <c r="H229" s="4"/>
      <c r="I229" s="4"/>
      <c r="J229" s="4"/>
      <c r="K229" s="4"/>
      <c r="L229" s="4"/>
      <c r="M229" s="4"/>
      <c r="N229" s="4"/>
      <c r="O229" s="4"/>
    </row>
    <row r="230" spans="1:17" ht="15.75" x14ac:dyDescent="0.25">
      <c r="A230" s="8" t="s">
        <v>70</v>
      </c>
      <c r="B230" s="19">
        <v>0.25</v>
      </c>
      <c r="C230" s="4" t="s">
        <v>16</v>
      </c>
      <c r="D230" s="4" t="s">
        <v>9</v>
      </c>
      <c r="E230" s="4"/>
      <c r="F230" s="4" t="s">
        <v>15</v>
      </c>
      <c r="G230" s="4" t="s">
        <v>71</v>
      </c>
      <c r="H230" s="4"/>
      <c r="I230" s="4"/>
      <c r="J230" s="4"/>
      <c r="K230" s="4"/>
      <c r="L230" s="4"/>
      <c r="M230" s="4"/>
      <c r="N230" s="4"/>
      <c r="O230" s="4"/>
      <c r="P230" s="1"/>
      <c r="Q2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Li-ion_Battery_EOL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2025-08-27T19:26:25Z</dcterms:modified>
</cp:coreProperties>
</file>